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9135" tabRatio="601" firstSheet="3" activeTab="15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RS" sheetId="14" r:id="rId5"/>
    <sheet name="GS" sheetId="24" r:id="rId6"/>
    <sheet name="PS Sec" sheetId="26" r:id="rId7"/>
    <sheet name="PS Pri" sheetId="27" r:id="rId8"/>
    <sheet name="TOD Sec" sheetId="28" r:id="rId9"/>
    <sheet name="TOD Pri" sheetId="32" r:id="rId10"/>
    <sheet name="RTS" sheetId="31" r:id="rId11"/>
    <sheet name="Special Contract" sheetId="34" r:id="rId12"/>
    <sheet name="LE" sheetId="33" r:id="rId13"/>
    <sheet name="Meters" sheetId="7" r:id="rId14"/>
    <sheet name="Services" sheetId="8" r:id="rId15"/>
    <sheet name="Lighting" sheetId="1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\" localSheetId="12" hidden="1">#REF!</definedName>
    <definedName name="\\" localSheetId="11" hidden="1">#REF!</definedName>
    <definedName name="\\" localSheetId="9" hidden="1">#REF!</definedName>
    <definedName name="\\" hidden="1">#REF!</definedName>
    <definedName name="\\\" localSheetId="12" hidden="1">#REF!</definedName>
    <definedName name="\\\" localSheetId="11" hidden="1">#REF!</definedName>
    <definedName name="\\\" localSheetId="9" hidden="1">#REF!</definedName>
    <definedName name="\\\" hidden="1">#REF!</definedName>
    <definedName name="\\\\" localSheetId="12" hidden="1">#REF!</definedName>
    <definedName name="\\\\" localSheetId="11" hidden="1">#REF!</definedName>
    <definedName name="\\\\" localSheetId="9" hidden="1">#REF!</definedName>
    <definedName name="\\\\" hidden="1">#REF!</definedName>
    <definedName name="\C" localSheetId="12">#REF!</definedName>
    <definedName name="\C" localSheetId="4">#REF!</definedName>
    <definedName name="\C" localSheetId="11">#REF!</definedName>
    <definedName name="\C" localSheetId="9">#REF!</definedName>
    <definedName name="\C">#REF!</definedName>
    <definedName name="\D" localSheetId="12">#REF!</definedName>
    <definedName name="\D" localSheetId="11">#REF!</definedName>
    <definedName name="\D" localSheetId="9">#REF!</definedName>
    <definedName name="\D">#REF!</definedName>
    <definedName name="\E" localSheetId="12">#REF!</definedName>
    <definedName name="\E" localSheetId="4">#REF!</definedName>
    <definedName name="\E" localSheetId="11">#REF!</definedName>
    <definedName name="\E" localSheetId="9">#REF!</definedName>
    <definedName name="\E">#REF!</definedName>
    <definedName name="\M" localSheetId="12">#REF!</definedName>
    <definedName name="\M" localSheetId="11">#REF!</definedName>
    <definedName name="\M" localSheetId="9">#REF!</definedName>
    <definedName name="\M">#REF!</definedName>
    <definedName name="\P" localSheetId="12">[1]dbase!#REF!</definedName>
    <definedName name="\P" localSheetId="11">[1]dbase!#REF!</definedName>
    <definedName name="\P" localSheetId="9">[1]dbase!#REF!</definedName>
    <definedName name="\P">[1]dbase!#REF!</definedName>
    <definedName name="\R" localSheetId="12">#REF!</definedName>
    <definedName name="\R" localSheetId="4">#REF!</definedName>
    <definedName name="\R" localSheetId="11">#REF!</definedName>
    <definedName name="\R" localSheetId="9">#REF!</definedName>
    <definedName name="\R">#REF!</definedName>
    <definedName name="\S" localSheetId="12">[1]dbase!#REF!</definedName>
    <definedName name="\S" localSheetId="11">[1]dbase!#REF!</definedName>
    <definedName name="\S" localSheetId="9">[1]dbase!#REF!</definedName>
    <definedName name="\S">[1]dbase!#REF!</definedName>
    <definedName name="\T" localSheetId="12">#REF!</definedName>
    <definedName name="\T" localSheetId="11">#REF!</definedName>
    <definedName name="\T" localSheetId="9">#REF!</definedName>
    <definedName name="\T">#REF!</definedName>
    <definedName name="\Y" localSheetId="12">[2]d20!#REF!</definedName>
    <definedName name="\Y" localSheetId="11">[2]d20!#REF!</definedName>
    <definedName name="\Y" localSheetId="9">[2]d20!#REF!</definedName>
    <definedName name="\Y">[2]d20!#REF!</definedName>
    <definedName name="__123Graph_A" localSheetId="12" hidden="1">#REF!</definedName>
    <definedName name="__123Graph_A" localSheetId="11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9" hidden="1">#REF!</definedName>
    <definedName name="__123Graph_F" hidden="1">#REF!</definedName>
    <definedName name="__123Graph_X" localSheetId="12" hidden="1">#REF!</definedName>
    <definedName name="__123Graph_X" localSheetId="11" hidden="1">#REF!</definedName>
    <definedName name="__123Graph_X" localSheetId="9" hidden="1">#REF!</definedName>
    <definedName name="__123Graph_X" hidden="1">#REF!</definedName>
    <definedName name="_10NON_UTILITY" localSheetId="12">#REF!</definedName>
    <definedName name="_10NON_UTILITY" localSheetId="11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12">#REF!</definedName>
    <definedName name="_1GAS_FINANCING" localSheetId="11">#REF!</definedName>
    <definedName name="_1GAS_FINANCING" localSheetId="9">#REF!</definedName>
    <definedName name="_1GAS_FINANCING">#REF!</definedName>
    <definedName name="_xlnm._FilterDatabase" localSheetId="1" hidden="1">'Allocation ProForma'!$D$2:$E$1240</definedName>
    <definedName name="_xlnm._FilterDatabase" localSheetId="0" hidden="1">'Functional Assignment'!$C$2:$D$669</definedName>
    <definedName name="_may1" localSheetId="12">#REF!</definedName>
    <definedName name="_may1" localSheetId="11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12">#REF!</definedName>
    <definedName name="_P" localSheetId="4">#REF!</definedName>
    <definedName name="_P" localSheetId="11">#REF!</definedName>
    <definedName name="_P" localSheetId="9">#REF!</definedName>
    <definedName name="_P">#REF!</definedName>
    <definedName name="_PG1" localSheetId="12">#REF!</definedName>
    <definedName name="_PG1" localSheetId="11">#REF!</definedName>
    <definedName name="_PG1" localSheetId="9">#REF!</definedName>
    <definedName name="_PG1">#REF!</definedName>
    <definedName name="_PG2" localSheetId="12">#REF!</definedName>
    <definedName name="_PG2" localSheetId="11">#REF!</definedName>
    <definedName name="_PG2" localSheetId="9">#REF!</definedName>
    <definedName name="_PG2">#REF!</definedName>
    <definedName name="A" localSheetId="12">#REF!</definedName>
    <definedName name="A" localSheetId="11">#REF!</definedName>
    <definedName name="A" localSheetId="9">#REF!</definedName>
    <definedName name="A">#REF!</definedName>
    <definedName name="ACTUAL">"'Vol_Revs'!R5C3:R5C14"</definedName>
    <definedName name="ADJSUTW3" localSheetId="12">#REF!</definedName>
    <definedName name="ADJSUTW3" localSheetId="11">#REF!</definedName>
    <definedName name="ADJSUTW3" localSheetId="9">#REF!</definedName>
    <definedName name="ADJSUTW3">#REF!</definedName>
    <definedName name="ADJUSRN" localSheetId="12">#REF!</definedName>
    <definedName name="ADJUSRN" localSheetId="11">#REF!</definedName>
    <definedName name="ADJUSRN" localSheetId="9">#REF!</definedName>
    <definedName name="ADJUSRN">#REF!</definedName>
    <definedName name="Adjust2" localSheetId="12">#REF!</definedName>
    <definedName name="Adjust2" localSheetId="11">#REF!</definedName>
    <definedName name="Adjust2" localSheetId="9">#REF!</definedName>
    <definedName name="Adjust2">#REF!</definedName>
    <definedName name="ADJUSTA" localSheetId="12">#REF!</definedName>
    <definedName name="ADJUSTA" localSheetId="11">#REF!</definedName>
    <definedName name="ADJUSTA" localSheetId="9">#REF!</definedName>
    <definedName name="ADJUSTA">#REF!</definedName>
    <definedName name="ADJUSTAA" localSheetId="12">#REF!</definedName>
    <definedName name="ADJUSTAA" localSheetId="4">#REF!</definedName>
    <definedName name="ADJUSTAA" localSheetId="11">#REF!</definedName>
    <definedName name="ADJUSTAA" localSheetId="9">#REF!</definedName>
    <definedName name="ADJUSTAA">#REF!</definedName>
    <definedName name="ADJUSTB" localSheetId="12">#REF!</definedName>
    <definedName name="ADJUSTB" localSheetId="11">#REF!</definedName>
    <definedName name="ADJUSTB" localSheetId="9">#REF!</definedName>
    <definedName name="ADJUSTB">#REF!</definedName>
    <definedName name="ADJUSTC" localSheetId="12">#REF!</definedName>
    <definedName name="ADJUSTC" localSheetId="11">#REF!</definedName>
    <definedName name="ADJUSTC" localSheetId="9">#REF!</definedName>
    <definedName name="ADJUSTC">#REF!</definedName>
    <definedName name="ADJUSTD1" localSheetId="12">#REF!</definedName>
    <definedName name="ADJUSTD1" localSheetId="11">#REF!</definedName>
    <definedName name="ADJUSTD1" localSheetId="9">#REF!</definedName>
    <definedName name="ADJUSTD1">#REF!</definedName>
    <definedName name="ADJUSTD2" localSheetId="12">#REF!</definedName>
    <definedName name="ADJUSTD2" localSheetId="11">#REF!</definedName>
    <definedName name="ADJUSTD2" localSheetId="9">#REF!</definedName>
    <definedName name="ADJUSTD2">#REF!</definedName>
    <definedName name="ADJUSTD3" localSheetId="12">#REF!</definedName>
    <definedName name="ADJUSTD3" localSheetId="11">#REF!</definedName>
    <definedName name="ADJUSTD3" localSheetId="9">#REF!</definedName>
    <definedName name="ADJUSTD3">#REF!</definedName>
    <definedName name="ADJUSTD4" localSheetId="12">#REF!</definedName>
    <definedName name="ADJUSTD4" localSheetId="11">#REF!</definedName>
    <definedName name="ADJUSTD4" localSheetId="9">#REF!</definedName>
    <definedName name="ADJUSTD4">#REF!</definedName>
    <definedName name="ADJUSTG1" localSheetId="12">#REF!</definedName>
    <definedName name="ADJUSTG1" localSheetId="11">#REF!</definedName>
    <definedName name="ADJUSTG1" localSheetId="9">#REF!</definedName>
    <definedName name="ADJUSTG1">#REF!</definedName>
    <definedName name="ADJUSTG2" localSheetId="12">#REF!</definedName>
    <definedName name="ADJUSTG2" localSheetId="11">#REF!</definedName>
    <definedName name="ADJUSTG2" localSheetId="9">#REF!</definedName>
    <definedName name="ADJUSTG2">#REF!</definedName>
    <definedName name="ADJUSTG3" localSheetId="12">#REF!</definedName>
    <definedName name="ADJUSTG3" localSheetId="11">#REF!</definedName>
    <definedName name="ADJUSTG3" localSheetId="9">#REF!</definedName>
    <definedName name="ADJUSTG3">#REF!</definedName>
    <definedName name="ADJUSTG4" localSheetId="12">#REF!</definedName>
    <definedName name="ADJUSTG4" localSheetId="11">#REF!</definedName>
    <definedName name="ADJUSTG4" localSheetId="9">#REF!</definedName>
    <definedName name="ADJUSTG4">#REF!</definedName>
    <definedName name="ADJUSTH" localSheetId="12">#REF!</definedName>
    <definedName name="ADJUSTH" localSheetId="11">#REF!</definedName>
    <definedName name="ADJUSTH" localSheetId="9">#REF!</definedName>
    <definedName name="ADJUSTH">#REF!</definedName>
    <definedName name="ADJUSTI" localSheetId="12">#REF!</definedName>
    <definedName name="ADJUSTI" localSheetId="11">#REF!</definedName>
    <definedName name="ADJUSTI" localSheetId="9">#REF!</definedName>
    <definedName name="ADJUSTI">#REF!</definedName>
    <definedName name="ADJUSTK" localSheetId="12">#REF!</definedName>
    <definedName name="ADJUSTK" localSheetId="11">#REF!</definedName>
    <definedName name="ADJUSTK" localSheetId="9">#REF!</definedName>
    <definedName name="ADJUSTK">#REF!</definedName>
    <definedName name="ADJUSTM" localSheetId="12">#REF!</definedName>
    <definedName name="ADJUSTM" localSheetId="11">#REF!</definedName>
    <definedName name="ADJUSTM" localSheetId="9">#REF!</definedName>
    <definedName name="ADJUSTM">#REF!</definedName>
    <definedName name="ADJUSTN" localSheetId="12">#REF!</definedName>
    <definedName name="ADJUSTN" localSheetId="11">#REF!</definedName>
    <definedName name="ADJUSTN" localSheetId="9">#REF!</definedName>
    <definedName name="ADJUSTN">#REF!</definedName>
    <definedName name="ADJUSTO" localSheetId="12">#REF!</definedName>
    <definedName name="ADJUSTO" localSheetId="11">#REF!</definedName>
    <definedName name="ADJUSTO" localSheetId="9">#REF!</definedName>
    <definedName name="ADJUSTO">#REF!</definedName>
    <definedName name="ADJUSTP" localSheetId="12">#REF!</definedName>
    <definedName name="ADJUSTP" localSheetId="11">#REF!</definedName>
    <definedName name="ADJUSTP" localSheetId="9">#REF!</definedName>
    <definedName name="ADJUSTP">#REF!</definedName>
    <definedName name="ADJUSTQ" localSheetId="12">#REF!</definedName>
    <definedName name="ADJUSTQ" localSheetId="11">#REF!</definedName>
    <definedName name="ADJUSTQ" localSheetId="9">#REF!</definedName>
    <definedName name="ADJUSTQ">#REF!</definedName>
    <definedName name="ADJUSTR" localSheetId="12">#REF!</definedName>
    <definedName name="ADJUSTR" localSheetId="11">#REF!</definedName>
    <definedName name="ADJUSTR" localSheetId="9">#REF!</definedName>
    <definedName name="ADJUSTR">#REF!</definedName>
    <definedName name="ADJUSTS" localSheetId="12">#REF!</definedName>
    <definedName name="ADJUSTS" localSheetId="4">#REF!</definedName>
    <definedName name="ADJUSTS" localSheetId="11">#REF!</definedName>
    <definedName name="ADJUSTS" localSheetId="9">#REF!</definedName>
    <definedName name="ADJUSTS">#REF!</definedName>
    <definedName name="ADJUSTT" localSheetId="12">#REF!</definedName>
    <definedName name="ADJUSTT" localSheetId="11">#REF!</definedName>
    <definedName name="ADJUSTT" localSheetId="9">#REF!</definedName>
    <definedName name="ADJUSTT">#REF!</definedName>
    <definedName name="ADJUSTW1" localSheetId="12">#REF!</definedName>
    <definedName name="ADJUSTW1" localSheetId="11">#REF!</definedName>
    <definedName name="ADJUSTW1" localSheetId="9">#REF!</definedName>
    <definedName name="ADJUSTW1">#REF!</definedName>
    <definedName name="ADJUSTW2" localSheetId="12">#REF!</definedName>
    <definedName name="ADJUSTW2" localSheetId="11">#REF!</definedName>
    <definedName name="ADJUSTW2" localSheetId="9">#REF!</definedName>
    <definedName name="ADJUSTW2">#REF!</definedName>
    <definedName name="ADJUSTX" localSheetId="12">#REF!</definedName>
    <definedName name="ADJUSTX" localSheetId="11">#REF!</definedName>
    <definedName name="ADJUSTX" localSheetId="9">#REF!</definedName>
    <definedName name="ADJUSTX">#REF!</definedName>
    <definedName name="ADJUSTY" localSheetId="12">#REF!</definedName>
    <definedName name="ADJUSTY" localSheetId="11">#REF!</definedName>
    <definedName name="ADJUSTY" localSheetId="9">#REF!</definedName>
    <definedName name="ADJUSTY">#REF!</definedName>
    <definedName name="ALERT2" localSheetId="12">#REF!</definedName>
    <definedName name="ALERT2" localSheetId="11">#REF!</definedName>
    <definedName name="ALERT2" localSheetId="9">#REF!</definedName>
    <definedName name="ALERT2">#REF!</definedName>
    <definedName name="Annual_Sales_KU" localSheetId="12">'[4]LGE Sales'!#REF!</definedName>
    <definedName name="Annual_Sales_KU" localSheetId="11">'[4]LGE Sales'!#REF!</definedName>
    <definedName name="Annual_Sales_KU" localSheetId="9">'[4]LGE Sales'!#REF!</definedName>
    <definedName name="Annual_Sales_KU">'[4]LGE Sales'!#REF!</definedName>
    <definedName name="assets" localSheetId="12">#REF!</definedName>
    <definedName name="assets" localSheetId="4">#REF!</definedName>
    <definedName name="assets" localSheetId="11">#REF!</definedName>
    <definedName name="assets" localSheetId="9">#REF!</definedName>
    <definedName name="assets">#REF!</definedName>
    <definedName name="B" localSheetId="12">#REF!</definedName>
    <definedName name="B" localSheetId="11">#REF!</definedName>
    <definedName name="B" localSheetId="9">#REF!</definedName>
    <definedName name="B">#REF!</definedName>
    <definedName name="Billed_Revenues_Dollars" localSheetId="12">#REF!</definedName>
    <definedName name="Billed_Revenues_Dollars" localSheetId="11">#REF!</definedName>
    <definedName name="Billed_Revenues_Dollars" localSheetId="9">#REF!</definedName>
    <definedName name="Billed_Revenues_Dollars">#REF!</definedName>
    <definedName name="Billed_Sales__KWh" localSheetId="12">#REF!</definedName>
    <definedName name="Billed_Sales__KWh" localSheetId="11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2">#REF!</definedName>
    <definedName name="C_" localSheetId="11">#REF!</definedName>
    <definedName name="C_" localSheetId="9">#REF!</definedName>
    <definedName name="C_">#REF!</definedName>
    <definedName name="Choices_Wrapper" localSheetId="12">LE!Choices_Wrapper</definedName>
    <definedName name="Choices_Wrapper" localSheetId="4">RS!Choices_Wrapper</definedName>
    <definedName name="Choices_Wrapper">[0]!Choices_Wrapper</definedName>
    <definedName name="CM" localSheetId="12">#REF!</definedName>
    <definedName name="CM" localSheetId="4">#REF!</definedName>
    <definedName name="CM" localSheetId="11">#REF!</definedName>
    <definedName name="CM" localSheetId="9">#REF!</definedName>
    <definedName name="CM">#REF!</definedName>
    <definedName name="Coal_Annual_KU" localSheetId="12">'[4]LGE Coal'!#REF!</definedName>
    <definedName name="Coal_Annual_KU" localSheetId="11">'[4]LGE Coal'!#REF!</definedName>
    <definedName name="Coal_Annual_KU" localSheetId="9">'[4]LGE Coal'!#REF!</definedName>
    <definedName name="Coal_Annual_KU">'[4]LGE Coal'!#REF!</definedName>
    <definedName name="coal_hide_ku_01" localSheetId="12">'[4]LGE Coal'!#REF!</definedName>
    <definedName name="coal_hide_ku_01" localSheetId="11">'[4]LGE Coal'!#REF!</definedName>
    <definedName name="coal_hide_ku_01" localSheetId="9">'[4]LGE Coal'!#REF!</definedName>
    <definedName name="coal_hide_ku_01">'[4]LGE Coal'!#REF!</definedName>
    <definedName name="coal_hide_lge_01" localSheetId="12">'[4]LGE Coal'!#REF!</definedName>
    <definedName name="coal_hide_lge_01" localSheetId="11">'[4]LGE Coal'!#REF!</definedName>
    <definedName name="coal_hide_lge_01" localSheetId="9">'[4]LGE Coal'!#REF!</definedName>
    <definedName name="coal_hide_lge_01">'[4]LGE Coal'!#REF!</definedName>
    <definedName name="coal_ku_01" localSheetId="12">'[4]LGE Coal'!#REF!</definedName>
    <definedName name="coal_ku_01" localSheetId="11">'[4]LGE Coal'!#REF!</definedName>
    <definedName name="coal_ku_01" localSheetId="9">'[4]LGE Coal'!#REF!</definedName>
    <definedName name="coal_ku_01">'[4]LGE Coal'!#REF!</definedName>
    <definedName name="ColumnAttributes1" localSheetId="12">#REF!</definedName>
    <definedName name="ColumnAttributes1" localSheetId="11">#REF!</definedName>
    <definedName name="ColumnAttributes1" localSheetId="9">#REF!</definedName>
    <definedName name="ColumnAttributes1">#REF!</definedName>
    <definedName name="ColumnHeadings1" localSheetId="12">#REF!</definedName>
    <definedName name="ColumnHeadings1" localSheetId="11">#REF!</definedName>
    <definedName name="ColumnHeadings1" localSheetId="9">#REF!</definedName>
    <definedName name="ColumnHeadings1">#REF!</definedName>
    <definedName name="Comp" localSheetId="12">LE!Comp</definedName>
    <definedName name="Comp" localSheetId="4">RS!Comp</definedName>
    <definedName name="Comp">[0]!Comp</definedName>
    <definedName name="ConsEarnings" localSheetId="12">#REF!</definedName>
    <definedName name="ConsEarnings" localSheetId="11">#REF!</definedName>
    <definedName name="ConsEarnings" localSheetId="9">#REF!</definedName>
    <definedName name="ConsEarnings">#REF!</definedName>
    <definedName name="CONSOLIDATED" localSheetId="12">#REF!</definedName>
    <definedName name="CONSOLIDATED" localSheetId="11">#REF!</definedName>
    <definedName name="CONSOLIDATED" localSheetId="9">#REF!</definedName>
    <definedName name="CONSOLIDATED">#REF!</definedName>
    <definedName name="CORPORATE" localSheetId="12">#REF!</definedName>
    <definedName name="CORPORATE" localSheetId="11">#REF!</definedName>
    <definedName name="CORPORATE" localSheetId="9">#REF!</definedName>
    <definedName name="CORPORATE">#REF!</definedName>
    <definedName name="counter" localSheetId="12">#REF!</definedName>
    <definedName name="counter" localSheetId="11">#REF!</definedName>
    <definedName name="counter" localSheetId="9">#REF!</definedName>
    <definedName name="counter">#REF!</definedName>
    <definedName name="CREDIT" localSheetId="12">#REF!</definedName>
    <definedName name="CREDIT" localSheetId="4">#REF!</definedName>
    <definedName name="CREDIT" localSheetId="11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12">#REF!</definedName>
    <definedName name="D" localSheetId="11">#REF!</definedName>
    <definedName name="D" localSheetId="9">#REF!</definedName>
    <definedName name="D">#REF!</definedName>
    <definedName name="data" localSheetId="12">#REF!</definedName>
    <definedName name="data" localSheetId="11">#REF!</definedName>
    <definedName name="data" localSheetId="9">#REF!</definedName>
    <definedName name="data">#REF!</definedName>
    <definedName name="data1" localSheetId="12">'[6]1'!#REF!</definedName>
    <definedName name="data1" localSheetId="11">'[6]1'!#REF!</definedName>
    <definedName name="data1" localSheetId="9">'[6]1'!#REF!</definedName>
    <definedName name="data1">'[6]1'!#REF!</definedName>
    <definedName name="DateTimeNow">[5]Input!$AE$12</definedName>
    <definedName name="DEBIT" localSheetId="12">#REF!</definedName>
    <definedName name="DEBIT" localSheetId="4">#REF!</definedName>
    <definedName name="DEBIT" localSheetId="11">#REF!</definedName>
    <definedName name="DEBIT" localSheetId="9">#REF!</definedName>
    <definedName name="DEBIT">#REF!</definedName>
    <definedName name="Detail" localSheetId="12">#REF!</definedName>
    <definedName name="Detail" localSheetId="11">#REF!</definedName>
    <definedName name="Detail" localSheetId="9">#REF!</definedName>
    <definedName name="Detail">#REF!</definedName>
    <definedName name="ELEC_NET_OP_INC" localSheetId="12">#REF!</definedName>
    <definedName name="ELEC_NET_OP_INC" localSheetId="11">#REF!</definedName>
    <definedName name="ELEC_NET_OP_INC" localSheetId="9">#REF!</definedName>
    <definedName name="ELEC_NET_OP_INC">#REF!</definedName>
    <definedName name="ELIMS" localSheetId="12">#REF!</definedName>
    <definedName name="ELIMS" localSheetId="11">#REF!</definedName>
    <definedName name="ELIMS" localSheetId="9">#REF!</definedName>
    <definedName name="ELIMS">#REF!</definedName>
    <definedName name="EXHIB1A" localSheetId="12">'[7]#REF'!#REF!</definedName>
    <definedName name="EXHIB1A" localSheetId="11">'[7]#REF'!#REF!</definedName>
    <definedName name="EXHIB1A" localSheetId="9">'[7]#REF'!#REF!</definedName>
    <definedName name="EXHIB1A">'[7]#REF'!#REF!</definedName>
    <definedName name="EXHIB1B" localSheetId="12">#REF!</definedName>
    <definedName name="EXHIB1B" localSheetId="11">#REF!</definedName>
    <definedName name="EXHIB1B" localSheetId="9">#REF!</definedName>
    <definedName name="EXHIB1B">#REF!</definedName>
    <definedName name="EXHIB1C" localSheetId="12">#REF!</definedName>
    <definedName name="EXHIB1C" localSheetId="11">#REF!</definedName>
    <definedName name="EXHIB1C" localSheetId="9">#REF!</definedName>
    <definedName name="EXHIB1C">#REF!</definedName>
    <definedName name="EXHIB2B" localSheetId="12">'[8]Ex 2'!#REF!</definedName>
    <definedName name="EXHIB2B" localSheetId="11">'[8]Ex 2'!#REF!</definedName>
    <definedName name="EXHIB2B" localSheetId="9">'[8]Ex 2'!#REF!</definedName>
    <definedName name="EXHIB2B">'[8]Ex 2'!#REF!</definedName>
    <definedName name="EXHIB3" localSheetId="12">#REF!</definedName>
    <definedName name="EXHIB3" localSheetId="4">#REF!</definedName>
    <definedName name="EXHIB3" localSheetId="11">#REF!</definedName>
    <definedName name="EXHIB3" localSheetId="9">#REF!</definedName>
    <definedName name="EXHIB3">#REF!</definedName>
    <definedName name="EXHIB6" localSheetId="12">'[8]not used Ex 4'!#REF!</definedName>
    <definedName name="EXHIB6" localSheetId="11">'[8]not used Ex 4'!#REF!</definedName>
    <definedName name="EXHIB6" localSheetId="9">'[8]not used Ex 4'!#REF!</definedName>
    <definedName name="EXHIB6">'[8]not used Ex 4'!#REF!</definedName>
    <definedName name="F" localSheetId="12">#REF!</definedName>
    <definedName name="F" localSheetId="11">#REF!</definedName>
    <definedName name="F" localSheetId="9">#REF!</definedName>
    <definedName name="F">#REF!</definedName>
    <definedName name="Fac_2000" localSheetId="12">'[4]LGE Base Fuel &amp; FAC'!#REF!</definedName>
    <definedName name="Fac_2000" localSheetId="11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12">'[4]LGE Base Fuel &amp; FAC'!#REF!</definedName>
    <definedName name="fac_annual_ku" localSheetId="11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12">'[4]LGE Base Fuel &amp; FAC'!#REF!</definedName>
    <definedName name="fac_hide_ku_01" localSheetId="11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12">'[4]LGE Base Fuel &amp; FAC'!#REF!</definedName>
    <definedName name="fac_hide_lge_01" localSheetId="11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12">'[4]LGE Base Fuel &amp; FAC'!#REF!</definedName>
    <definedName name="fac_ku_01" localSheetId="11">'[4]LGE Base Fuel &amp; FAC'!#REF!</definedName>
    <definedName name="fac_ku_01" localSheetId="9">'[4]LGE Base Fuel &amp; FAC'!#REF!</definedName>
    <definedName name="fac_ku_01">'[4]LGE Base Fuel &amp; FAC'!#REF!</definedName>
    <definedName name="FOOTER" localSheetId="12">#REF!</definedName>
    <definedName name="FOOTER" localSheetId="11">#REF!</definedName>
    <definedName name="FOOTER" localSheetId="9">#REF!</definedName>
    <definedName name="FOOTER">#REF!</definedName>
    <definedName name="FORECAST">"'IFPSReport'!R5C3:R5C14"</definedName>
    <definedName name="fuelcost" localSheetId="12">#REF!</definedName>
    <definedName name="fuelcost" localSheetId="4">#REF!</definedName>
    <definedName name="fuelcost" localSheetId="11">#REF!</definedName>
    <definedName name="fuelcost" localSheetId="9">#REF!</definedName>
    <definedName name="fuelcost">#REF!</definedName>
    <definedName name="Gas_Annual_NetRev" localSheetId="12">#REF!</definedName>
    <definedName name="Gas_Annual_NetRev" localSheetId="11">#REF!</definedName>
    <definedName name="Gas_Annual_NetRev" localSheetId="9">#REF!</definedName>
    <definedName name="Gas_Annual_NetRev">#REF!</definedName>
    <definedName name="Gas_Annual_Revenue" localSheetId="12">#REF!</definedName>
    <definedName name="Gas_Annual_Revenue" localSheetId="11">#REF!</definedName>
    <definedName name="Gas_Annual_Revenue" localSheetId="9">#REF!</definedName>
    <definedName name="Gas_Annual_Revenue">#REF!</definedName>
    <definedName name="gas_data" localSheetId="12">#REF!</definedName>
    <definedName name="gas_data" localSheetId="11">#REF!</definedName>
    <definedName name="gas_data" localSheetId="9">#REF!</definedName>
    <definedName name="gas_data">#REF!</definedName>
    <definedName name="Gas_Monthly_NetRevenue" localSheetId="12">#REF!</definedName>
    <definedName name="Gas_Monthly_NetRevenue" localSheetId="11">#REF!</definedName>
    <definedName name="Gas_Monthly_NetRevenue" localSheetId="9">#REF!</definedName>
    <definedName name="Gas_Monthly_NetRevenue">#REF!</definedName>
    <definedName name="GAS_NET_OP_INC" localSheetId="12">#REF!</definedName>
    <definedName name="GAS_NET_OP_INC" localSheetId="11">#REF!</definedName>
    <definedName name="GAS_NET_OP_INC" localSheetId="9">#REF!</definedName>
    <definedName name="GAS_NET_OP_INC">#REF!</definedName>
    <definedName name="Gas_Sales_Revenues" localSheetId="12">#REF!</definedName>
    <definedName name="Gas_Sales_Revenues" localSheetId="11">#REF!</definedName>
    <definedName name="Gas_Sales_Revenues" localSheetId="9">#REF!</definedName>
    <definedName name="Gas_Sales_Revenues">#REF!</definedName>
    <definedName name="GenEx_Annual_KU" localSheetId="12">'[4]LGE Cost of Sales'!#REF!</definedName>
    <definedName name="GenEx_Annual_KU" localSheetId="11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12">'[4]LGE Cost of Sales'!#REF!</definedName>
    <definedName name="genex_hide_ku_01" localSheetId="11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12">'[4]LGE Cost of Sales'!#REF!</definedName>
    <definedName name="genex_hide_lge_01" localSheetId="11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12">'[4]LGE Cost of Sales'!#REF!</definedName>
    <definedName name="genex_ku_01" localSheetId="11">'[4]LGE Cost of Sales'!#REF!</definedName>
    <definedName name="genex_ku_01" localSheetId="9">'[4]LGE Cost of Sales'!#REF!</definedName>
    <definedName name="genex_ku_01">'[4]LGE Cost of Sales'!#REF!</definedName>
    <definedName name="H" localSheetId="12">#REF!</definedName>
    <definedName name="H" localSheetId="11">#REF!</definedName>
    <definedName name="H" localSheetId="9">#REF!</definedName>
    <definedName name="H">#REF!</definedName>
    <definedName name="Home_KU" localSheetId="12">#REF!</definedName>
    <definedName name="Home_KU" localSheetId="11">#REF!</definedName>
    <definedName name="Home_KU" localSheetId="9">#REF!</definedName>
    <definedName name="Home_KU">#REF!</definedName>
    <definedName name="INPUT1" localSheetId="12">#REF!</definedName>
    <definedName name="INPUT1" localSheetId="11">#REF!</definedName>
    <definedName name="INPUT1" localSheetId="9">#REF!</definedName>
    <definedName name="INPUT1">#REF!</definedName>
    <definedName name="INPUT2" localSheetId="12">#REF!</definedName>
    <definedName name="INPUT2" localSheetId="11">#REF!</definedName>
    <definedName name="INPUT2" localSheetId="9">#REF!</definedName>
    <definedName name="INPUT2">#REF!</definedName>
    <definedName name="INPUTCOL" localSheetId="12">#REF!</definedName>
    <definedName name="INPUTCOL" localSheetId="11">#REF!</definedName>
    <definedName name="INPUTCOL" localSheetId="9">#REF!</definedName>
    <definedName name="INPUTCOL">#REF!</definedName>
    <definedName name="INPUTROW" localSheetId="12">#REF!</definedName>
    <definedName name="INPUTROW" localSheetId="11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12">#REF!</definedName>
    <definedName name="KUELIMBAL" localSheetId="11">#REF!</definedName>
    <definedName name="KUELIMBAL" localSheetId="9">#REF!</definedName>
    <definedName name="KUELIMBAL">#REF!</definedName>
    <definedName name="KUELIMCASH" localSheetId="12">#REF!</definedName>
    <definedName name="KUELIMCASH" localSheetId="11">#REF!</definedName>
    <definedName name="KUELIMCASH" localSheetId="9">#REF!</definedName>
    <definedName name="KUELIMCASH">#REF!</definedName>
    <definedName name="KUPWRGENIS" localSheetId="12">#REF!</definedName>
    <definedName name="KUPWRGENIS" localSheetId="11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12">#REF!</definedName>
    <definedName name="LEC" localSheetId="11">#REF!</definedName>
    <definedName name="LEC" localSheetId="9">#REF!</definedName>
    <definedName name="LEC">#REF!</definedName>
    <definedName name="LECBAL" localSheetId="12">#REF!</definedName>
    <definedName name="LECBAL" localSheetId="11">#REF!</definedName>
    <definedName name="LECBAL" localSheetId="9">#REF!</definedName>
    <definedName name="LECBAL">#REF!</definedName>
    <definedName name="LECCASH" localSheetId="12">#REF!</definedName>
    <definedName name="LECCASH" localSheetId="11">#REF!</definedName>
    <definedName name="LECCASH" localSheetId="9">#REF!</definedName>
    <definedName name="LECCASH">#REF!</definedName>
    <definedName name="LES" localSheetId="12">#REF!</definedName>
    <definedName name="LES" localSheetId="11">#REF!</definedName>
    <definedName name="LES" localSheetId="9">#REF!</definedName>
    <definedName name="LES">#REF!</definedName>
    <definedName name="LGE" localSheetId="12">#REF!</definedName>
    <definedName name="LGE" localSheetId="11">#REF!</definedName>
    <definedName name="LGE" localSheetId="9">#REF!</definedName>
    <definedName name="LGE">#REF!</definedName>
    <definedName name="LNGCL" localSheetId="12">#REF!</definedName>
    <definedName name="LNGCL" localSheetId="11">#REF!</definedName>
    <definedName name="LNGCL" localSheetId="9">#REF!</definedName>
    <definedName name="LNGCL">#REF!</definedName>
    <definedName name="Losses_by_State" localSheetId="12">#REF!</definedName>
    <definedName name="Losses_by_State" localSheetId="11">#REF!</definedName>
    <definedName name="Losses_by_State" localSheetId="9">#REF!</definedName>
    <definedName name="Losses_by_State">#REF!</definedName>
    <definedName name="LOUPHONECOBAL" localSheetId="12">#REF!</definedName>
    <definedName name="LOUPHONECOBAL" localSheetId="11">#REF!</definedName>
    <definedName name="LOUPHONECOBAL" localSheetId="9">#REF!</definedName>
    <definedName name="LOUPHONECOBAL">#REF!</definedName>
    <definedName name="LOUPHONECOCASH" localSheetId="12">#REF!</definedName>
    <definedName name="LOUPHONECOCASH" localSheetId="11">#REF!</definedName>
    <definedName name="LOUPHONECOCASH" localSheetId="9">#REF!</definedName>
    <definedName name="LOUPHONECOCASH">#REF!</definedName>
    <definedName name="LOUPHONECOIS" localSheetId="12">#REF!</definedName>
    <definedName name="LOUPHONECOIS" localSheetId="11">#REF!</definedName>
    <definedName name="LOUPHONECOIS" localSheetId="9">#REF!</definedName>
    <definedName name="LOUPHONECOIS">#REF!</definedName>
    <definedName name="LPI" localSheetId="12">#REF!</definedName>
    <definedName name="LPI" localSheetId="11">#REF!</definedName>
    <definedName name="LPI" localSheetId="9">#REF!</definedName>
    <definedName name="LPI">#REF!</definedName>
    <definedName name="MAIN" localSheetId="12">#REF!</definedName>
    <definedName name="MAIN" localSheetId="11">#REF!</definedName>
    <definedName name="MAIN" localSheetId="9">#REF!</definedName>
    <definedName name="MAIN">#REF!</definedName>
    <definedName name="MESG1" localSheetId="12">#REF!</definedName>
    <definedName name="MESG1" localSheetId="11">#REF!</definedName>
    <definedName name="MESG1" localSheetId="9">#REF!</definedName>
    <definedName name="MESG1">#REF!</definedName>
    <definedName name="MESG2" localSheetId="12">#REF!</definedName>
    <definedName name="MESG2" localSheetId="11">#REF!</definedName>
    <definedName name="MESG2" localSheetId="9">#REF!</definedName>
    <definedName name="MESG2">#REF!</definedName>
    <definedName name="MONTH_NAME" localSheetId="12">#REF!</definedName>
    <definedName name="MONTH_NAME" localSheetId="11">#REF!</definedName>
    <definedName name="MONTH_NAME" localSheetId="9">#REF!</definedName>
    <definedName name="MONTH_NAME">#REF!</definedName>
    <definedName name="MONTHCOUNT" localSheetId="12">#REF!</definedName>
    <definedName name="MONTHCOUNT" localSheetId="11">#REF!</definedName>
    <definedName name="MONTHCOUNT" localSheetId="9">#REF!</definedName>
    <definedName name="MONTHCOUNT">#REF!</definedName>
    <definedName name="NATURAL" localSheetId="12">#REF!</definedName>
    <definedName name="NATURAL" localSheetId="11">#REF!</definedName>
    <definedName name="NATURAL" localSheetId="9">#REF!</definedName>
    <definedName name="NATURAL">#REF!</definedName>
    <definedName name="NET_OP_INC" localSheetId="12">#REF!</definedName>
    <definedName name="NET_OP_INC" localSheetId="11">#REF!</definedName>
    <definedName name="NET_OP_INC" localSheetId="9">#REF!</definedName>
    <definedName name="NET_OP_INC">#REF!</definedName>
    <definedName name="Net_Revenues" localSheetId="12">#REF!</definedName>
    <definedName name="Net_Revenues" localSheetId="11">#REF!</definedName>
    <definedName name="Net_Revenues" localSheetId="9">#REF!</definedName>
    <definedName name="Net_Revenues">#REF!</definedName>
    <definedName name="Net_Unbilled_KWh" localSheetId="12">#REF!</definedName>
    <definedName name="Net_Unbilled_KWh" localSheetId="11">#REF!</definedName>
    <definedName name="Net_Unbilled_KWh" localSheetId="9">#REF!</definedName>
    <definedName name="Net_Unbilled_KWh">#REF!</definedName>
    <definedName name="Net_Unbilled_Revenue_Dollars" localSheetId="12">#REF!</definedName>
    <definedName name="Net_Unbilled_Revenue_Dollars" localSheetId="11">#REF!</definedName>
    <definedName name="Net_Unbilled_Revenue_Dollars" localSheetId="9">#REF!</definedName>
    <definedName name="Net_Unbilled_Revenue_Dollars">#REF!</definedName>
    <definedName name="netrev_hide_ku_01" localSheetId="12">'[4]LGE Gross Margin-Inc.Stmt'!#REF!</definedName>
    <definedName name="netrev_hide_ku_01" localSheetId="11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12">'[4]LGE Gross Margin-Inc.Stmt'!#REF!</definedName>
    <definedName name="netrev_hide_lge_01" localSheetId="11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12">'[4]LGE Gross Margin-Inc.Stmt'!#REF!</definedName>
    <definedName name="netrev_ku_01" localSheetId="11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12">'[4]LGE Gross Margin-Inc.Stmt'!#REF!</definedName>
    <definedName name="NetRevenue_Annual_KU" localSheetId="11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12">#REF!</definedName>
    <definedName name="NetRevenues" localSheetId="11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12">#REF!</definedName>
    <definedName name="Operating_Revenue_Dollars" localSheetId="11">#REF!</definedName>
    <definedName name="Operating_Revenue_Dollars" localSheetId="9">#REF!</definedName>
    <definedName name="Operating_Revenue_Dollars">#REF!</definedName>
    <definedName name="Operating_Sales__KWh" localSheetId="12">#REF!</definedName>
    <definedName name="Operating_Sales__KWh" localSheetId="11">#REF!</definedName>
    <definedName name="Operating_Sales__KWh" localSheetId="9">#REF!</definedName>
    <definedName name="Operating_Sales__KWh">#REF!</definedName>
    <definedName name="PAGE" localSheetId="12">#REF!</definedName>
    <definedName name="PAGE" localSheetId="4">#REF!</definedName>
    <definedName name="PAGE" localSheetId="11">#REF!</definedName>
    <definedName name="PAGE" localSheetId="9">#REF!</definedName>
    <definedName name="PAGE">#REF!</definedName>
    <definedName name="PAGE10" localSheetId="12">#REF!</definedName>
    <definedName name="PAGE10" localSheetId="4">#REF!</definedName>
    <definedName name="PAGE10" localSheetId="11">#REF!</definedName>
    <definedName name="PAGE10" localSheetId="9">#REF!</definedName>
    <definedName name="PAGE10">#REF!</definedName>
    <definedName name="PAGE1B" localSheetId="12">[2]d20!#REF!</definedName>
    <definedName name="PAGE1B" localSheetId="11">[2]d20!#REF!</definedName>
    <definedName name="PAGE1B" localSheetId="9">[2]d20!#REF!</definedName>
    <definedName name="PAGE1B">[2]d20!#REF!</definedName>
    <definedName name="PAGE7" localSheetId="12">#REF!</definedName>
    <definedName name="PAGE7" localSheetId="4">#REF!</definedName>
    <definedName name="PAGE7" localSheetId="11">#REF!</definedName>
    <definedName name="PAGE7" localSheetId="9">#REF!</definedName>
    <definedName name="PAGE7">#REF!</definedName>
    <definedName name="page8" localSheetId="12">#REF!</definedName>
    <definedName name="page8" localSheetId="4">#REF!</definedName>
    <definedName name="page8" localSheetId="11">#REF!</definedName>
    <definedName name="page8" localSheetId="9">#REF!</definedName>
    <definedName name="page8">#REF!</definedName>
    <definedName name="PAGE9" localSheetId="12">#REF!</definedName>
    <definedName name="PAGE9" localSheetId="4">#REF!</definedName>
    <definedName name="PAGE9" localSheetId="11">#REF!</definedName>
    <definedName name="PAGE9" localSheetId="9">#REF!</definedName>
    <definedName name="PAGE9">#REF!</definedName>
    <definedName name="PgFERC_449" localSheetId="12">#REF!</definedName>
    <definedName name="PgFERC_449" localSheetId="11">#REF!</definedName>
    <definedName name="PgFERC_449" localSheetId="9">#REF!</definedName>
    <definedName name="PgFERC_449">#REF!</definedName>
    <definedName name="Plan" localSheetId="12">#REF!</definedName>
    <definedName name="Plan" localSheetId="11">#REF!</definedName>
    <definedName name="Plan" localSheetId="9">#REF!</definedName>
    <definedName name="Plan">#REF!</definedName>
    <definedName name="_xlnm.Print_Area" localSheetId="1">'Allocation ProForma'!$A$1:$U$1102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GS!$A$1:$K$62</definedName>
    <definedName name="_xlnm.Print_Area" localSheetId="12">LE!$A$1:$K$62</definedName>
    <definedName name="_xlnm.Print_Area" localSheetId="7">'PS Pri'!$A$1:$K$56</definedName>
    <definedName name="_xlnm.Print_Area" localSheetId="6">'PS Sec'!$A$1:$K$56</definedName>
    <definedName name="_xlnm.Print_Area" localSheetId="4">RS!$A$1:$K$62</definedName>
    <definedName name="_xlnm.Print_Area" localSheetId="10">RTS!$A$1:$K$56</definedName>
    <definedName name="_xlnm.Print_Area" localSheetId="11">'Special Contract'!$A$1:$K$56</definedName>
    <definedName name="_xlnm.Print_Area" localSheetId="2">'Summary of Returns'!$A$1:$G$67</definedName>
    <definedName name="_xlnm.Print_Area" localSheetId="9">'TOD Pri'!$A$1:$K$56</definedName>
    <definedName name="_xlnm.Print_Area" localSheetId="8">'TOD Sec'!$A$1:$K$56</definedName>
    <definedName name="_xlnm.Print_Titles" localSheetId="1">'Allocation ProForma'!$A:$E,'Allocation ProForma'!$2:$4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 localSheetId="12">#REF!</definedName>
    <definedName name="PRINT1" localSheetId="11">#REF!</definedName>
    <definedName name="PRINT1" localSheetId="9">#REF!</definedName>
    <definedName name="PRINT1">#REF!</definedName>
    <definedName name="PWRGENBAL" localSheetId="12">#REF!</definedName>
    <definedName name="PWRGENBAL" localSheetId="11">#REF!</definedName>
    <definedName name="PWRGENBAL" localSheetId="9">#REF!</definedName>
    <definedName name="PWRGENBAL">#REF!</definedName>
    <definedName name="PWRGENCASH" localSheetId="12">#REF!</definedName>
    <definedName name="PWRGENCASH" localSheetId="11">#REF!</definedName>
    <definedName name="PWRGENCASH" localSheetId="9">#REF!</definedName>
    <definedName name="PWRGENCASH">#REF!</definedName>
    <definedName name="QtrbyMonth" localSheetId="12">#REF!</definedName>
    <definedName name="QtrbyMonth" localSheetId="11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12">#REF!</definedName>
    <definedName name="REPORT" localSheetId="4">#REF!</definedName>
    <definedName name="REPORT" localSheetId="11">#REF!</definedName>
    <definedName name="REPORT" localSheetId="9">#REF!</definedName>
    <definedName name="REPORT">#REF!</definedName>
    <definedName name="ReportTitle1" localSheetId="12">#REF!</definedName>
    <definedName name="ReportTitle1" localSheetId="11">#REF!</definedName>
    <definedName name="ReportTitle1" localSheetId="9">#REF!</definedName>
    <definedName name="ReportTitle1">#REF!</definedName>
    <definedName name="require_hide_ku_01" localSheetId="12">'[4]LGE Require &amp; Source'!#REF!</definedName>
    <definedName name="require_hide_ku_01" localSheetId="11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12">'[4]LGE Require &amp; Source'!#REF!</definedName>
    <definedName name="require_hide_lge_01" localSheetId="11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12">'[4]LGE Require &amp; Source'!#REF!</definedName>
    <definedName name="require_ku_01" localSheetId="11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12">'[4]LGE Require &amp; Source'!#REF!</definedName>
    <definedName name="Requirements_Annual_KU" localSheetId="11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12">'[4]LGE Require &amp; Source'!#REF!</definedName>
    <definedName name="Requirements_Data" localSheetId="11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12">'[4]LGE Require &amp; Source'!#REF!</definedName>
    <definedName name="Requirements_KU" localSheetId="11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12">#REF!</definedName>
    <definedName name="RevCol01" localSheetId="11">#REF!</definedName>
    <definedName name="RevCol01" localSheetId="9">#REF!</definedName>
    <definedName name="RevCol01">#REF!</definedName>
    <definedName name="RevCol01A" localSheetId="12">#REF!</definedName>
    <definedName name="RevCol01A" localSheetId="11">#REF!</definedName>
    <definedName name="RevCol01A" localSheetId="9">#REF!</definedName>
    <definedName name="RevCol01A">#REF!</definedName>
    <definedName name="RevCol01B" localSheetId="12">#REF!</definedName>
    <definedName name="RevCol01B" localSheetId="4">#REF!</definedName>
    <definedName name="RevCol01B" localSheetId="11">[12]RevDatabase!#REF!</definedName>
    <definedName name="RevCol01B" localSheetId="9">[12]RevDatabase!#REF!</definedName>
    <definedName name="RevCol01B">[12]RevDatabase!#REF!</definedName>
    <definedName name="RevCol02" localSheetId="12">#REF!</definedName>
    <definedName name="RevCol02" localSheetId="11">#REF!</definedName>
    <definedName name="RevCol02" localSheetId="9">#REF!</definedName>
    <definedName name="RevCol02">#REF!</definedName>
    <definedName name="RevCol02A" localSheetId="12">#REF!</definedName>
    <definedName name="RevCol02A" localSheetId="11">#REF!</definedName>
    <definedName name="RevCol02A" localSheetId="9">#REF!</definedName>
    <definedName name="RevCol02A">#REF!</definedName>
    <definedName name="RevCol02B" localSheetId="12">#REF!</definedName>
    <definedName name="RevCol02B" localSheetId="4">#REF!</definedName>
    <definedName name="RevCol02B" localSheetId="11">[12]RevDatabase!#REF!</definedName>
    <definedName name="RevCol02B" localSheetId="9">[12]RevDatabase!#REF!</definedName>
    <definedName name="RevCol02B">[12]RevDatabase!#REF!</definedName>
    <definedName name="RevCol03" localSheetId="12">#REF!</definedName>
    <definedName name="RevCol03" localSheetId="11">#REF!</definedName>
    <definedName name="RevCol03" localSheetId="9">#REF!</definedName>
    <definedName name="RevCol03">#REF!</definedName>
    <definedName name="RevCol04" localSheetId="12">#REF!</definedName>
    <definedName name="RevCol04" localSheetId="11">#REF!</definedName>
    <definedName name="RevCol04" localSheetId="9">#REF!</definedName>
    <definedName name="RevCol04">#REF!</definedName>
    <definedName name="RevCol05" localSheetId="12">#REF!</definedName>
    <definedName name="RevCol05" localSheetId="11">#REF!</definedName>
    <definedName name="RevCol05" localSheetId="9">#REF!</definedName>
    <definedName name="RevCol05">#REF!</definedName>
    <definedName name="RevCol06" localSheetId="12">#REF!</definedName>
    <definedName name="RevCol06" localSheetId="11">#REF!</definedName>
    <definedName name="RevCol06" localSheetId="9">#REF!</definedName>
    <definedName name="RevCol06">#REF!</definedName>
    <definedName name="RevCol07" localSheetId="12">#REF!</definedName>
    <definedName name="RevCol07" localSheetId="11">#REF!</definedName>
    <definedName name="RevCol07" localSheetId="9">#REF!</definedName>
    <definedName name="RevCol07">#REF!</definedName>
    <definedName name="RevCol08" localSheetId="12">#REF!</definedName>
    <definedName name="RevCol08" localSheetId="11">#REF!</definedName>
    <definedName name="RevCol08" localSheetId="9">#REF!</definedName>
    <definedName name="RevCol08">#REF!</definedName>
    <definedName name="RevCol09" localSheetId="12">#REF!</definedName>
    <definedName name="RevCol09" localSheetId="11">#REF!</definedName>
    <definedName name="RevCol09" localSheetId="9">#REF!</definedName>
    <definedName name="RevCol09">#REF!</definedName>
    <definedName name="RevCol10" localSheetId="12">#REF!</definedName>
    <definedName name="RevCol10" localSheetId="11">#REF!</definedName>
    <definedName name="RevCol10" localSheetId="9">#REF!</definedName>
    <definedName name="RevCol10">#REF!</definedName>
    <definedName name="RevCol11" localSheetId="12">#REF!</definedName>
    <definedName name="RevCol11" localSheetId="11">#REF!</definedName>
    <definedName name="RevCol11" localSheetId="9">#REF!</definedName>
    <definedName name="RevCol11">#REF!</definedName>
    <definedName name="RevCol12" localSheetId="12">#REF!</definedName>
    <definedName name="RevCol12" localSheetId="11">#REF!</definedName>
    <definedName name="RevCol12" localSheetId="9">#REF!</definedName>
    <definedName name="RevCol12">#REF!</definedName>
    <definedName name="RevCol13" localSheetId="12">#REF!</definedName>
    <definedName name="RevCol13" localSheetId="11">#REF!</definedName>
    <definedName name="RevCol13" localSheetId="9">#REF!</definedName>
    <definedName name="RevCol13">#REF!</definedName>
    <definedName name="RevCol14" localSheetId="12">#REF!</definedName>
    <definedName name="RevCol14" localSheetId="11">#REF!</definedName>
    <definedName name="RevCol14" localSheetId="9">#REF!</definedName>
    <definedName name="RevCol14">#REF!</definedName>
    <definedName name="RevCol15" localSheetId="12">#REF!</definedName>
    <definedName name="RevCol15" localSheetId="11">#REF!</definedName>
    <definedName name="RevCol15" localSheetId="9">#REF!</definedName>
    <definedName name="RevCol15">#REF!</definedName>
    <definedName name="RevCol16" localSheetId="12">#REF!</definedName>
    <definedName name="RevCol16" localSheetId="11">#REF!</definedName>
    <definedName name="RevCol16" localSheetId="9">#REF!</definedName>
    <definedName name="RevCol16">#REF!</definedName>
    <definedName name="RevCol17" localSheetId="12">#REF!</definedName>
    <definedName name="RevCol17" localSheetId="11">#REF!</definedName>
    <definedName name="RevCol17" localSheetId="9">#REF!</definedName>
    <definedName name="RevCol17">#REF!</definedName>
    <definedName name="RevCol18" localSheetId="12">#REF!</definedName>
    <definedName name="RevCol18" localSheetId="11">#REF!</definedName>
    <definedName name="RevCol18" localSheetId="9">#REF!</definedName>
    <definedName name="RevCol18">#REF!</definedName>
    <definedName name="RevCol19" localSheetId="12">#REF!</definedName>
    <definedName name="RevCol19" localSheetId="11">#REF!</definedName>
    <definedName name="RevCol19" localSheetId="9">#REF!</definedName>
    <definedName name="RevCol19">#REF!</definedName>
    <definedName name="RevCol20" localSheetId="12">#REF!</definedName>
    <definedName name="RevCol20" localSheetId="11">#REF!</definedName>
    <definedName name="RevCol20" localSheetId="9">#REF!</definedName>
    <definedName name="RevCol20">#REF!</definedName>
    <definedName name="RevCol21" localSheetId="12">#REF!</definedName>
    <definedName name="RevCol21" localSheetId="11">#REF!</definedName>
    <definedName name="RevCol21" localSheetId="9">#REF!</definedName>
    <definedName name="RevCol21">#REF!</definedName>
    <definedName name="RevCol22" localSheetId="12">#REF!</definedName>
    <definedName name="RevCol22" localSheetId="11">#REF!</definedName>
    <definedName name="RevCol22" localSheetId="9">#REF!</definedName>
    <definedName name="RevCol22">#REF!</definedName>
    <definedName name="RevCol23" localSheetId="12">#REF!</definedName>
    <definedName name="RevCol23" localSheetId="11">#REF!</definedName>
    <definedName name="RevCol23" localSheetId="9">#REF!</definedName>
    <definedName name="RevCol23">#REF!</definedName>
    <definedName name="RevCol24" localSheetId="12">#REF!</definedName>
    <definedName name="RevCol24" localSheetId="11">#REF!</definedName>
    <definedName name="RevCol24" localSheetId="9">#REF!</definedName>
    <definedName name="RevCol24">#REF!</definedName>
    <definedName name="RevCol25" localSheetId="12">#REF!</definedName>
    <definedName name="RevCol25" localSheetId="11">#REF!</definedName>
    <definedName name="RevCol25" localSheetId="9">#REF!</definedName>
    <definedName name="RevCol25">#REF!</definedName>
    <definedName name="RevCol26" localSheetId="12">#REF!</definedName>
    <definedName name="RevCol26" localSheetId="11">#REF!</definedName>
    <definedName name="RevCol26" localSheetId="9">#REF!</definedName>
    <definedName name="RevCol26">#REF!</definedName>
    <definedName name="RevCol27" localSheetId="12">#REF!</definedName>
    <definedName name="RevCol27" localSheetId="11">#REF!</definedName>
    <definedName name="RevCol27" localSheetId="9">#REF!</definedName>
    <definedName name="RevCol27">#REF!</definedName>
    <definedName name="RevCol28" localSheetId="12">#REF!</definedName>
    <definedName name="RevCol28" localSheetId="11">#REF!</definedName>
    <definedName name="RevCol28" localSheetId="9">#REF!</definedName>
    <definedName name="RevCol28">#REF!</definedName>
    <definedName name="RevCol29" localSheetId="12">#REF!</definedName>
    <definedName name="RevCol29" localSheetId="11">#REF!</definedName>
    <definedName name="RevCol29" localSheetId="9">#REF!</definedName>
    <definedName name="RevCol29">#REF!</definedName>
    <definedName name="RevCol30" localSheetId="12">#REF!</definedName>
    <definedName name="RevCol30" localSheetId="11">#REF!</definedName>
    <definedName name="RevCol30" localSheetId="9">#REF!</definedName>
    <definedName name="RevCol30">#REF!</definedName>
    <definedName name="RevCol31" localSheetId="12">#REF!</definedName>
    <definedName name="RevCol31" localSheetId="11">#REF!</definedName>
    <definedName name="RevCol31" localSheetId="9">#REF!</definedName>
    <definedName name="RevCol31">#REF!</definedName>
    <definedName name="RevCol32" localSheetId="12">#REF!</definedName>
    <definedName name="RevCol32" localSheetId="11">#REF!</definedName>
    <definedName name="RevCol32" localSheetId="9">#REF!</definedName>
    <definedName name="RevCol32">#REF!</definedName>
    <definedName name="RevCol33" localSheetId="12">#REF!</definedName>
    <definedName name="RevCol33" localSheetId="11">#REF!</definedName>
    <definedName name="RevCol33" localSheetId="9">#REF!</definedName>
    <definedName name="RevCol33">#REF!</definedName>
    <definedName name="RevCol34" localSheetId="12">#REF!</definedName>
    <definedName name="RevCol34" localSheetId="11">#REF!</definedName>
    <definedName name="RevCol34" localSheetId="9">#REF!</definedName>
    <definedName name="RevCol34">#REF!</definedName>
    <definedName name="RevCol35" localSheetId="12">#REF!</definedName>
    <definedName name="RevCol35" localSheetId="11">#REF!</definedName>
    <definedName name="RevCol35" localSheetId="9">#REF!</definedName>
    <definedName name="RevCol35">#REF!</definedName>
    <definedName name="RevCol36" localSheetId="12">#REF!</definedName>
    <definedName name="RevCol36" localSheetId="11">#REF!</definedName>
    <definedName name="RevCol36" localSheetId="9">#REF!</definedName>
    <definedName name="RevCol36">#REF!</definedName>
    <definedName name="RevCol37" localSheetId="12">#REF!</definedName>
    <definedName name="RevCol37" localSheetId="11">#REF!</definedName>
    <definedName name="RevCol37" localSheetId="9">#REF!</definedName>
    <definedName name="RevCol37">#REF!</definedName>
    <definedName name="RevColTmp" localSheetId="12">#REF!</definedName>
    <definedName name="RevColTmp" localSheetId="4">#REF!</definedName>
    <definedName name="RevColTmp" localSheetId="11">[12]RevDatabase!#REF!</definedName>
    <definedName name="RevColTmp" localSheetId="9">[12]RevDatabase!#REF!</definedName>
    <definedName name="RevColTmp">[12]RevDatabase!#REF!</definedName>
    <definedName name="RevColTmpA" localSheetId="12">#REF!</definedName>
    <definedName name="RevColTmpA" localSheetId="4">#REF!</definedName>
    <definedName name="RevColTmpA" localSheetId="11">[12]RevDatabase!#REF!</definedName>
    <definedName name="RevColTmpA" localSheetId="9">[12]RevDatabase!#REF!</definedName>
    <definedName name="RevColTmpA">[12]RevDatabase!#REF!</definedName>
    <definedName name="RevColTmpB" localSheetId="12">#REF!</definedName>
    <definedName name="RevColTmpB" localSheetId="4">#REF!</definedName>
    <definedName name="RevColTmpB" localSheetId="11">[12]RevDatabase!#REF!</definedName>
    <definedName name="RevColTmpB" localSheetId="9">[12]RevDatabase!#REF!</definedName>
    <definedName name="RevColTmpB">[12]RevDatabase!#REF!</definedName>
    <definedName name="revenues_hide_ku_01" localSheetId="12">'[4]KU Other Electric Revenues'!#REF!</definedName>
    <definedName name="revenues_hide_ku_01" localSheetId="11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12">'[4]KU Other Electric Revenues'!#REF!</definedName>
    <definedName name="revenues_ku_01" localSheetId="11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12">#REF!</definedName>
    <definedName name="RowDetails1" localSheetId="11">#REF!</definedName>
    <definedName name="RowDetails1" localSheetId="9">#REF!</definedName>
    <definedName name="RowDetails1">#REF!</definedName>
    <definedName name="RPTCOL" localSheetId="12">#REF!</definedName>
    <definedName name="RPTCOL" localSheetId="11">#REF!</definedName>
    <definedName name="RPTCOL" localSheetId="9">#REF!</definedName>
    <definedName name="RPTCOL">#REF!</definedName>
    <definedName name="RPTROW" localSheetId="12">#REF!</definedName>
    <definedName name="RPTROW" localSheetId="11">#REF!</definedName>
    <definedName name="RPTROW" localSheetId="9">#REF!</definedName>
    <definedName name="RPTROW">#REF!</definedName>
    <definedName name="Sales" localSheetId="12">'[4]LGE Sales'!#REF!</definedName>
    <definedName name="Sales" localSheetId="11">'[4]LGE Sales'!#REF!</definedName>
    <definedName name="Sales" localSheetId="9">'[4]LGE Sales'!#REF!</definedName>
    <definedName name="Sales">'[4]LGE Sales'!#REF!</definedName>
    <definedName name="sales_hide_ku_01" localSheetId="12">'[4]LGE Sales'!#REF!</definedName>
    <definedName name="sales_hide_ku_01" localSheetId="11">'[4]LGE Sales'!#REF!</definedName>
    <definedName name="sales_hide_ku_01" localSheetId="9">'[4]LGE Sales'!#REF!</definedName>
    <definedName name="sales_hide_ku_01">'[4]LGE Sales'!#REF!</definedName>
    <definedName name="sales_ku_01" localSheetId="12">'[4]LGE Sales'!#REF!</definedName>
    <definedName name="sales_ku_01" localSheetId="11">'[4]LGE Sales'!#REF!</definedName>
    <definedName name="sales_ku_01" localSheetId="9">'[4]LGE Sales'!#REF!</definedName>
    <definedName name="sales_ku_01">'[4]LGE Sales'!#REF!</definedName>
    <definedName name="sales_title_ku" localSheetId="12">'[4]LGE Sales'!#REF!</definedName>
    <definedName name="sales_title_ku" localSheetId="11">'[4]LGE Sales'!#REF!</definedName>
    <definedName name="sales_title_ku" localSheetId="9">'[4]LGE Sales'!#REF!</definedName>
    <definedName name="sales_title_ku">'[4]LGE Sales'!#REF!</definedName>
    <definedName name="SCHEDZ" localSheetId="12">#REF!</definedName>
    <definedName name="SCHEDZ" localSheetId="4">#REF!</definedName>
    <definedName name="SCHEDZ" localSheetId="11">#REF!</definedName>
    <definedName name="SCHEDZ" localSheetId="9">#REF!</definedName>
    <definedName name="SCHEDZ">#REF!</definedName>
    <definedName name="shoot" localSheetId="12">#REF!</definedName>
    <definedName name="shoot" localSheetId="11">#REF!</definedName>
    <definedName name="shoot" localSheetId="9">#REF!</definedName>
    <definedName name="shoot">#REF!</definedName>
    <definedName name="START" localSheetId="12">#REF!</definedName>
    <definedName name="START" localSheetId="11">#REF!</definedName>
    <definedName name="START" localSheetId="9">#REF!</definedName>
    <definedName name="START">#REF!</definedName>
    <definedName name="START2" localSheetId="12">#REF!</definedName>
    <definedName name="START2" localSheetId="11">#REF!</definedName>
    <definedName name="START2" localSheetId="9">#REF!</definedName>
    <definedName name="START2">#REF!</definedName>
    <definedName name="START3" localSheetId="12">#REF!</definedName>
    <definedName name="START3" localSheetId="11">#REF!</definedName>
    <definedName name="START3" localSheetId="9">#REF!</definedName>
    <definedName name="START3">#REF!</definedName>
    <definedName name="Support" localSheetId="12">#REF!</definedName>
    <definedName name="Support" localSheetId="4">#REF!</definedName>
    <definedName name="Support" localSheetId="11">#REF!</definedName>
    <definedName name="Support" localSheetId="9">#REF!</definedName>
    <definedName name="Support">#REF!</definedName>
    <definedName name="SUPPORT5" localSheetId="12">#REF!</definedName>
    <definedName name="SUPPORT5" localSheetId="4">#REF!</definedName>
    <definedName name="SUPPORT5" localSheetId="11">#REF!</definedName>
    <definedName name="SUPPORT5" localSheetId="9">#REF!</definedName>
    <definedName name="SUPPORT5">#REF!</definedName>
    <definedName name="SUPPORT6" localSheetId="12">#REF!</definedName>
    <definedName name="SUPPORT6" localSheetId="4">#REF!</definedName>
    <definedName name="SUPPORT6" localSheetId="11">#REF!</definedName>
    <definedName name="SUPPORT6" localSheetId="9">#REF!</definedName>
    <definedName name="SUPPORT6">#REF!</definedName>
    <definedName name="TAX_RATE" localSheetId="12">'[7]#REF'!#REF!</definedName>
    <definedName name="TAX_RATE" localSheetId="11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12">#REF!</definedName>
    <definedName name="TenyrNIAC" localSheetId="11">#REF!</definedName>
    <definedName name="TenyrNIAC" localSheetId="9">#REF!</definedName>
    <definedName name="TenyrNIAC">#REF!</definedName>
    <definedName name="TenyrRev" localSheetId="12">#REF!</definedName>
    <definedName name="TenyrRev" localSheetId="11">#REF!</definedName>
    <definedName name="TenyrRev" localSheetId="9">#REF!</definedName>
    <definedName name="TenyrRev">#REF!</definedName>
    <definedName name="test" localSheetId="12">LE!test</definedName>
    <definedName name="test" localSheetId="4">RS!test</definedName>
    <definedName name="test">[0]!test</definedName>
    <definedName name="Title" localSheetId="12">#REF!</definedName>
    <definedName name="Title" localSheetId="11">#REF!</definedName>
    <definedName name="Title" localSheetId="9">#REF!</definedName>
    <definedName name="Title">#REF!</definedName>
    <definedName name="Title_Choice" localSheetId="12">#REF!</definedName>
    <definedName name="Title_Choice" localSheetId="11">#REF!</definedName>
    <definedName name="Title_Choice" localSheetId="9">#REF!</definedName>
    <definedName name="Title_Choice">#REF!</definedName>
    <definedName name="Titles" localSheetId="12">#REF!</definedName>
    <definedName name="Titles" localSheetId="11">#REF!</definedName>
    <definedName name="Titles" localSheetId="9">#REF!</definedName>
    <definedName name="Titles">#REF!</definedName>
    <definedName name="Titles_KU" localSheetId="12">#REF!</definedName>
    <definedName name="Titles_KU" localSheetId="11">#REF!</definedName>
    <definedName name="Titles_KU" localSheetId="9">#REF!</definedName>
    <definedName name="Titles_KU">#REF!</definedName>
    <definedName name="ttt" localSheetId="12">#REF!</definedName>
    <definedName name="ttt" localSheetId="4">#REF!</definedName>
    <definedName name="ttt" localSheetId="11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12">#REF!</definedName>
    <definedName name="Variance" localSheetId="11">#REF!</definedName>
    <definedName name="Variance" localSheetId="9">#REF!</definedName>
    <definedName name="Variance">#REF!</definedName>
    <definedName name="VIEW1" localSheetId="12">#REF!</definedName>
    <definedName name="VIEW1" localSheetId="11">#REF!</definedName>
    <definedName name="VIEW1" localSheetId="9">#REF!</definedName>
    <definedName name="VIEW1">#REF!</definedName>
    <definedName name="vol_rev_annual_ku" localSheetId="12">'[4]LGE Retail Margin'!#REF!</definedName>
    <definedName name="vol_rev_annual_ku" localSheetId="11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12">'[4]LGE Retail Margin'!#REF!</definedName>
    <definedName name="vol_rev_hide_ku_monthly" localSheetId="11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12">'[4]LGE Retail Margin'!#REF!</definedName>
    <definedName name="vol_rev_hide_lge_01" localSheetId="11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12">'[4]LGE Retail Margin'!#REF!</definedName>
    <definedName name="vol_rev_ku_monthly" localSheetId="11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12">'[4]LGE Retail Margin'!#REF!</definedName>
    <definedName name="volrev_data" localSheetId="11">'[4]LGE Retail Margin'!#REF!</definedName>
    <definedName name="volrev_data" localSheetId="9">'[4]LGE Retail Margin'!#REF!</definedName>
    <definedName name="volrev_data">'[4]LGE Retail Margin'!#REF!</definedName>
    <definedName name="YTD" localSheetId="12">#REF!</definedName>
    <definedName name="YTD" localSheetId="4">#REF!</definedName>
    <definedName name="YTD" localSheetId="11">#REF!</definedName>
    <definedName name="YTD" localSheetId="9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G50" i="34" l="1"/>
  <c r="H50" i="34" l="1"/>
  <c r="G964" i="2" l="1"/>
  <c r="F846" i="2" l="1"/>
  <c r="E893" i="2"/>
  <c r="E892" i="2"/>
  <c r="D32" i="33" l="1"/>
  <c r="H50" i="31"/>
  <c r="H50" i="32"/>
  <c r="H50" i="28"/>
  <c r="H50" i="27"/>
  <c r="E50" i="26"/>
  <c r="H50" i="26" s="1"/>
  <c r="G50" i="26" l="1"/>
  <c r="E32" i="33"/>
  <c r="G50" i="27"/>
  <c r="K32" i="33" l="1"/>
  <c r="L32" i="33" s="1"/>
  <c r="E31" i="5" l="1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G30" i="5"/>
  <c r="U1033" i="2" s="1"/>
  <c r="G28" i="5"/>
  <c r="T1033" i="2" s="1"/>
  <c r="G26" i="5"/>
  <c r="S1033" i="2" s="1"/>
  <c r="G1036" i="2"/>
  <c r="N1034" i="2"/>
  <c r="N1010" i="2"/>
  <c r="N1006" i="2"/>
  <c r="F50" i="32" s="1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E50" i="24" l="1"/>
  <c r="G50" i="24"/>
  <c r="H50" i="24"/>
  <c r="F50" i="24"/>
  <c r="H1007" i="2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D6" i="11"/>
  <c r="D18" i="11" s="1"/>
  <c r="D28" i="11" s="1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F50" i="28" s="1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F50" i="27" s="1"/>
  <c r="K1006" i="2"/>
  <c r="F50" i="26" s="1"/>
  <c r="L1007" i="2"/>
  <c r="L1058" i="2" s="1"/>
  <c r="P1006" i="2"/>
  <c r="F50" i="31" s="1"/>
  <c r="Q1006" i="2"/>
  <c r="Q1007" i="2" s="1"/>
  <c r="R1006" i="2"/>
  <c r="S1006" i="2"/>
  <c r="D3" i="11" s="1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25" i="1" s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D35" i="14" s="1"/>
  <c r="G794" i="2"/>
  <c r="H790" i="2"/>
  <c r="H766" i="2"/>
  <c r="H764" i="2"/>
  <c r="H792" i="2"/>
  <c r="H763" i="2"/>
  <c r="H794" i="2"/>
  <c r="H793" i="2"/>
  <c r="D35" i="24" s="1"/>
  <c r="I794" i="2"/>
  <c r="I764" i="2"/>
  <c r="I763" i="2"/>
  <c r="I793" i="2"/>
  <c r="I766" i="2"/>
  <c r="I790" i="2"/>
  <c r="I792" i="2"/>
  <c r="J763" i="2"/>
  <c r="J792" i="2"/>
  <c r="J793" i="2"/>
  <c r="D35" i="27" s="1"/>
  <c r="J790" i="2"/>
  <c r="J764" i="2"/>
  <c r="J766" i="2"/>
  <c r="J794" i="2"/>
  <c r="K792" i="2"/>
  <c r="K764" i="2"/>
  <c r="K790" i="2"/>
  <c r="K793" i="2"/>
  <c r="D35" i="26" s="1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D35" i="32" s="1"/>
  <c r="N790" i="2"/>
  <c r="N766" i="2"/>
  <c r="N792" i="2"/>
  <c r="N794" i="2"/>
  <c r="O792" i="2"/>
  <c r="O764" i="2"/>
  <c r="O766" i="2"/>
  <c r="O763" i="2"/>
  <c r="O790" i="2"/>
  <c r="O793" i="2"/>
  <c r="D35" i="28" s="1"/>
  <c r="O794" i="2"/>
  <c r="P793" i="2"/>
  <c r="D35" i="31" s="1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D35" i="34" s="1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D36" i="33" s="1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U1010" i="2"/>
  <c r="U1011" i="2" s="1"/>
  <c r="U1022" i="2" s="1"/>
  <c r="D32" i="7"/>
  <c r="P1010" i="2"/>
  <c r="D26" i="7"/>
  <c r="D32" i="8"/>
  <c r="E32" i="8" s="1"/>
  <c r="D31" i="5"/>
  <c r="H1044" i="2"/>
  <c r="D28" i="7"/>
  <c r="E28" i="7" s="1"/>
  <c r="D10" i="11"/>
  <c r="D22" i="7"/>
  <c r="E22" i="7" s="1"/>
  <c r="C26" i="7"/>
  <c r="D28" i="8"/>
  <c r="E28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E32" i="7" l="1"/>
  <c r="R1029" i="2"/>
  <c r="J50" i="34"/>
  <c r="I50" i="34"/>
  <c r="R1007" i="2"/>
  <c r="F50" i="34"/>
  <c r="F50" i="33"/>
  <c r="H50" i="33"/>
  <c r="G50" i="33"/>
  <c r="E50" i="33"/>
  <c r="T1007" i="2"/>
  <c r="P1011" i="2"/>
  <c r="P1022" i="2" s="1"/>
  <c r="P1023" i="2" s="1"/>
  <c r="P1070" i="2"/>
  <c r="K1011" i="2"/>
  <c r="K1012" i="2" s="1"/>
  <c r="O1011" i="2"/>
  <c r="O1022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D5" i="11"/>
  <c r="D17" i="11" s="1"/>
  <c r="D19" i="11" s="1"/>
  <c r="G1007" i="2"/>
  <c r="R1058" i="2"/>
  <c r="G50" i="14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L1027" i="2"/>
  <c r="S1022" i="2"/>
  <c r="H31" i="5"/>
  <c r="S1007" i="2"/>
  <c r="R1012" i="2"/>
  <c r="R1015" i="2" s="1"/>
  <c r="R1016" i="2" s="1"/>
  <c r="E50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D15" i="11"/>
  <c r="F50" i="14"/>
  <c r="H1022" i="2"/>
  <c r="H50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T1022" i="2"/>
  <c r="T1012" i="2"/>
  <c r="R1023" i="2"/>
  <c r="O1012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D25" i="11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O1023" i="2"/>
  <c r="O1029" i="2"/>
  <c r="U1029" i="2"/>
  <c r="U1023" i="2"/>
  <c r="U1024" i="2" s="1"/>
  <c r="G1023" i="2"/>
  <c r="J50" i="14"/>
  <c r="G1026" i="2"/>
  <c r="I50" i="14"/>
  <c r="U1012" i="2"/>
  <c r="H1016" i="2"/>
  <c r="H1015" i="2"/>
  <c r="H1018" i="2" s="1"/>
  <c r="H1013" i="2"/>
  <c r="J50" i="24" l="1"/>
  <c r="I50" i="24"/>
  <c r="J50" i="33"/>
  <c r="I50" i="33"/>
  <c r="J50" i="31"/>
  <c r="I50" i="31"/>
  <c r="K1022" i="2"/>
  <c r="K1029" i="2" s="1"/>
  <c r="J50" i="28"/>
  <c r="I50" i="28"/>
  <c r="P1012" i="2"/>
  <c r="H1029" i="2"/>
  <c r="K1070" i="2"/>
  <c r="AA1070" i="2" s="1"/>
  <c r="AB1070" i="2" s="1"/>
  <c r="H765" i="2"/>
  <c r="L1024" i="2"/>
  <c r="L1029" i="2"/>
  <c r="H1001" i="2"/>
  <c r="D7" i="11"/>
  <c r="D9" i="11" s="1"/>
  <c r="D11" i="11" s="1"/>
  <c r="D27" i="11"/>
  <c r="D29" i="11" s="1"/>
  <c r="D31" i="11" s="1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D21" i="11"/>
  <c r="G700" i="2"/>
  <c r="G1016" i="2"/>
  <c r="G1003" i="2" s="1"/>
  <c r="G1058" i="2"/>
  <c r="H701" i="2"/>
  <c r="H788" i="2"/>
  <c r="D33" i="24" s="1"/>
  <c r="F33" i="24" s="1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I50" i="26" l="1"/>
  <c r="J50" i="26"/>
  <c r="I50" i="32"/>
  <c r="J50" i="32"/>
  <c r="K33" i="24"/>
  <c r="L33" i="24" s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D33" i="14"/>
  <c r="F33" i="14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I633" i="1"/>
  <c r="I375" i="1" s="1"/>
  <c r="I381" i="1" s="1"/>
  <c r="G697" i="2"/>
  <c r="F710" i="2"/>
  <c r="I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J697" i="2" l="1"/>
  <c r="K2" i="2"/>
  <c r="I50" i="27"/>
  <c r="J50" i="27"/>
  <c r="K33" i="14"/>
  <c r="L33" i="14" s="1"/>
  <c r="K1003" i="2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K1087" i="2" l="1"/>
  <c r="K705" i="2"/>
  <c r="L2" i="2"/>
  <c r="D33" i="27"/>
  <c r="F33" i="27" s="1"/>
  <c r="K33" i="27" s="1"/>
  <c r="L33" i="27" s="1"/>
  <c r="D33" i="26"/>
  <c r="F33" i="26" s="1"/>
  <c r="K33" i="26" s="1"/>
  <c r="L33" i="26" s="1"/>
  <c r="J668" i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L789" i="2" l="1"/>
  <c r="L702" i="2"/>
  <c r="L762" i="2"/>
  <c r="L788" i="2"/>
  <c r="L998" i="2"/>
  <c r="L1002" i="2"/>
  <c r="L995" i="2"/>
  <c r="L698" i="2" s="1"/>
  <c r="L765" i="2"/>
  <c r="L767" i="2"/>
  <c r="L760" i="2"/>
  <c r="L791" i="2"/>
  <c r="L705" i="2"/>
  <c r="L704" i="2"/>
  <c r="L1001" i="2"/>
  <c r="L708" i="2"/>
  <c r="L976" i="2"/>
  <c r="L977" i="2"/>
  <c r="M2" i="2"/>
  <c r="L701" i="2"/>
  <c r="L697" i="2"/>
  <c r="L800" i="2" s="1"/>
  <c r="L700" i="2"/>
  <c r="L761" i="2"/>
  <c r="L1087" i="2"/>
  <c r="L1003" i="2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M1001" i="2" l="1"/>
  <c r="M765" i="2"/>
  <c r="M697" i="2"/>
  <c r="M800" i="2" s="1"/>
  <c r="M700" i="2"/>
  <c r="M705" i="2"/>
  <c r="M702" i="2"/>
  <c r="M1003" i="2"/>
  <c r="M767" i="2"/>
  <c r="M788" i="2"/>
  <c r="M1087" i="2"/>
  <c r="M701" i="2"/>
  <c r="M761" i="2"/>
  <c r="N2" i="2"/>
  <c r="M976" i="2"/>
  <c r="M708" i="2"/>
  <c r="M791" i="2"/>
  <c r="M977" i="2"/>
  <c r="M762" i="2"/>
  <c r="M995" i="2"/>
  <c r="M698" i="2" s="1"/>
  <c r="M760" i="2"/>
  <c r="M998" i="2"/>
  <c r="M704" i="2"/>
  <c r="M789" i="2"/>
  <c r="M1002" i="2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998" i="2" l="1"/>
  <c r="N791" i="2"/>
  <c r="N995" i="2"/>
  <c r="N698" i="2" s="1"/>
  <c r="N697" i="2"/>
  <c r="N800" i="2" s="1"/>
  <c r="N767" i="2"/>
  <c r="O2" i="2"/>
  <c r="N976" i="2"/>
  <c r="N1001" i="2"/>
  <c r="N702" i="2"/>
  <c r="N765" i="2"/>
  <c r="N1003" i="2"/>
  <c r="N708" i="2"/>
  <c r="N762" i="2"/>
  <c r="N1087" i="2"/>
  <c r="N1002" i="2"/>
  <c r="N704" i="2"/>
  <c r="N700" i="2"/>
  <c r="N760" i="2"/>
  <c r="N789" i="2"/>
  <c r="N788" i="2"/>
  <c r="D33" i="32" s="1"/>
  <c r="F33" i="32" s="1"/>
  <c r="K33" i="32" s="1"/>
  <c r="L33" i="32" s="1"/>
  <c r="N761" i="2"/>
  <c r="N701" i="2"/>
  <c r="N705" i="2"/>
  <c r="N977" i="2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765" i="2" l="1"/>
  <c r="O1003" i="2"/>
  <c r="O788" i="2"/>
  <c r="O789" i="2"/>
  <c r="O976" i="2"/>
  <c r="O1087" i="2"/>
  <c r="O998" i="2"/>
  <c r="O977" i="2"/>
  <c r="O995" i="2"/>
  <c r="O698" i="2" s="1"/>
  <c r="O708" i="2"/>
  <c r="O700" i="2"/>
  <c r="O697" i="2"/>
  <c r="O800" i="2" s="1"/>
  <c r="O705" i="2"/>
  <c r="O767" i="2"/>
  <c r="O762" i="2"/>
  <c r="O760" i="2"/>
  <c r="O704" i="2"/>
  <c r="O791" i="2"/>
  <c r="O761" i="2"/>
  <c r="O1001" i="2"/>
  <c r="O702" i="2"/>
  <c r="P2" i="2"/>
  <c r="O1002" i="2"/>
  <c r="O701" i="2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P789" i="2" l="1"/>
  <c r="P762" i="2"/>
  <c r="P697" i="2"/>
  <c r="P800" i="2" s="1"/>
  <c r="P761" i="2"/>
  <c r="P788" i="2"/>
  <c r="P1002" i="2"/>
  <c r="P705" i="2"/>
  <c r="P708" i="2"/>
  <c r="P791" i="2"/>
  <c r="P1001" i="2"/>
  <c r="P998" i="2"/>
  <c r="P700" i="2"/>
  <c r="P765" i="2"/>
  <c r="P767" i="2"/>
  <c r="P701" i="2"/>
  <c r="P760" i="2"/>
  <c r="P977" i="2"/>
  <c r="P995" i="2"/>
  <c r="P698" i="2" s="1"/>
  <c r="P704" i="2"/>
  <c r="P1003" i="2"/>
  <c r="P1087" i="2"/>
  <c r="Q2" i="2"/>
  <c r="P976" i="2"/>
  <c r="P702" i="2"/>
  <c r="D33" i="28"/>
  <c r="F33" i="28" s="1"/>
  <c r="K33" i="28" s="1"/>
  <c r="L33" i="28" s="1"/>
  <c r="J109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Q705" i="2" l="1"/>
  <c r="R2" i="2"/>
  <c r="Q701" i="2"/>
  <c r="Q765" i="2"/>
  <c r="Q760" i="2"/>
  <c r="Q977" i="2"/>
  <c r="Q791" i="2"/>
  <c r="Q761" i="2"/>
  <c r="Q1001" i="2"/>
  <c r="Q995" i="2"/>
  <c r="Q12" i="2" s="1"/>
  <c r="Q767" i="2"/>
  <c r="Q704" i="2"/>
  <c r="Q1087" i="2"/>
  <c r="Q976" i="2"/>
  <c r="Q1003" i="2"/>
  <c r="Q702" i="2"/>
  <c r="Q700" i="2"/>
  <c r="Q1002" i="2"/>
  <c r="Q708" i="2"/>
  <c r="Q788" i="2"/>
  <c r="Q998" i="2"/>
  <c r="Q789" i="2"/>
  <c r="Q762" i="2"/>
  <c r="Q697" i="2"/>
  <c r="Q800" i="2" s="1"/>
  <c r="D33" i="31"/>
  <c r="F33" i="31" s="1"/>
  <c r="K33" i="31" s="1"/>
  <c r="L33" i="31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Q300" i="2"/>
  <c r="K300" i="2"/>
  <c r="O300" i="2"/>
  <c r="J300" i="2"/>
  <c r="P300" i="2"/>
  <c r="K130" i="1"/>
  <c r="M12" i="2"/>
  <c r="N12" i="2"/>
  <c r="I12" i="2"/>
  <c r="H12" i="2"/>
  <c r="L12" i="2"/>
  <c r="K12" i="2"/>
  <c r="G12" i="2"/>
  <c r="J12" i="2"/>
  <c r="P12" i="2"/>
  <c r="O12" i="2"/>
  <c r="N465" i="1"/>
  <c r="H308" i="1"/>
  <c r="K299" i="2"/>
  <c r="H299" i="2"/>
  <c r="M299" i="2"/>
  <c r="I299" i="2"/>
  <c r="N299" i="2"/>
  <c r="G299" i="2"/>
  <c r="L299" i="2"/>
  <c r="J299" i="2"/>
  <c r="O299" i="2"/>
  <c r="P299" i="2"/>
  <c r="P216" i="1"/>
  <c r="P214" i="1"/>
  <c r="P213" i="1"/>
  <c r="P215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358" i="2" l="1"/>
  <c r="Q356" i="2"/>
  <c r="Q299" i="2"/>
  <c r="Q414" i="2"/>
  <c r="Q357" i="2"/>
  <c r="Q698" i="2"/>
  <c r="Q415" i="2"/>
  <c r="R767" i="2"/>
  <c r="R762" i="2"/>
  <c r="R1003" i="2"/>
  <c r="R791" i="2"/>
  <c r="R760" i="2"/>
  <c r="R1002" i="2"/>
  <c r="S2" i="2"/>
  <c r="R977" i="2"/>
  <c r="R697" i="2"/>
  <c r="R800" i="2" s="1"/>
  <c r="R1001" i="2"/>
  <c r="R788" i="2"/>
  <c r="D33" i="34" s="1"/>
  <c r="R998" i="2"/>
  <c r="R708" i="2"/>
  <c r="R701" i="2"/>
  <c r="R995" i="2"/>
  <c r="R702" i="2"/>
  <c r="R765" i="2"/>
  <c r="R761" i="2"/>
  <c r="R1087" i="2"/>
  <c r="R700" i="2"/>
  <c r="R705" i="2"/>
  <c r="R704" i="2"/>
  <c r="R789" i="2"/>
  <c r="R976" i="2"/>
  <c r="Q13" i="2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R265" i="1"/>
  <c r="R270" i="1"/>
  <c r="Q661" i="1"/>
  <c r="Q179" i="1"/>
  <c r="Q185" i="1" s="1"/>
  <c r="Q450" i="1"/>
  <c r="Q230" i="1" s="1"/>
  <c r="R475" i="1"/>
  <c r="R480" i="1"/>
  <c r="R640" i="1"/>
  <c r="R123" i="1" s="1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F33" i="34" l="1"/>
  <c r="R698" i="2"/>
  <c r="R415" i="2"/>
  <c r="R358" i="2"/>
  <c r="R414" i="2"/>
  <c r="R300" i="2"/>
  <c r="R299" i="2"/>
  <c r="R357" i="2"/>
  <c r="R12" i="2"/>
  <c r="R356" i="2"/>
  <c r="S995" i="2"/>
  <c r="S644" i="2" s="1"/>
  <c r="S1087" i="2"/>
  <c r="S704" i="2"/>
  <c r="S998" i="2"/>
  <c r="S761" i="2"/>
  <c r="S789" i="2"/>
  <c r="S708" i="2"/>
  <c r="S700" i="2"/>
  <c r="S788" i="2"/>
  <c r="S1002" i="2"/>
  <c r="S705" i="2"/>
  <c r="S702" i="2"/>
  <c r="S701" i="2"/>
  <c r="S791" i="2"/>
  <c r="S760" i="2"/>
  <c r="T2" i="2"/>
  <c r="S765" i="2"/>
  <c r="S762" i="2"/>
  <c r="S977" i="2"/>
  <c r="S976" i="2"/>
  <c r="S767" i="2"/>
  <c r="S1003" i="2"/>
  <c r="S697" i="2"/>
  <c r="S800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Q234" i="1"/>
  <c r="Q235" i="1"/>
  <c r="S266" i="1"/>
  <c r="S238" i="1"/>
  <c r="S443" i="1"/>
  <c r="S264" i="1"/>
  <c r="Q229" i="1"/>
  <c r="Q237" i="1"/>
  <c r="Q239" i="1"/>
  <c r="S442" i="1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O473" i="2"/>
  <c r="P473" i="2"/>
  <c r="J473" i="2"/>
  <c r="N210" i="1"/>
  <c r="N223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O530" i="2"/>
  <c r="J530" i="2"/>
  <c r="P530" i="2"/>
  <c r="M588" i="2"/>
  <c r="I588" i="2"/>
  <c r="K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S416" i="2" l="1"/>
  <c r="S301" i="2"/>
  <c r="S72" i="2"/>
  <c r="S73" i="2"/>
  <c r="S645" i="2"/>
  <c r="K33" i="34"/>
  <c r="L33" i="34" s="1"/>
  <c r="S358" i="2"/>
  <c r="S357" i="2"/>
  <c r="S414" i="2"/>
  <c r="S415" i="2"/>
  <c r="S14" i="2"/>
  <c r="S13" i="2"/>
  <c r="S12" i="2"/>
  <c r="S299" i="2"/>
  <c r="S356" i="2"/>
  <c r="S300" i="2"/>
  <c r="S698" i="2"/>
  <c r="T977" i="2"/>
  <c r="T704" i="2"/>
  <c r="T702" i="2"/>
  <c r="T976" i="2"/>
  <c r="T762" i="2"/>
  <c r="T760" i="2"/>
  <c r="T761" i="2"/>
  <c r="T708" i="2"/>
  <c r="T765" i="2"/>
  <c r="T1087" i="2"/>
  <c r="T788" i="2"/>
  <c r="T791" i="2"/>
  <c r="T1003" i="2"/>
  <c r="T1002" i="2"/>
  <c r="T789" i="2"/>
  <c r="U2" i="2"/>
  <c r="T705" i="2"/>
  <c r="T995" i="2"/>
  <c r="T700" i="2"/>
  <c r="T701" i="2"/>
  <c r="T697" i="2"/>
  <c r="T800" i="2" s="1"/>
  <c r="T998" i="2"/>
  <c r="T767" i="2"/>
  <c r="S587" i="2"/>
  <c r="T35" i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Q107" i="1"/>
  <c r="Q241" i="1"/>
  <c r="T102" i="1"/>
  <c r="S585" i="1"/>
  <c r="T446" i="1"/>
  <c r="T584" i="1"/>
  <c r="S76" i="1"/>
  <c r="T442" i="1"/>
  <c r="T1049" i="2"/>
  <c r="T458" i="1"/>
  <c r="P1049" i="2"/>
  <c r="R1049" i="2"/>
  <c r="T445" i="1"/>
  <c r="T444" i="1"/>
  <c r="J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T249" i="1"/>
  <c r="T250" i="1"/>
  <c r="T635" i="1"/>
  <c r="T396" i="1" s="1"/>
  <c r="T402" i="1" s="1"/>
  <c r="T661" i="1" s="1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T270" i="1"/>
  <c r="Q246" i="1"/>
  <c r="Q259" i="1" s="1"/>
  <c r="T459" i="1"/>
  <c r="T306" i="1"/>
  <c r="T266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F30" i="34" l="1"/>
  <c r="D34" i="33"/>
  <c r="F34" i="33" s="1"/>
  <c r="K34" i="33" s="1"/>
  <c r="L34" i="33" s="1"/>
  <c r="T415" i="2"/>
  <c r="T529" i="2"/>
  <c r="T300" i="2"/>
  <c r="T588" i="2"/>
  <c r="T73" i="2"/>
  <c r="T644" i="2"/>
  <c r="T12" i="2"/>
  <c r="T472" i="2"/>
  <c r="T530" i="2"/>
  <c r="T356" i="2"/>
  <c r="T698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701" i="2"/>
  <c r="U702" i="2"/>
  <c r="U998" i="2"/>
  <c r="U976" i="2"/>
  <c r="U705" i="2"/>
  <c r="U1003" i="2"/>
  <c r="U704" i="2"/>
  <c r="U791" i="2"/>
  <c r="U1002" i="2"/>
  <c r="U697" i="2"/>
  <c r="U800" i="2" s="1"/>
  <c r="U762" i="2"/>
  <c r="U1047" i="2"/>
  <c r="U1048" i="2" s="1"/>
  <c r="U1049" i="2" s="1"/>
  <c r="U761" i="2"/>
  <c r="U788" i="2"/>
  <c r="U765" i="2"/>
  <c r="U1087" i="2"/>
  <c r="U700" i="2"/>
  <c r="U995" i="2"/>
  <c r="U708" i="2"/>
  <c r="U977" i="2"/>
  <c r="U789" i="2"/>
  <c r="V2" i="2"/>
  <c r="U760" i="2"/>
  <c r="U767" i="2"/>
  <c r="F30" i="27"/>
  <c r="F30" i="24"/>
  <c r="F30" i="32"/>
  <c r="F30" i="28"/>
  <c r="F30" i="31"/>
  <c r="F30" i="26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J185" i="2"/>
  <c r="F28" i="27" s="1"/>
  <c r="K185" i="2"/>
  <c r="F28" i="26" s="1"/>
  <c r="L185" i="2"/>
  <c r="R185" i="2"/>
  <c r="F28" i="34" s="1"/>
  <c r="Q185" i="2"/>
  <c r="R183" i="2"/>
  <c r="P10" i="2"/>
  <c r="H185" i="2"/>
  <c r="F28" i="24" s="1"/>
  <c r="U185" i="2"/>
  <c r="P185" i="2"/>
  <c r="F28" i="31" s="1"/>
  <c r="T185" i="2"/>
  <c r="F28" i="33" s="1"/>
  <c r="S185" i="2"/>
  <c r="O185" i="2"/>
  <c r="F28" i="28" s="1"/>
  <c r="N185" i="2"/>
  <c r="F28" i="32" s="1"/>
  <c r="L126" i="2"/>
  <c r="R354" i="2"/>
  <c r="R297" i="2"/>
  <c r="L354" i="2"/>
  <c r="L240" i="2"/>
  <c r="R306" i="2"/>
  <c r="I185" i="2"/>
  <c r="M185" i="2"/>
  <c r="S183" i="2"/>
  <c r="U183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S236" i="1"/>
  <c r="S228" i="1"/>
  <c r="R526" i="2"/>
  <c r="R69" i="2"/>
  <c r="R641" i="2"/>
  <c r="P354" i="2"/>
  <c r="S126" i="2"/>
  <c r="L69" i="2"/>
  <c r="L10" i="2"/>
  <c r="S79" i="1"/>
  <c r="S96" i="1" s="1"/>
  <c r="O421" i="2"/>
  <c r="R584" i="2"/>
  <c r="L584" i="2"/>
  <c r="R486" i="1"/>
  <c r="R488" i="1" s="1"/>
  <c r="O363" i="2"/>
  <c r="U526" i="2"/>
  <c r="T126" i="2"/>
  <c r="U306" i="2"/>
  <c r="T450" i="1"/>
  <c r="T663" i="1" s="1"/>
  <c r="P363" i="2"/>
  <c r="U445" i="1"/>
  <c r="U240" i="2"/>
  <c r="U69" i="2"/>
  <c r="T69" i="2"/>
  <c r="T354" i="2"/>
  <c r="P421" i="2"/>
  <c r="T183" i="2"/>
  <c r="O297" i="2"/>
  <c r="R421" i="2"/>
  <c r="U584" i="1"/>
  <c r="U248" i="1"/>
  <c r="U354" i="2"/>
  <c r="U469" i="2"/>
  <c r="T641" i="2"/>
  <c r="T240" i="2"/>
  <c r="O641" i="2"/>
  <c r="U454" i="1"/>
  <c r="O10" i="2"/>
  <c r="O469" i="2"/>
  <c r="O183" i="2"/>
  <c r="U441" i="1"/>
  <c r="U476" i="1"/>
  <c r="U412" i="2"/>
  <c r="U10" i="2"/>
  <c r="T526" i="2"/>
  <c r="T412" i="2"/>
  <c r="N421" i="2"/>
  <c r="U641" i="2"/>
  <c r="T297" i="2"/>
  <c r="T584" i="2"/>
  <c r="S263" i="1"/>
  <c r="S273" i="1" s="1"/>
  <c r="S665" i="1"/>
  <c r="N297" i="2"/>
  <c r="J183" i="2"/>
  <c r="J69" i="2"/>
  <c r="S237" i="1"/>
  <c r="S306" i="2"/>
  <c r="J526" i="2"/>
  <c r="N363" i="2"/>
  <c r="N183" i="2"/>
  <c r="N354" i="2"/>
  <c r="N526" i="2"/>
  <c r="U231" i="1"/>
  <c r="J297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N412" i="2"/>
  <c r="U238" i="1"/>
  <c r="U247" i="1"/>
  <c r="J412" i="2"/>
  <c r="U252" i="1"/>
  <c r="N306" i="2"/>
  <c r="S235" i="1"/>
  <c r="U459" i="1"/>
  <c r="O306" i="2"/>
  <c r="S226" i="1"/>
  <c r="S239" i="1"/>
  <c r="U270" i="1"/>
  <c r="S233" i="1"/>
  <c r="S229" i="1"/>
  <c r="U102" i="1"/>
  <c r="J306" i="2"/>
  <c r="L306" i="2"/>
  <c r="T306" i="2"/>
  <c r="S230" i="1"/>
  <c r="S227" i="1"/>
  <c r="S663" i="1"/>
  <c r="T179" i="1"/>
  <c r="T185" i="1" s="1"/>
  <c r="U249" i="1"/>
  <c r="U477" i="1"/>
  <c r="Q306" i="2"/>
  <c r="P306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8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F14" i="24" s="1"/>
  <c r="L128" i="2"/>
  <c r="G128" i="2"/>
  <c r="K128" i="2"/>
  <c r="F14" i="26" s="1"/>
  <c r="S128" i="2"/>
  <c r="M128" i="2"/>
  <c r="R128" i="2"/>
  <c r="F14" i="34" s="1"/>
  <c r="U128" i="2"/>
  <c r="I128" i="2"/>
  <c r="N128" i="2"/>
  <c r="F14" i="32" s="1"/>
  <c r="Q128" i="2"/>
  <c r="T128" i="2"/>
  <c r="F14" i="33" s="1"/>
  <c r="J128" i="2"/>
  <c r="F14" i="27" s="1"/>
  <c r="P128" i="2"/>
  <c r="F14" i="31" s="1"/>
  <c r="O128" i="2"/>
  <c r="F14" i="28" s="1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F30" i="33" l="1"/>
  <c r="V995" i="2"/>
  <c r="V788" i="2"/>
  <c r="V791" i="2"/>
  <c r="V697" i="2"/>
  <c r="V800" i="2" s="1"/>
  <c r="V708" i="2"/>
  <c r="V767" i="2"/>
  <c r="V1001" i="2"/>
  <c r="V1002" i="2"/>
  <c r="V700" i="2"/>
  <c r="V1003" i="2"/>
  <c r="V760" i="2"/>
  <c r="V789" i="2"/>
  <c r="V976" i="2"/>
  <c r="V702" i="2"/>
  <c r="V1087" i="2"/>
  <c r="V1047" i="2"/>
  <c r="V1048" i="2" s="1"/>
  <c r="V1049" i="2" s="1"/>
  <c r="V765" i="2"/>
  <c r="V998" i="2"/>
  <c r="V761" i="2"/>
  <c r="W2" i="2"/>
  <c r="V977" i="2"/>
  <c r="V704" i="2"/>
  <c r="V705" i="2"/>
  <c r="V762" i="2"/>
  <c r="V701" i="2"/>
  <c r="V354" i="2"/>
  <c r="U13" i="2"/>
  <c r="U12" i="2"/>
  <c r="U299" i="2"/>
  <c r="U698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U430" i="1"/>
  <c r="U434" i="1" s="1"/>
  <c r="U216" i="1"/>
  <c r="V232" i="1"/>
  <c r="V48" i="1"/>
  <c r="V652" i="1" s="1"/>
  <c r="T636" i="1"/>
  <c r="T453" i="1" s="1"/>
  <c r="T465" i="1" s="1"/>
  <c r="T486" i="1" s="1"/>
  <c r="T488" i="1" s="1"/>
  <c r="V480" i="1"/>
  <c r="U215" i="1"/>
  <c r="V584" i="1"/>
  <c r="V270" i="1"/>
  <c r="V456" i="1"/>
  <c r="V443" i="1"/>
  <c r="V441" i="1"/>
  <c r="V250" i="1"/>
  <c r="V268" i="1"/>
  <c r="V448" i="1"/>
  <c r="V574" i="1"/>
  <c r="V575" i="1"/>
  <c r="V265" i="1"/>
  <c r="V455" i="1"/>
  <c r="V249" i="1"/>
  <c r="V457" i="1"/>
  <c r="V266" i="1"/>
  <c r="V269" i="1"/>
  <c r="V454" i="1"/>
  <c r="V238" i="1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4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V126" i="2" l="1"/>
  <c r="V412" i="2"/>
  <c r="V69" i="2"/>
  <c r="V641" i="2"/>
  <c r="V240" i="2"/>
  <c r="V183" i="2"/>
  <c r="V19" i="2"/>
  <c r="V10" i="2"/>
  <c r="V526" i="2"/>
  <c r="V421" i="2"/>
  <c r="V297" i="2"/>
  <c r="V363" i="2"/>
  <c r="V584" i="2"/>
  <c r="V469" i="2"/>
  <c r="V306" i="2"/>
  <c r="W788" i="2"/>
  <c r="W705" i="2"/>
  <c r="W708" i="2"/>
  <c r="W697" i="2"/>
  <c r="W800" i="2" s="1"/>
  <c r="W762" i="2"/>
  <c r="W791" i="2"/>
  <c r="W767" i="2"/>
  <c r="W976" i="2"/>
  <c r="W765" i="2"/>
  <c r="W998" i="2"/>
  <c r="W977" i="2"/>
  <c r="W789" i="2"/>
  <c r="W760" i="2"/>
  <c r="W1087" i="2"/>
  <c r="W1003" i="2"/>
  <c r="W426" i="2"/>
  <c r="W1001" i="2"/>
  <c r="W1002" i="2"/>
  <c r="W701" i="2"/>
  <c r="W700" i="2"/>
  <c r="X2" i="2"/>
  <c r="W761" i="2"/>
  <c r="W368" i="2"/>
  <c r="W704" i="2"/>
  <c r="W995" i="2"/>
  <c r="W702" i="2"/>
  <c r="W1047" i="2"/>
  <c r="W104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98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S279" i="1"/>
  <c r="S308" i="1" s="1"/>
  <c r="S120" i="1" s="1"/>
  <c r="U221" i="1"/>
  <c r="W480" i="1"/>
  <c r="T241" i="1"/>
  <c r="V103" i="1"/>
  <c r="V482" i="1"/>
  <c r="V637" i="1" s="1"/>
  <c r="V474" i="1" s="1"/>
  <c r="V484" i="1" s="1"/>
  <c r="V257" i="1"/>
  <c r="W477" i="1"/>
  <c r="V135" i="1"/>
  <c r="V463" i="1"/>
  <c r="V271" i="1"/>
  <c r="V256" i="1"/>
  <c r="V254" i="1"/>
  <c r="V67" i="1"/>
  <c r="V64" i="1"/>
  <c r="V76" i="1"/>
  <c r="V255" i="1"/>
  <c r="W266" i="1"/>
  <c r="V585" i="1"/>
  <c r="W249" i="1"/>
  <c r="V576" i="1"/>
  <c r="W445" i="1"/>
  <c r="U1063" i="2"/>
  <c r="U18" i="2" s="1"/>
  <c r="R1063" i="2"/>
  <c r="R77" i="2" s="1"/>
  <c r="W447" i="1"/>
  <c r="W454" i="1"/>
  <c r="W441" i="1"/>
  <c r="W264" i="1"/>
  <c r="W232" i="1"/>
  <c r="W415" i="1"/>
  <c r="W190" i="1" s="1"/>
  <c r="W196" i="1" s="1"/>
  <c r="W267" i="1"/>
  <c r="W574" i="1"/>
  <c r="W250" i="1"/>
  <c r="W478" i="1"/>
  <c r="W592" i="1"/>
  <c r="W440" i="1"/>
  <c r="W631" i="1"/>
  <c r="W364" i="1" s="1"/>
  <c r="W372" i="1" s="1"/>
  <c r="W146" i="1" s="1"/>
  <c r="W155" i="1" s="1"/>
  <c r="W270" i="1"/>
  <c r="W458" i="1"/>
  <c r="Q1063" i="2"/>
  <c r="Q420" i="2" s="1"/>
  <c r="W268" i="1"/>
  <c r="W252" i="1"/>
  <c r="L1063" i="2"/>
  <c r="L353" i="2" s="1"/>
  <c r="U187" i="1"/>
  <c r="V1063" i="2"/>
  <c r="V182" i="2" s="1"/>
  <c r="W459" i="1"/>
  <c r="W643" i="1"/>
  <c r="N1063" i="2"/>
  <c r="N420" i="2" s="1"/>
  <c r="W1049" i="2"/>
  <c r="W19" i="2" s="1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2" i="2" l="1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698" i="2"/>
  <c r="W301" i="2"/>
  <c r="W643" i="2"/>
  <c r="X704" i="2"/>
  <c r="X976" i="2"/>
  <c r="X1001" i="2"/>
  <c r="X371" i="2"/>
  <c r="X1003" i="2"/>
  <c r="X705" i="2"/>
  <c r="X700" i="2"/>
  <c r="X429" i="2"/>
  <c r="X977" i="2"/>
  <c r="X1002" i="2"/>
  <c r="X789" i="2"/>
  <c r="Y2" i="2"/>
  <c r="X791" i="2"/>
  <c r="X708" i="2"/>
  <c r="X1061" i="2"/>
  <c r="X1062" i="2" s="1"/>
  <c r="X1063" i="2" s="1"/>
  <c r="X1087" i="2"/>
  <c r="X788" i="2"/>
  <c r="X942" i="2" s="1"/>
  <c r="X995" i="2"/>
  <c r="X1047" i="2"/>
  <c r="X1048" i="2" s="1"/>
  <c r="X1049" i="2" s="1"/>
  <c r="X701" i="2"/>
  <c r="X702" i="2"/>
  <c r="X767" i="2"/>
  <c r="X426" i="2"/>
  <c r="X760" i="2"/>
  <c r="X765" i="2"/>
  <c r="X761" i="2"/>
  <c r="X368" i="2"/>
  <c r="X697" i="2"/>
  <c r="X800" i="2" s="1"/>
  <c r="X998" i="2"/>
  <c r="X762" i="2"/>
  <c r="W182" i="2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L77" i="2"/>
  <c r="L525" i="2"/>
  <c r="V468" i="2"/>
  <c r="L411" i="2"/>
  <c r="V305" i="2"/>
  <c r="L592" i="2"/>
  <c r="V353" i="2"/>
  <c r="X643" i="1"/>
  <c r="X213" i="1" s="1"/>
  <c r="X231" i="1"/>
  <c r="X574" i="1"/>
  <c r="X134" i="1"/>
  <c r="X267" i="1"/>
  <c r="U107" i="1"/>
  <c r="X448" i="1"/>
  <c r="Y534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L239" i="2"/>
  <c r="L9" i="2"/>
  <c r="W425" i="1"/>
  <c r="X440" i="1"/>
  <c r="W658" i="1"/>
  <c r="V125" i="2"/>
  <c r="L583" i="2"/>
  <c r="L477" i="2"/>
  <c r="L362" i="2"/>
  <c r="L640" i="2"/>
  <c r="X423" i="1"/>
  <c r="X232" i="1"/>
  <c r="L182" i="2"/>
  <c r="L68" i="2"/>
  <c r="L125" i="2"/>
  <c r="X480" i="1"/>
  <c r="W135" i="1"/>
  <c r="X479" i="1"/>
  <c r="X270" i="1"/>
  <c r="Y18" i="2"/>
  <c r="T580" i="1"/>
  <c r="F318" i="2" s="1"/>
  <c r="Y77" i="2"/>
  <c r="Y305" i="2"/>
  <c r="W585" i="1"/>
  <c r="L305" i="2"/>
  <c r="L468" i="2"/>
  <c r="V420" i="2"/>
  <c r="V534" i="2"/>
  <c r="V411" i="2"/>
  <c r="W125" i="2"/>
  <c r="W271" i="1"/>
  <c r="Y592" i="2"/>
  <c r="X251" i="1"/>
  <c r="X249" i="1"/>
  <c r="X635" i="1"/>
  <c r="X396" i="1" s="1"/>
  <c r="X402" i="1" s="1"/>
  <c r="X661" i="1" s="1"/>
  <c r="Y477" i="2"/>
  <c r="L534" i="2"/>
  <c r="L18" i="2"/>
  <c r="L420" i="2"/>
  <c r="V362" i="2"/>
  <c r="V525" i="2"/>
  <c r="V649" i="2"/>
  <c r="N125" i="2"/>
  <c r="R125" i="2"/>
  <c r="X266" i="1"/>
  <c r="Y420" i="2"/>
  <c r="W208" i="1"/>
  <c r="X102" i="1"/>
  <c r="X447" i="1"/>
  <c r="L649" i="2"/>
  <c r="L296" i="2"/>
  <c r="V592" i="2"/>
  <c r="V239" i="2"/>
  <c r="Y362" i="2"/>
  <c r="X441" i="1"/>
  <c r="W215" i="1"/>
  <c r="W214" i="1"/>
  <c r="W430" i="1"/>
  <c r="W434" i="1" s="1"/>
  <c r="W216" i="1"/>
  <c r="W213" i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7" i="1"/>
  <c r="X291" i="1"/>
  <c r="X477" i="1"/>
  <c r="X454" i="1"/>
  <c r="X476" i="1"/>
  <c r="X514" i="1"/>
  <c r="X633" i="1"/>
  <c r="X375" i="1" s="1"/>
  <c r="X381" i="1" s="1"/>
  <c r="W383" i="1"/>
  <c r="Y374" i="2" l="1"/>
  <c r="Y700" i="2"/>
  <c r="Y767" i="2"/>
  <c r="Y1087" i="2"/>
  <c r="Y977" i="2"/>
  <c r="Y976" i="2"/>
  <c r="Y791" i="2"/>
  <c r="Y1061" i="2"/>
  <c r="Y1062" i="2" s="1"/>
  <c r="Y1063" i="2" s="1"/>
  <c r="Y789" i="2"/>
  <c r="Y705" i="2"/>
  <c r="Y702" i="2"/>
  <c r="Y314" i="2"/>
  <c r="Y995" i="2"/>
  <c r="Y186" i="2" s="1"/>
  <c r="Y701" i="2"/>
  <c r="Y1002" i="2"/>
  <c r="Y1047" i="2"/>
  <c r="Y1048" i="2" s="1"/>
  <c r="Y765" i="2"/>
  <c r="Y760" i="2"/>
  <c r="Y761" i="2"/>
  <c r="Y371" i="2"/>
  <c r="Y432" i="2"/>
  <c r="Y1001" i="2"/>
  <c r="Y697" i="2"/>
  <c r="Y800" i="2" s="1"/>
  <c r="Y762" i="2"/>
  <c r="Y426" i="2"/>
  <c r="Y24" i="2"/>
  <c r="Y311" i="2"/>
  <c r="Y1003" i="2"/>
  <c r="Y998" i="2"/>
  <c r="Z2" i="2"/>
  <c r="Y429" i="2"/>
  <c r="Y788" i="2"/>
  <c r="Y942" i="2" s="1"/>
  <c r="Y704" i="2"/>
  <c r="Y708" i="2"/>
  <c r="Y368" i="2"/>
  <c r="X469" i="2"/>
  <c r="X412" i="2"/>
  <c r="X421" i="2"/>
  <c r="X19" i="2"/>
  <c r="X641" i="2"/>
  <c r="X240" i="2"/>
  <c r="X363" i="2"/>
  <c r="X306" i="2"/>
  <c r="X584" i="2"/>
  <c r="X183" i="2"/>
  <c r="X297" i="2"/>
  <c r="X354" i="2"/>
  <c r="X69" i="2"/>
  <c r="X126" i="2"/>
  <c r="X526" i="2"/>
  <c r="X10" i="2"/>
  <c r="X12" i="2"/>
  <c r="X643" i="2"/>
  <c r="X472" i="2"/>
  <c r="X299" i="2"/>
  <c r="X73" i="2"/>
  <c r="X698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X216" i="1"/>
  <c r="X214" i="1"/>
  <c r="X215" i="1"/>
  <c r="T127" i="1"/>
  <c r="F31" i="2"/>
  <c r="H31" i="2" s="1"/>
  <c r="V536" i="1"/>
  <c r="T114" i="1"/>
  <c r="T128" i="1"/>
  <c r="T113" i="1"/>
  <c r="T81" i="1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W226" i="1"/>
  <c r="V15" i="1"/>
  <c r="V669" i="1" s="1"/>
  <c r="Y477" i="1"/>
  <c r="W236" i="1"/>
  <c r="W665" i="1"/>
  <c r="W263" i="1"/>
  <c r="W273" i="1" s="1"/>
  <c r="V667" i="1"/>
  <c r="V594" i="1"/>
  <c r="V596" i="1" s="1"/>
  <c r="F435" i="2" s="1"/>
  <c r="N435" i="2" s="1"/>
  <c r="W229" i="1"/>
  <c r="X254" i="1"/>
  <c r="V328" i="1"/>
  <c r="V535" i="1"/>
  <c r="V329" i="1"/>
  <c r="V577" i="1"/>
  <c r="F254" i="2"/>
  <c r="H254" i="2" s="1"/>
  <c r="U277" i="1"/>
  <c r="Q119" i="1"/>
  <c r="Q122" i="1" s="1"/>
  <c r="W9" i="1"/>
  <c r="W12" i="1"/>
  <c r="W77" i="1"/>
  <c r="W79" i="1" s="1"/>
  <c r="W96" i="1" s="1"/>
  <c r="W651" i="1"/>
  <c r="X450" i="1"/>
  <c r="X239" i="1" s="1"/>
  <c r="W104" i="1"/>
  <c r="W136" i="1"/>
  <c r="W138" i="1" s="1"/>
  <c r="W63" i="1"/>
  <c r="W10" i="1"/>
  <c r="Y478" i="1"/>
  <c r="W11" i="1"/>
  <c r="F197" i="2"/>
  <c r="T197" i="2" s="1"/>
  <c r="Y248" i="1"/>
  <c r="W13" i="1"/>
  <c r="Q610" i="1"/>
  <c r="Q542" i="1"/>
  <c r="X255" i="1"/>
  <c r="X271" i="1"/>
  <c r="Y232" i="1"/>
  <c r="Y238" i="1"/>
  <c r="Y249" i="1"/>
  <c r="Y456" i="1"/>
  <c r="W239" i="1"/>
  <c r="W663" i="1"/>
  <c r="X135" i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Y231" i="1"/>
  <c r="Y444" i="1"/>
  <c r="Y267" i="1"/>
  <c r="W234" i="1"/>
  <c r="W221" i="1"/>
  <c r="Y1049" i="2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2" i="1"/>
  <c r="O116" i="1" s="1"/>
  <c r="O140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X659" i="1"/>
  <c r="X158" i="1"/>
  <c r="X164" i="1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V210" i="1"/>
  <c r="V223" i="1" s="1"/>
  <c r="V241" i="1"/>
  <c r="Y649" i="2" l="1"/>
  <c r="Y125" i="2"/>
  <c r="Y640" i="2"/>
  <c r="Y239" i="2"/>
  <c r="Y411" i="2"/>
  <c r="Y525" i="2"/>
  <c r="Y353" i="2"/>
  <c r="Y68" i="2"/>
  <c r="Y182" i="2"/>
  <c r="Y583" i="2"/>
  <c r="Y9" i="2"/>
  <c r="Y296" i="2"/>
  <c r="Y468" i="2"/>
  <c r="Z761" i="2"/>
  <c r="AA761" i="2" s="1"/>
  <c r="AB761" i="2" s="1"/>
  <c r="Z788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98" i="2"/>
  <c r="AA998" i="2" s="1"/>
  <c r="AB998" i="2" s="1"/>
  <c r="Z701" i="2"/>
  <c r="AA701" i="2" s="1"/>
  <c r="AB701" i="2" s="1"/>
  <c r="Z1061" i="2"/>
  <c r="Z375" i="2"/>
  <c r="AA375" i="2" s="1"/>
  <c r="AB375" i="2" s="1"/>
  <c r="Z704" i="2"/>
  <c r="AA704" i="2" s="1"/>
  <c r="AB704" i="2" s="1"/>
  <c r="Z789" i="2"/>
  <c r="AA789" i="2" s="1"/>
  <c r="AB789" i="2" s="1"/>
  <c r="Z708" i="2"/>
  <c r="AA708" i="2" s="1"/>
  <c r="AB708" i="2" s="1"/>
  <c r="Z1047" i="2"/>
  <c r="Z86" i="2"/>
  <c r="AA86" i="2" s="1"/>
  <c r="AB86" i="2" s="1"/>
  <c r="Z655" i="2"/>
  <c r="AA655" i="2" s="1"/>
  <c r="AB655" i="2" s="1"/>
  <c r="Z601" i="2"/>
  <c r="AA601" i="2" s="1"/>
  <c r="AB601" i="2" s="1"/>
  <c r="Z1002" i="2"/>
  <c r="AA1002" i="2" s="1"/>
  <c r="AB1002" i="2" s="1"/>
  <c r="Z700" i="2"/>
  <c r="AA700" i="2" s="1"/>
  <c r="AB700" i="2" s="1"/>
  <c r="Z1087" i="2"/>
  <c r="AA1087" i="2" s="1"/>
  <c r="AB1087" i="2" s="1"/>
  <c r="Z371" i="2"/>
  <c r="AA371" i="2" s="1"/>
  <c r="AB371" i="2" s="1"/>
  <c r="Z317" i="2"/>
  <c r="AA317" i="2" s="1"/>
  <c r="AB317" i="2" s="1"/>
  <c r="Z762" i="2"/>
  <c r="AA762" i="2" s="1"/>
  <c r="AB762" i="2" s="1"/>
  <c r="Z767" i="2"/>
  <c r="AA767" i="2" s="1"/>
  <c r="AB767" i="2" s="1"/>
  <c r="Z977" i="2"/>
  <c r="AA977" i="2" s="1"/>
  <c r="AB977" i="2" s="1"/>
  <c r="Z368" i="2"/>
  <c r="AA368" i="2" s="1"/>
  <c r="AB368" i="2" s="1"/>
  <c r="Z765" i="2"/>
  <c r="AA765" i="2" s="1"/>
  <c r="AB765" i="2" s="1"/>
  <c r="Z760" i="2"/>
  <c r="AA760" i="2" s="1"/>
  <c r="AB760" i="2" s="1"/>
  <c r="Z705" i="2"/>
  <c r="AA705" i="2" s="1"/>
  <c r="AB705" i="2" s="1"/>
  <c r="Z429" i="2"/>
  <c r="AA429" i="2" s="1"/>
  <c r="AB429" i="2" s="1"/>
  <c r="Z1003" i="2"/>
  <c r="AA1003" i="2" s="1"/>
  <c r="AB1003" i="2" s="1"/>
  <c r="Z976" i="2"/>
  <c r="AA976" i="2" s="1"/>
  <c r="AB976" i="2" s="1"/>
  <c r="Z702" i="2"/>
  <c r="AA702" i="2" s="1"/>
  <c r="AB702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791" i="2"/>
  <c r="AA791" i="2" s="1"/>
  <c r="AB791" i="2" s="1"/>
  <c r="Z1001" i="2"/>
  <c r="AA1001" i="2" s="1"/>
  <c r="AB1001" i="2" s="1"/>
  <c r="Z99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698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Y126" i="2"/>
  <c r="Y10" i="2"/>
  <c r="Y297" i="2"/>
  <c r="Y641" i="2"/>
  <c r="Y306" i="2"/>
  <c r="Y584" i="2"/>
  <c r="Y69" i="2"/>
  <c r="Y183" i="2"/>
  <c r="Y412" i="2"/>
  <c r="Y421" i="2"/>
  <c r="Y469" i="2"/>
  <c r="Y363" i="2"/>
  <c r="Y526" i="2"/>
  <c r="Y240" i="2"/>
  <c r="Y78" i="2"/>
  <c r="Y650" i="2"/>
  <c r="Y593" i="2"/>
  <c r="Y478" i="2"/>
  <c r="Y535" i="2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Z1062" i="2" l="1"/>
  <c r="AA1061" i="2"/>
  <c r="AB1061" i="2" s="1"/>
  <c r="Z800" i="2"/>
  <c r="AA800" i="2" s="1"/>
  <c r="AB800" i="2" s="1"/>
  <c r="AA697" i="2"/>
  <c r="AB697" i="2" s="1"/>
  <c r="Z942" i="2"/>
  <c r="AA788" i="2"/>
  <c r="AB788" i="2" s="1"/>
  <c r="Z1048" i="2"/>
  <c r="AA1047" i="2"/>
  <c r="AB104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95" i="2"/>
  <c r="AB99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698" i="2"/>
  <c r="AA698" i="2" s="1"/>
  <c r="AB698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P802" i="2" s="1"/>
  <c r="I651" i="2"/>
  <c r="I652" i="2" s="1"/>
  <c r="I20" i="2"/>
  <c r="I21" i="2" s="1"/>
  <c r="I799" i="2" s="1"/>
  <c r="Z11" i="2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G29" i="26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G29" i="31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E29" i="28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E28" i="26" s="1"/>
  <c r="I11" i="2"/>
  <c r="I1095" i="2" s="1"/>
  <c r="I470" i="2"/>
  <c r="I474" i="2" s="1"/>
  <c r="K298" i="2"/>
  <c r="K302" i="2" s="1"/>
  <c r="E29" i="26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E28" i="24" s="1"/>
  <c r="U11" i="2"/>
  <c r="U1095" i="2" s="1"/>
  <c r="P184" i="2"/>
  <c r="E28" i="31" s="1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E29" i="24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E29" i="31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188" i="2" s="1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E14" i="24" s="1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U801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E28" i="28" s="1"/>
  <c r="O307" i="2"/>
  <c r="O308" i="2" s="1"/>
  <c r="G29" i="28" s="1"/>
  <c r="U307" i="2"/>
  <c r="U308" i="2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305" i="2" s="1"/>
  <c r="AB305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E29" i="27" s="1"/>
  <c r="J307" i="2"/>
  <c r="J308" i="2" s="1"/>
  <c r="G29" i="27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E14" i="27" s="1"/>
  <c r="J413" i="2"/>
  <c r="J417" i="2" s="1"/>
  <c r="J184" i="2"/>
  <c r="E28" i="27" s="1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E28" i="32" s="1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E14" i="3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E29" i="32" s="1"/>
  <c r="N307" i="2"/>
  <c r="N308" i="2" s="1"/>
  <c r="G29" i="3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E14" i="26" s="1"/>
  <c r="P127" i="2"/>
  <c r="E14" i="31" s="1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E14" i="33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E28" i="33" s="1"/>
  <c r="T470" i="2"/>
  <c r="T474" i="2" s="1"/>
  <c r="T307" i="2"/>
  <c r="T308" i="2" s="1"/>
  <c r="G29" i="33" s="1"/>
  <c r="T651" i="2"/>
  <c r="T652" i="2" s="1"/>
  <c r="T79" i="2"/>
  <c r="T80" i="2" s="1"/>
  <c r="T11" i="2"/>
  <c r="T241" i="2"/>
  <c r="T245" i="2" s="1"/>
  <c r="T298" i="2"/>
  <c r="T302" i="2" s="1"/>
  <c r="E29" i="33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E28" i="34" s="1"/>
  <c r="R536" i="2"/>
  <c r="R537" i="2" s="1"/>
  <c r="R79" i="2"/>
  <c r="R80" i="2" s="1"/>
  <c r="R413" i="2"/>
  <c r="R417" i="2" s="1"/>
  <c r="R651" i="2"/>
  <c r="R652" i="2" s="1"/>
  <c r="R127" i="2"/>
  <c r="E14" i="34" s="1"/>
  <c r="R364" i="2"/>
  <c r="R365" i="2" s="1"/>
  <c r="R241" i="2"/>
  <c r="R245" i="2" s="1"/>
  <c r="R307" i="2"/>
  <c r="R308" i="2" s="1"/>
  <c r="G29" i="34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E29" i="34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E14" i="28" s="1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E30" i="34" l="1"/>
  <c r="G30" i="34"/>
  <c r="Z1049" i="2"/>
  <c r="AA1048" i="2"/>
  <c r="AB1048" i="2" s="1"/>
  <c r="Z1063" i="2"/>
  <c r="AA1062" i="2"/>
  <c r="AB1062" i="2" s="1"/>
  <c r="D34" i="24"/>
  <c r="G34" i="24" s="1"/>
  <c r="K34" i="24" s="1"/>
  <c r="L34" i="24" s="1"/>
  <c r="K965" i="2"/>
  <c r="D37" i="26" s="1"/>
  <c r="E37" i="26" s="1"/>
  <c r="K37" i="26" s="1"/>
  <c r="L37" i="26" s="1"/>
  <c r="K892" i="2"/>
  <c r="H965" i="2"/>
  <c r="D37" i="24" s="1"/>
  <c r="E37" i="24" s="1"/>
  <c r="K37" i="24" s="1"/>
  <c r="L37" i="24" s="1"/>
  <c r="H892" i="2"/>
  <c r="O965" i="2"/>
  <c r="D37" i="28" s="1"/>
  <c r="E37" i="28" s="1"/>
  <c r="K37" i="28" s="1"/>
  <c r="L37" i="28" s="1"/>
  <c r="O892" i="2"/>
  <c r="I965" i="2"/>
  <c r="I892" i="2"/>
  <c r="V965" i="2"/>
  <c r="V892" i="2"/>
  <c r="M965" i="2"/>
  <c r="M892" i="2"/>
  <c r="X965" i="2"/>
  <c r="X892" i="2"/>
  <c r="S965" i="2"/>
  <c r="S892" i="2"/>
  <c r="U965" i="2"/>
  <c r="U892" i="2"/>
  <c r="E30" i="27"/>
  <c r="E30" i="33"/>
  <c r="E30" i="31"/>
  <c r="G30" i="27"/>
  <c r="G30" i="32"/>
  <c r="G30" i="26"/>
  <c r="E30" i="24"/>
  <c r="G30" i="28"/>
  <c r="G30" i="31"/>
  <c r="E30" i="28"/>
  <c r="E30" i="26"/>
  <c r="G30" i="33"/>
  <c r="E30" i="32"/>
  <c r="G30" i="24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O703" i="2"/>
  <c r="D43" i="28" s="1"/>
  <c r="K703" i="2"/>
  <c r="D43" i="26" s="1"/>
  <c r="M703" i="2"/>
  <c r="I703" i="2"/>
  <c r="X703" i="2"/>
  <c r="V703" i="2"/>
  <c r="S703" i="2"/>
  <c r="H703" i="2"/>
  <c r="D43" i="24" s="1"/>
  <c r="U703" i="2"/>
  <c r="O801" i="2"/>
  <c r="D32" i="28" s="1"/>
  <c r="K801" i="2"/>
  <c r="D32" i="26" s="1"/>
  <c r="H801" i="2"/>
  <c r="D32" i="24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I802" i="2"/>
  <c r="I807" i="2"/>
  <c r="O799" i="2"/>
  <c r="D34" i="28" s="1"/>
  <c r="G34" i="28" s="1"/>
  <c r="K34" i="28" s="1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K15" i="2"/>
  <c r="M807" i="2"/>
  <c r="P188" i="2"/>
  <c r="U15" i="2"/>
  <c r="Z237" i="1"/>
  <c r="Z236" i="1"/>
  <c r="P251" i="2"/>
  <c r="AB478" i="1"/>
  <c r="AB443" i="1"/>
  <c r="P801" i="2"/>
  <c r="U251" i="2"/>
  <c r="Z230" i="1"/>
  <c r="R251" i="2"/>
  <c r="N251" i="2"/>
  <c r="AB441" i="1"/>
  <c r="AB29" i="1"/>
  <c r="H15" i="2"/>
  <c r="AA215" i="1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G28" i="27" s="1"/>
  <c r="O194" i="2"/>
  <c r="G28" i="28" s="1"/>
  <c r="P194" i="2"/>
  <c r="G28" i="31" s="1"/>
  <c r="M194" i="2"/>
  <c r="T194" i="2"/>
  <c r="G28" i="33" s="1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G28" i="32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D32" i="34" s="1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G28" i="26" s="1"/>
  <c r="H194" i="2"/>
  <c r="G28" i="24" s="1"/>
  <c r="R194" i="2"/>
  <c r="G28" i="34" s="1"/>
  <c r="U194" i="2"/>
  <c r="T801" i="2"/>
  <c r="D33" i="33" s="1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E32" i="34" l="1"/>
  <c r="R322" i="2"/>
  <c r="D34" i="34"/>
  <c r="G34" i="34" s="1"/>
  <c r="K34" i="34" s="1"/>
  <c r="L34" i="34" s="1"/>
  <c r="Z468" i="2"/>
  <c r="Z9" i="2"/>
  <c r="Z182" i="2"/>
  <c r="Z239" i="2"/>
  <c r="Z125" i="2"/>
  <c r="AA125" i="2" s="1"/>
  <c r="AB125" i="2" s="1"/>
  <c r="Z525" i="2"/>
  <c r="AA1063" i="2"/>
  <c r="AB1063" i="2" s="1"/>
  <c r="Z68" i="2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126" i="2"/>
  <c r="AA126" i="2" s="1"/>
  <c r="AB126" i="2" s="1"/>
  <c r="Z240" i="2"/>
  <c r="AA240" i="2" s="1"/>
  <c r="AB240" i="2" s="1"/>
  <c r="Z412" i="2"/>
  <c r="AA412" i="2" s="1"/>
  <c r="AB412" i="2" s="1"/>
  <c r="Z183" i="2"/>
  <c r="AA183" i="2" s="1"/>
  <c r="AB183" i="2" s="1"/>
  <c r="Z478" i="2"/>
  <c r="Z306" i="2"/>
  <c r="Z69" i="2"/>
  <c r="AA69" i="2" s="1"/>
  <c r="AB69" i="2" s="1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49" i="2"/>
  <c r="AB1049" i="2" s="1"/>
  <c r="E43" i="28"/>
  <c r="E43" i="24"/>
  <c r="K43" i="24" s="1"/>
  <c r="L43" i="24" s="1"/>
  <c r="E43" i="26"/>
  <c r="D34" i="32"/>
  <c r="G34" i="32" s="1"/>
  <c r="K34" i="32" s="1"/>
  <c r="L34" i="32" s="1"/>
  <c r="D34" i="27"/>
  <c r="G34" i="27" s="1"/>
  <c r="K34" i="27" s="1"/>
  <c r="L34" i="27" s="1"/>
  <c r="P965" i="2"/>
  <c r="D37" i="31" s="1"/>
  <c r="E37" i="31" s="1"/>
  <c r="K37" i="31" s="1"/>
  <c r="L37" i="31" s="1"/>
  <c r="P892" i="2"/>
  <c r="T965" i="2"/>
  <c r="D38" i="33" s="1"/>
  <c r="E38" i="33" s="1"/>
  <c r="K38" i="33" s="1"/>
  <c r="L38" i="33" s="1"/>
  <c r="T892" i="2"/>
  <c r="R965" i="2"/>
  <c r="D37" i="34" s="1"/>
  <c r="E37" i="34" s="1"/>
  <c r="K37" i="34" s="1"/>
  <c r="L37" i="34" s="1"/>
  <c r="R892" i="2"/>
  <c r="J965" i="2"/>
  <c r="D37" i="27" s="1"/>
  <c r="E37" i="27" s="1"/>
  <c r="K37" i="27" s="1"/>
  <c r="L37" i="27" s="1"/>
  <c r="J892" i="2"/>
  <c r="N965" i="2"/>
  <c r="D37" i="32" s="1"/>
  <c r="E37" i="32" s="1"/>
  <c r="K37" i="32" s="1"/>
  <c r="L37" i="32" s="1"/>
  <c r="N892" i="2"/>
  <c r="W965" i="2"/>
  <c r="W892" i="2"/>
  <c r="Y965" i="2"/>
  <c r="Y892" i="2"/>
  <c r="L965" i="2"/>
  <c r="L892" i="2"/>
  <c r="Q965" i="2"/>
  <c r="Q892" i="2"/>
  <c r="E32" i="28"/>
  <c r="D35" i="33"/>
  <c r="G35" i="33" s="1"/>
  <c r="D32" i="32"/>
  <c r="D34" i="26"/>
  <c r="G34" i="26" s="1"/>
  <c r="K34" i="26" s="1"/>
  <c r="L34" i="26" s="1"/>
  <c r="D32" i="27"/>
  <c r="E33" i="33"/>
  <c r="D34" i="31"/>
  <c r="G34" i="31" s="1"/>
  <c r="E32" i="24"/>
  <c r="D32" i="31"/>
  <c r="E32" i="26"/>
  <c r="K32" i="26" s="1"/>
  <c r="L32" i="26" s="1"/>
  <c r="I204" i="2"/>
  <c r="P322" i="2"/>
  <c r="J322" i="2"/>
  <c r="T322" i="2"/>
  <c r="K322" i="2"/>
  <c r="N322" i="2"/>
  <c r="O322" i="2"/>
  <c r="L34" i="28"/>
  <c r="H322" i="2"/>
  <c r="Z15" i="1"/>
  <c r="Z69" i="1" s="1"/>
  <c r="Z107" i="1"/>
  <c r="I803" i="2"/>
  <c r="S804" i="2"/>
  <c r="O808" i="2"/>
  <c r="M803" i="2"/>
  <c r="H808" i="2"/>
  <c r="U804" i="2"/>
  <c r="N703" i="2"/>
  <c r="D43" i="32" s="1"/>
  <c r="Y703" i="2"/>
  <c r="W703" i="2"/>
  <c r="J703" i="2"/>
  <c r="D43" i="27" s="1"/>
  <c r="L703" i="2"/>
  <c r="P703" i="2"/>
  <c r="D43" i="31" s="1"/>
  <c r="Q703" i="2"/>
  <c r="T703" i="2"/>
  <c r="R703" i="2"/>
  <c r="D43" i="34" s="1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I804" i="2"/>
  <c r="S808" i="2"/>
  <c r="G204" i="2"/>
  <c r="J204" i="2"/>
  <c r="X204" i="2"/>
  <c r="Z204" i="2"/>
  <c r="K831" i="2"/>
  <c r="R204" i="2"/>
  <c r="U204" i="2"/>
  <c r="X831" i="2"/>
  <c r="X808" i="2"/>
  <c r="S831" i="2"/>
  <c r="W204" i="2"/>
  <c r="N204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8" i="14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E14" i="14"/>
  <c r="AA479" i="2"/>
  <c r="AB479" i="2" s="1"/>
  <c r="G480" i="2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0" i="2"/>
  <c r="AB250" i="2" s="1"/>
  <c r="AA184" i="2"/>
  <c r="AB184" i="2" s="1"/>
  <c r="E28" i="14"/>
  <c r="G188" i="2"/>
  <c r="AA193" i="2"/>
  <c r="AB193" i="2" s="1"/>
  <c r="AA651" i="2"/>
  <c r="AB651" i="2" s="1"/>
  <c r="G652" i="2"/>
  <c r="G646" i="2"/>
  <c r="AA642" i="2"/>
  <c r="AB642" i="2" s="1"/>
  <c r="AA470" i="2"/>
  <c r="AB470" i="2" s="1"/>
  <c r="G474" i="2"/>
  <c r="AA536" i="2"/>
  <c r="AB536" i="2" s="1"/>
  <c r="G537" i="2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R384" i="2" l="1"/>
  <c r="E43" i="34"/>
  <c r="K32" i="34"/>
  <c r="L32" i="34" s="1"/>
  <c r="AA78" i="2"/>
  <c r="AB78" i="2" s="1"/>
  <c r="Z80" i="2"/>
  <c r="AA80" i="2" s="1"/>
  <c r="AB80" i="2" s="1"/>
  <c r="AA68" i="2"/>
  <c r="AB68" i="2" s="1"/>
  <c r="Z74" i="2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Z801" i="2" s="1"/>
  <c r="AA249" i="2"/>
  <c r="AB249" i="2" s="1"/>
  <c r="Z251" i="2"/>
  <c r="AA251" i="2" s="1"/>
  <c r="AB251" i="2" s="1"/>
  <c r="AA306" i="2"/>
  <c r="AB306" i="2" s="1"/>
  <c r="Z308" i="2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AA353" i="2"/>
  <c r="AB353" i="2" s="1"/>
  <c r="Z359" i="2"/>
  <c r="AA359" i="2" s="1"/>
  <c r="AB359" i="2" s="1"/>
  <c r="AA182" i="2"/>
  <c r="AB182" i="2" s="1"/>
  <c r="Z188" i="2"/>
  <c r="AA188" i="2" s="1"/>
  <c r="AB188" i="2" s="1"/>
  <c r="AA10" i="2"/>
  <c r="AB10" i="2" s="1"/>
  <c r="Z1095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K43" i="26"/>
  <c r="L43" i="26" s="1"/>
  <c r="E43" i="31"/>
  <c r="K43" i="31" s="1"/>
  <c r="L43" i="31" s="1"/>
  <c r="E43" i="32"/>
  <c r="E43" i="27"/>
  <c r="K43" i="28"/>
  <c r="L43" i="28" s="1"/>
  <c r="L666" i="2"/>
  <c r="K35" i="33"/>
  <c r="L35" i="33" s="1"/>
  <c r="K32" i="28"/>
  <c r="L32" i="28" s="1"/>
  <c r="K33" i="33"/>
  <c r="L33" i="33" s="1"/>
  <c r="E32" i="31"/>
  <c r="E32" i="32"/>
  <c r="K32" i="24"/>
  <c r="L32" i="24" s="1"/>
  <c r="E32" i="27"/>
  <c r="K34" i="31"/>
  <c r="L34" i="31" s="1"/>
  <c r="G965" i="2"/>
  <c r="AA322" i="2"/>
  <c r="AB322" i="2" s="1"/>
  <c r="N384" i="2"/>
  <c r="T384" i="2"/>
  <c r="K384" i="2"/>
  <c r="O384" i="2"/>
  <c r="P384" i="2"/>
  <c r="AD35" i="1"/>
  <c r="G703" i="2"/>
  <c r="D43" i="14" s="1"/>
  <c r="E43" i="14" s="1"/>
  <c r="K43" i="14" s="1"/>
  <c r="L43" i="14" s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G807" i="2"/>
  <c r="G799" i="2"/>
  <c r="G30" i="14"/>
  <c r="AA365" i="2"/>
  <c r="AB365" i="2" s="1"/>
  <c r="G29" i="14"/>
  <c r="AA308" i="2"/>
  <c r="AB308" i="2" s="1"/>
  <c r="AA15" i="2"/>
  <c r="AB15" i="2" s="1"/>
  <c r="G831" i="2"/>
  <c r="G808" i="2"/>
  <c r="G803" i="2"/>
  <c r="G804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9" i="14"/>
  <c r="AA302" i="2"/>
  <c r="AB302" i="2" s="1"/>
  <c r="G801" i="2"/>
  <c r="G785" i="2"/>
  <c r="E30" i="14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H29" i="24" s="1"/>
  <c r="O325" i="2"/>
  <c r="H29" i="28" s="1"/>
  <c r="V325" i="2"/>
  <c r="I325" i="2"/>
  <c r="R325" i="2"/>
  <c r="H29" i="34" s="1"/>
  <c r="J325" i="2"/>
  <c r="H29" i="27" s="1"/>
  <c r="Q325" i="2"/>
  <c r="X325" i="2"/>
  <c r="K325" i="2"/>
  <c r="H29" i="26" s="1"/>
  <c r="U325" i="2"/>
  <c r="L325" i="2"/>
  <c r="S325" i="2"/>
  <c r="Y325" i="2"/>
  <c r="M325" i="2"/>
  <c r="W325" i="2"/>
  <c r="N325" i="2"/>
  <c r="H29" i="32" s="1"/>
  <c r="T325" i="2"/>
  <c r="H29" i="33" s="1"/>
  <c r="G325" i="2"/>
  <c r="P325" i="2"/>
  <c r="H29" i="31" s="1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K43" i="34" l="1"/>
  <c r="L43" i="34" s="1"/>
  <c r="Z703" i="2"/>
  <c r="AA703" i="2" s="1"/>
  <c r="AB703" i="2" s="1"/>
  <c r="Z785" i="2"/>
  <c r="AA785" i="2" s="1"/>
  <c r="AB785" i="2" s="1"/>
  <c r="Z965" i="2"/>
  <c r="AA965" i="2" s="1"/>
  <c r="AB965" i="2" s="1"/>
  <c r="Z892" i="2"/>
  <c r="AA892" i="2" s="1"/>
  <c r="AB892" i="2" s="1"/>
  <c r="AA1095" i="2"/>
  <c r="AB1095" i="2" s="1"/>
  <c r="Z808" i="2"/>
  <c r="AA808" i="2" s="1"/>
  <c r="AB808" i="2" s="1"/>
  <c r="Z831" i="2"/>
  <c r="AA831" i="2" s="1"/>
  <c r="AB831" i="2" s="1"/>
  <c r="Z804" i="2"/>
  <c r="AA804" i="2" s="1"/>
  <c r="AB804" i="2" s="1"/>
  <c r="Z803" i="2"/>
  <c r="AA803" i="2" s="1"/>
  <c r="AB803" i="2" s="1"/>
  <c r="Z807" i="2"/>
  <c r="AA807" i="2" s="1"/>
  <c r="AB807" i="2" s="1"/>
  <c r="AA21" i="2"/>
  <c r="AB21" i="2" s="1"/>
  <c r="Z799" i="2"/>
  <c r="Z802" i="2"/>
  <c r="AA802" i="2" s="1"/>
  <c r="AB802" i="2" s="1"/>
  <c r="K43" i="32"/>
  <c r="L43" i="32" s="1"/>
  <c r="K43" i="27"/>
  <c r="L43" i="27" s="1"/>
  <c r="K32" i="32"/>
  <c r="L32" i="32" s="1"/>
  <c r="D37" i="14"/>
  <c r="E37" i="14" s="1"/>
  <c r="K37" i="14" s="1"/>
  <c r="L37" i="14" s="1"/>
  <c r="K32" i="27"/>
  <c r="L32" i="27" s="1"/>
  <c r="K32" i="31"/>
  <c r="L32" i="31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G14" i="28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4" i="14"/>
  <c r="G34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9" i="14"/>
  <c r="D32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R327" i="2" l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D44" i="28" s="1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D44" i="33" s="1"/>
  <c r="S699" i="2"/>
  <c r="H699" i="2"/>
  <c r="D44" i="24" s="1"/>
  <c r="K699" i="2"/>
  <c r="D44" i="26" s="1"/>
  <c r="R699" i="2"/>
  <c r="D44" i="34" s="1"/>
  <c r="G1089" i="2"/>
  <c r="G1091" i="2" s="1"/>
  <c r="AA1088" i="2"/>
  <c r="AB1088" i="2" s="1"/>
  <c r="U699" i="2"/>
  <c r="I699" i="2"/>
  <c r="F333" i="2"/>
  <c r="J699" i="2"/>
  <c r="D44" i="27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D44" i="31" s="1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H30" i="28" s="1"/>
  <c r="X497" i="2"/>
  <c r="M497" i="2"/>
  <c r="S497" i="2"/>
  <c r="H497" i="2"/>
  <c r="H30" i="24" s="1"/>
  <c r="R497" i="2"/>
  <c r="H30" i="34" s="1"/>
  <c r="Z497" i="2"/>
  <c r="I497" i="2"/>
  <c r="Q497" i="2"/>
  <c r="Y497" i="2"/>
  <c r="K497" i="2"/>
  <c r="H30" i="26" s="1"/>
  <c r="U497" i="2"/>
  <c r="J497" i="2"/>
  <c r="H30" i="27" s="1"/>
  <c r="T497" i="2"/>
  <c r="H30" i="33" s="1"/>
  <c r="W497" i="2"/>
  <c r="N497" i="2"/>
  <c r="H30" i="32" s="1"/>
  <c r="P497" i="2"/>
  <c r="H30" i="31" s="1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G14" i="26" s="1"/>
  <c r="T137" i="2"/>
  <c r="G14" i="33" s="1"/>
  <c r="U137" i="2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D44" i="32" s="1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7" s="1"/>
  <c r="I137" i="2"/>
  <c r="H137" i="2"/>
  <c r="G14" i="24" s="1"/>
  <c r="P137" i="2"/>
  <c r="G14" i="31" s="1"/>
  <c r="L137" i="2"/>
  <c r="N137" i="2"/>
  <c r="G14" i="32" s="1"/>
  <c r="R137" i="2"/>
  <c r="G14" i="34" s="1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F44" i="34" l="1"/>
  <c r="F44" i="32"/>
  <c r="F44" i="31"/>
  <c r="F44" i="26"/>
  <c r="F44" i="33"/>
  <c r="F44" i="24"/>
  <c r="K44" i="31"/>
  <c r="L44" i="31" s="1"/>
  <c r="F44" i="28"/>
  <c r="F44" i="27"/>
  <c r="AA208" i="2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7" s="1"/>
  <c r="S211" i="2"/>
  <c r="Z211" i="2"/>
  <c r="M211" i="2"/>
  <c r="T211" i="2"/>
  <c r="H28" i="33" s="1"/>
  <c r="H211" i="2"/>
  <c r="H28" i="24" s="1"/>
  <c r="P211" i="2"/>
  <c r="H28" i="31" s="1"/>
  <c r="Y211" i="2"/>
  <c r="K211" i="2"/>
  <c r="H28" i="26" s="1"/>
  <c r="U211" i="2"/>
  <c r="N211" i="2"/>
  <c r="H28" i="32" s="1"/>
  <c r="V211" i="2"/>
  <c r="I211" i="2"/>
  <c r="Q211" i="2"/>
  <c r="W211" i="2"/>
  <c r="L211" i="2"/>
  <c r="R211" i="2"/>
  <c r="H28" i="34" s="1"/>
  <c r="G211" i="2"/>
  <c r="O211" i="2"/>
  <c r="H28" i="28" s="1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I29" i="31" s="1"/>
  <c r="K29" i="31" s="1"/>
  <c r="O333" i="2"/>
  <c r="I29" i="28" s="1"/>
  <c r="K29" i="28" s="1"/>
  <c r="K333" i="2"/>
  <c r="I29" i="26" s="1"/>
  <c r="K29" i="26" s="1"/>
  <c r="U333" i="2"/>
  <c r="T333" i="2"/>
  <c r="I29" i="33" s="1"/>
  <c r="K29" i="33" s="1"/>
  <c r="S333" i="2"/>
  <c r="H333" i="2"/>
  <c r="I29" i="24" s="1"/>
  <c r="K29" i="24" s="1"/>
  <c r="Q333" i="2"/>
  <c r="J333" i="2"/>
  <c r="I29" i="27" s="1"/>
  <c r="K29" i="27" s="1"/>
  <c r="R333" i="2"/>
  <c r="I29" i="34" s="1"/>
  <c r="K29" i="34" s="1"/>
  <c r="G333" i="2"/>
  <c r="N333" i="2"/>
  <c r="I29" i="32" s="1"/>
  <c r="K29" i="32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4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4" i="14" s="1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R499" i="2" l="1"/>
  <c r="K44" i="34"/>
  <c r="L44" i="34" s="1"/>
  <c r="K44" i="24"/>
  <c r="L44" i="24" s="1"/>
  <c r="K44" i="26"/>
  <c r="K44" i="32"/>
  <c r="K44" i="27"/>
  <c r="K44" i="33"/>
  <c r="L44" i="33" s="1"/>
  <c r="K44" i="28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H14" i="28" s="1"/>
  <c r="X154" i="2"/>
  <c r="L154" i="2"/>
  <c r="S154" i="2"/>
  <c r="I154" i="2"/>
  <c r="P154" i="2"/>
  <c r="H14" i="31" s="1"/>
  <c r="W154" i="2"/>
  <c r="N154" i="2"/>
  <c r="H14" i="32" s="1"/>
  <c r="V154" i="2"/>
  <c r="K154" i="2"/>
  <c r="H14" i="26" s="1"/>
  <c r="R154" i="2"/>
  <c r="H14" i="34" s="1"/>
  <c r="G154" i="2"/>
  <c r="T154" i="2"/>
  <c r="H14" i="33" s="1"/>
  <c r="Y154" i="2"/>
  <c r="M154" i="2"/>
  <c r="U154" i="2"/>
  <c r="J154" i="2"/>
  <c r="H14" i="27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I29" i="14"/>
  <c r="K29" i="14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R213" i="2" l="1"/>
  <c r="K44" i="14"/>
  <c r="L44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I30" i="31" s="1"/>
  <c r="K30" i="31" s="1"/>
  <c r="Q505" i="2"/>
  <c r="K505" i="2"/>
  <c r="I30" i="26" s="1"/>
  <c r="K30" i="26" s="1"/>
  <c r="S505" i="2"/>
  <c r="O505" i="2"/>
  <c r="I30" i="28" s="1"/>
  <c r="K30" i="28" s="1"/>
  <c r="H505" i="2"/>
  <c r="I30" i="24" s="1"/>
  <c r="K30" i="24" s="1"/>
  <c r="U505" i="2"/>
  <c r="T505" i="2"/>
  <c r="I30" i="33" s="1"/>
  <c r="K30" i="33" s="1"/>
  <c r="J505" i="2"/>
  <c r="I30" i="27" s="1"/>
  <c r="K30" i="27" s="1"/>
  <c r="N505" i="2"/>
  <c r="I30" i="32" s="1"/>
  <c r="K30" i="32" s="1"/>
  <c r="R505" i="2"/>
  <c r="I30" i="34" s="1"/>
  <c r="K30" i="34" s="1"/>
  <c r="G505" i="2"/>
  <c r="AA154" i="2"/>
  <c r="AB154" i="2" s="1"/>
  <c r="H14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R156" i="2" l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I28" i="32" s="1"/>
  <c r="H219" i="2"/>
  <c r="I28" i="24" s="1"/>
  <c r="T219" i="2"/>
  <c r="I28" i="33" s="1"/>
  <c r="K219" i="2"/>
  <c r="I28" i="26" s="1"/>
  <c r="O219" i="2"/>
  <c r="I28" i="28" s="1"/>
  <c r="V219" i="2"/>
  <c r="AC331" i="1"/>
  <c r="AC333" i="1" s="1"/>
  <c r="AC335" i="1" s="1"/>
  <c r="AC112" i="1" s="1"/>
  <c r="AC116" i="1" s="1"/>
  <c r="P219" i="2"/>
  <c r="I28" i="31" s="1"/>
  <c r="G219" i="2"/>
  <c r="I28" i="14" s="1"/>
  <c r="R219" i="2"/>
  <c r="I28" i="34" s="1"/>
  <c r="Z219" i="2"/>
  <c r="Q219" i="2"/>
  <c r="X219" i="2"/>
  <c r="L219" i="2"/>
  <c r="U219" i="2"/>
  <c r="I219" i="2"/>
  <c r="J219" i="2"/>
  <c r="I28" i="27" s="1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I30" i="14"/>
  <c r="K30" i="14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A111" i="2" l="1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I14" i="34" l="1"/>
  <c r="I14" i="27"/>
  <c r="H35" i="27" s="1"/>
  <c r="I14" i="24"/>
  <c r="I14" i="33"/>
  <c r="I14" i="26"/>
  <c r="I14" i="32"/>
  <c r="I14" i="31"/>
  <c r="I14" i="28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D29" i="33" s="1"/>
  <c r="L29" i="33" s="1"/>
  <c r="O714" i="2"/>
  <c r="O775" i="2"/>
  <c r="G714" i="2"/>
  <c r="G775" i="2"/>
  <c r="D29" i="14" s="1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D29" i="24" s="1"/>
  <c r="L29" i="24" s="1"/>
  <c r="Q714" i="2"/>
  <c r="Q775" i="2"/>
  <c r="W714" i="2"/>
  <c r="W775" i="2"/>
  <c r="S775" i="2"/>
  <c r="S714" i="2"/>
  <c r="M775" i="2"/>
  <c r="M714" i="2"/>
  <c r="Z714" i="2"/>
  <c r="Z775" i="2"/>
  <c r="R714" i="2"/>
  <c r="R775" i="2"/>
  <c r="D29" i="34" s="1"/>
  <c r="L29" i="34" s="1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I14" i="14"/>
  <c r="AE275" i="1"/>
  <c r="AF259" i="1"/>
  <c r="AG259" i="1" s="1"/>
  <c r="AE490" i="1"/>
  <c r="AF488" i="1"/>
  <c r="AG488" i="1" s="1"/>
  <c r="AA165" i="2"/>
  <c r="AB165" i="2" s="1"/>
  <c r="R778" i="2" l="1"/>
  <c r="D31" i="34"/>
  <c r="I35" i="34"/>
  <c r="H35" i="34"/>
  <c r="I35" i="27"/>
  <c r="K35" i="27" s="1"/>
  <c r="L35" i="27" s="1"/>
  <c r="D31" i="32"/>
  <c r="D29" i="32"/>
  <c r="L29" i="32" s="1"/>
  <c r="D31" i="27"/>
  <c r="H35" i="32"/>
  <c r="I35" i="32"/>
  <c r="I35" i="31"/>
  <c r="H35" i="31"/>
  <c r="D31" i="24"/>
  <c r="D31" i="26"/>
  <c r="D31" i="33"/>
  <c r="D31" i="28"/>
  <c r="I35" i="26"/>
  <c r="H35" i="26"/>
  <c r="I35" i="28"/>
  <c r="H35" i="28"/>
  <c r="D29" i="26"/>
  <c r="L29" i="26" s="1"/>
  <c r="I36" i="33"/>
  <c r="H36" i="33"/>
  <c r="D29" i="28"/>
  <c r="L29" i="28" s="1"/>
  <c r="D31" i="31"/>
  <c r="D29" i="27"/>
  <c r="L29" i="27" s="1"/>
  <c r="D29" i="31"/>
  <c r="L29" i="31" s="1"/>
  <c r="I35" i="24"/>
  <c r="H35" i="24"/>
  <c r="T778" i="2"/>
  <c r="U228" i="2"/>
  <c r="G228" i="2"/>
  <c r="J28" i="14" s="1"/>
  <c r="K28" i="14" s="1"/>
  <c r="V228" i="2"/>
  <c r="Q228" i="2"/>
  <c r="I228" i="2"/>
  <c r="T228" i="2"/>
  <c r="J28" i="33" s="1"/>
  <c r="K28" i="33" s="1"/>
  <c r="K228" i="2"/>
  <c r="J28" i="26" s="1"/>
  <c r="K28" i="26" s="1"/>
  <c r="O228" i="2"/>
  <c r="J28" i="28" s="1"/>
  <c r="K28" i="28" s="1"/>
  <c r="P228" i="2"/>
  <c r="J28" i="31" s="1"/>
  <c r="K28" i="31" s="1"/>
  <c r="N228" i="2"/>
  <c r="J28" i="32" s="1"/>
  <c r="K28" i="32" s="1"/>
  <c r="H228" i="2"/>
  <c r="J28" i="24" s="1"/>
  <c r="K28" i="24" s="1"/>
  <c r="L228" i="2"/>
  <c r="M228" i="2"/>
  <c r="Y228" i="2"/>
  <c r="Z228" i="2"/>
  <c r="W228" i="2"/>
  <c r="X228" i="2"/>
  <c r="J228" i="2"/>
  <c r="J28" i="27" s="1"/>
  <c r="K28" i="27" s="1"/>
  <c r="R228" i="2"/>
  <c r="J28" i="34" s="1"/>
  <c r="K28" i="34" s="1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5" i="14"/>
  <c r="H35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78" i="2"/>
  <c r="P778" i="2"/>
  <c r="N778" i="2"/>
  <c r="M778" i="2"/>
  <c r="O778" i="2"/>
  <c r="Q778" i="2"/>
  <c r="L778" i="2"/>
  <c r="AA462" i="2"/>
  <c r="AB462" i="2" s="1"/>
  <c r="AA347" i="2"/>
  <c r="U832" i="2"/>
  <c r="AA832" i="2" s="1"/>
  <c r="AB832" i="2" s="1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U714" i="2"/>
  <c r="I778" i="2"/>
  <c r="H778" i="2"/>
  <c r="D31" i="14"/>
  <c r="G778" i="2"/>
  <c r="AA717" i="2"/>
  <c r="AB717" i="2" s="1"/>
  <c r="G779" i="2"/>
  <c r="J778" i="2"/>
  <c r="U795" i="2"/>
  <c r="U718" i="2"/>
  <c r="U779" i="2" s="1"/>
  <c r="K35" i="34" l="1"/>
  <c r="L35" i="34" s="1"/>
  <c r="K35" i="28"/>
  <c r="L35" i="28" s="1"/>
  <c r="K35" i="32"/>
  <c r="L35" i="32" s="1"/>
  <c r="K35" i="31"/>
  <c r="L35" i="31" s="1"/>
  <c r="K35" i="24"/>
  <c r="L35" i="24" s="1"/>
  <c r="K35" i="26"/>
  <c r="L35" i="26" s="1"/>
  <c r="K36" i="33"/>
  <c r="L36" i="33" s="1"/>
  <c r="AA228" i="2"/>
  <c r="AB228" i="2" s="1"/>
  <c r="AA776" i="2"/>
  <c r="AB776" i="2" s="1"/>
  <c r="U171" i="2"/>
  <c r="V171" i="2"/>
  <c r="T171" i="2"/>
  <c r="J14" i="33" s="1"/>
  <c r="J171" i="2"/>
  <c r="J14" i="27" s="1"/>
  <c r="S171" i="2"/>
  <c r="P171" i="2"/>
  <c r="J14" i="31" s="1"/>
  <c r="N171" i="2"/>
  <c r="J14" i="32" s="1"/>
  <c r="R171" i="2"/>
  <c r="J14" i="34" s="1"/>
  <c r="O171" i="2"/>
  <c r="J14" i="28" s="1"/>
  <c r="K171" i="2"/>
  <c r="J14" i="26" s="1"/>
  <c r="M171" i="2"/>
  <c r="I171" i="2"/>
  <c r="H171" i="2"/>
  <c r="J14" i="24" s="1"/>
  <c r="L171" i="2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5" i="14"/>
  <c r="L35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K14" i="34" l="1"/>
  <c r="K14" i="33"/>
  <c r="K14" i="26"/>
  <c r="K14" i="28"/>
  <c r="K14" i="27"/>
  <c r="K14" i="32"/>
  <c r="J31" i="32" s="1"/>
  <c r="K14" i="31"/>
  <c r="K14" i="24"/>
  <c r="J31" i="24" s="1"/>
  <c r="AA171" i="2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D22" i="27" s="1"/>
  <c r="N743" i="2"/>
  <c r="D22" i="32" s="1"/>
  <c r="N844" i="2"/>
  <c r="K844" i="2"/>
  <c r="K743" i="2"/>
  <c r="D22" i="26" s="1"/>
  <c r="V743" i="2"/>
  <c r="V844" i="2"/>
  <c r="W844" i="2"/>
  <c r="W743" i="2"/>
  <c r="P844" i="2"/>
  <c r="P743" i="2"/>
  <c r="D22" i="31" s="1"/>
  <c r="M743" i="2"/>
  <c r="M844" i="2"/>
  <c r="X844" i="2"/>
  <c r="X743" i="2"/>
  <c r="R844" i="2"/>
  <c r="R743" i="2"/>
  <c r="D22" i="34" s="1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4" i="14"/>
  <c r="J31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D30" i="33" s="1"/>
  <c r="L30" i="33" s="1"/>
  <c r="O781" i="2"/>
  <c r="O720" i="2"/>
  <c r="X781" i="2"/>
  <c r="X720" i="2"/>
  <c r="S781" i="2"/>
  <c r="S720" i="2"/>
  <c r="R781" i="2"/>
  <c r="D30" i="34" s="1"/>
  <c r="L30" i="34" s="1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D22" i="24" s="1"/>
  <c r="Q844" i="2"/>
  <c r="Q743" i="2"/>
  <c r="Y743" i="2"/>
  <c r="Y846" i="2" s="1"/>
  <c r="Y844" i="2"/>
  <c r="S844" i="2"/>
  <c r="S743" i="2"/>
  <c r="O844" i="2"/>
  <c r="O743" i="2"/>
  <c r="D22" i="28" s="1"/>
  <c r="Z743" i="2"/>
  <c r="Z844" i="2"/>
  <c r="T743" i="2"/>
  <c r="D22" i="33" s="1"/>
  <c r="T844" i="2"/>
  <c r="L844" i="2"/>
  <c r="L743" i="2"/>
  <c r="G844" i="2"/>
  <c r="G743" i="2"/>
  <c r="E31" i="34" l="1"/>
  <c r="F31" i="34"/>
  <c r="I31" i="34"/>
  <c r="G31" i="34"/>
  <c r="H31" i="34"/>
  <c r="J31" i="34"/>
  <c r="D30" i="28"/>
  <c r="L30" i="28" s="1"/>
  <c r="D30" i="31"/>
  <c r="L30" i="31" s="1"/>
  <c r="J31" i="27"/>
  <c r="I31" i="27"/>
  <c r="H31" i="27"/>
  <c r="G31" i="27"/>
  <c r="F31" i="27"/>
  <c r="E31" i="27"/>
  <c r="I31" i="33"/>
  <c r="G31" i="33"/>
  <c r="F31" i="33"/>
  <c r="E31" i="33"/>
  <c r="H31" i="33"/>
  <c r="J31" i="33"/>
  <c r="G31" i="31"/>
  <c r="H31" i="31"/>
  <c r="F31" i="31"/>
  <c r="I31" i="31"/>
  <c r="E31" i="31"/>
  <c r="E31" i="28"/>
  <c r="F31" i="28"/>
  <c r="G31" i="28"/>
  <c r="H31" i="28"/>
  <c r="J31" i="28"/>
  <c r="I31" i="28"/>
  <c r="E31" i="26"/>
  <c r="H31" i="26"/>
  <c r="G31" i="26"/>
  <c r="F31" i="26"/>
  <c r="I31" i="26"/>
  <c r="D30" i="32"/>
  <c r="L30" i="32" s="1"/>
  <c r="G31" i="32"/>
  <c r="E31" i="32"/>
  <c r="F31" i="32"/>
  <c r="I31" i="32"/>
  <c r="H31" i="32"/>
  <c r="D30" i="24"/>
  <c r="L30" i="24" s="1"/>
  <c r="J31" i="26"/>
  <c r="D30" i="26"/>
  <c r="L30" i="26" s="1"/>
  <c r="D30" i="27"/>
  <c r="L30" i="27" s="1"/>
  <c r="E31" i="24"/>
  <c r="H31" i="24"/>
  <c r="F31" i="24"/>
  <c r="I31" i="24"/>
  <c r="G31" i="24"/>
  <c r="J31" i="31"/>
  <c r="T846" i="2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2" i="14"/>
  <c r="U743" i="2"/>
  <c r="U846" i="2" s="1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I31" i="14"/>
  <c r="H31" i="14"/>
  <c r="E31" i="14"/>
  <c r="G31" i="14"/>
  <c r="F31" i="14"/>
  <c r="G780" i="2"/>
  <c r="D30" i="14" s="1"/>
  <c r="L30" i="14" s="1"/>
  <c r="AA719" i="2"/>
  <c r="AB719" i="2" s="1"/>
  <c r="U720" i="2"/>
  <c r="U781" i="2"/>
  <c r="AA781" i="2" s="1"/>
  <c r="AB781" i="2" s="1"/>
  <c r="V846" i="2"/>
  <c r="K31" i="34" l="1"/>
  <c r="L31" i="34" s="1"/>
  <c r="K31" i="27"/>
  <c r="L31" i="27" s="1"/>
  <c r="K31" i="24"/>
  <c r="L31" i="24" s="1"/>
  <c r="K31" i="33"/>
  <c r="L31" i="33" s="1"/>
  <c r="K31" i="32"/>
  <c r="L31" i="32" s="1"/>
  <c r="K31" i="26"/>
  <c r="L31" i="26" s="1"/>
  <c r="K31" i="31"/>
  <c r="L31" i="31" s="1"/>
  <c r="K31" i="28"/>
  <c r="L31" i="28" s="1"/>
  <c r="AA780" i="2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K31" i="14"/>
  <c r="L31" i="14" s="1"/>
  <c r="AA846" i="2"/>
  <c r="AB846" i="2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D28" i="28" s="1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L28" i="28"/>
  <c r="Y833" i="2"/>
  <c r="W833" i="2"/>
  <c r="X833" i="2"/>
  <c r="Z833" i="2"/>
  <c r="O833" i="2"/>
  <c r="D15" i="28" s="1"/>
  <c r="AA290" i="2"/>
  <c r="AB290" i="2" s="1"/>
  <c r="M713" i="2"/>
  <c r="M1096" i="2"/>
  <c r="M833" i="2" s="1"/>
  <c r="M774" i="2"/>
  <c r="T713" i="2"/>
  <c r="T774" i="2"/>
  <c r="D28" i="33" s="1"/>
  <c r="L28" i="33" s="1"/>
  <c r="T1096" i="2"/>
  <c r="T833" i="2" s="1"/>
  <c r="D15" i="33" s="1"/>
  <c r="H774" i="2"/>
  <c r="D28" i="24" s="1"/>
  <c r="L28" i="24" s="1"/>
  <c r="H1096" i="2"/>
  <c r="H833" i="2" s="1"/>
  <c r="D15" i="24" s="1"/>
  <c r="H713" i="2"/>
  <c r="U1096" i="2"/>
  <c r="U833" i="2" s="1"/>
  <c r="U774" i="2"/>
  <c r="U713" i="2"/>
  <c r="AF116" i="1"/>
  <c r="AG116" i="1" s="1"/>
  <c r="AE140" i="1"/>
  <c r="S1096" i="2"/>
  <c r="S833" i="2" s="1"/>
  <c r="S713" i="2"/>
  <c r="S774" i="2"/>
  <c r="G713" i="2"/>
  <c r="G774" i="2"/>
  <c r="D28" i="14" s="1"/>
  <c r="G1096" i="2"/>
  <c r="AA233" i="2"/>
  <c r="K713" i="2"/>
  <c r="K1096" i="2"/>
  <c r="K833" i="2" s="1"/>
  <c r="D15" i="26" s="1"/>
  <c r="K774" i="2"/>
  <c r="J774" i="2"/>
  <c r="J713" i="2"/>
  <c r="J1096" i="2"/>
  <c r="J833" i="2" s="1"/>
  <c r="D15" i="27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D15" i="31" s="1"/>
  <c r="P713" i="2"/>
  <c r="P774" i="2"/>
  <c r="L1096" i="2"/>
  <c r="L833" i="2" s="1"/>
  <c r="L713" i="2"/>
  <c r="L774" i="2"/>
  <c r="N1096" i="2"/>
  <c r="N833" i="2" s="1"/>
  <c r="D15" i="32" s="1"/>
  <c r="N713" i="2"/>
  <c r="N774" i="2"/>
  <c r="I713" i="2"/>
  <c r="I1096" i="2"/>
  <c r="I833" i="2" s="1"/>
  <c r="I774" i="2"/>
  <c r="O741" i="2"/>
  <c r="R713" i="2"/>
  <c r="R774" i="2"/>
  <c r="D28" i="34" s="1"/>
  <c r="L28" i="34" s="1"/>
  <c r="R1096" i="2"/>
  <c r="R833" i="2" s="1"/>
  <c r="D15" i="34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D28" i="31" l="1"/>
  <c r="L28" i="31" s="1"/>
  <c r="D28" i="32"/>
  <c r="L28" i="32" s="1"/>
  <c r="D28" i="26"/>
  <c r="L28" i="26" s="1"/>
  <c r="D28" i="27"/>
  <c r="L28" i="27" s="1"/>
  <c r="Q741" i="2"/>
  <c r="R741" i="2"/>
  <c r="I741" i="2"/>
  <c r="F728" i="2"/>
  <c r="F900" i="2"/>
  <c r="J741" i="2"/>
  <c r="G833" i="2"/>
  <c r="AA833" i="2" s="1"/>
  <c r="AB833" i="2" s="1"/>
  <c r="AA1096" i="2"/>
  <c r="AB1096" i="2" s="1"/>
  <c r="L28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D14" i="28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5" i="14"/>
  <c r="AA741" i="2"/>
  <c r="AB741" i="2" s="1"/>
  <c r="G22" i="28" l="1"/>
  <c r="D16" i="28"/>
  <c r="F15" i="28"/>
  <c r="F16" i="28" s="1"/>
  <c r="F22" i="28"/>
  <c r="E22" i="28"/>
  <c r="E15" i="28"/>
  <c r="G15" i="28"/>
  <c r="G16" i="28" s="1"/>
  <c r="H15" i="28"/>
  <c r="H16" i="28" s="1"/>
  <c r="H22" i="28"/>
  <c r="I22" i="28"/>
  <c r="I15" i="28"/>
  <c r="I16" i="28" s="1"/>
  <c r="J15" i="28"/>
  <c r="J16" i="28" s="1"/>
  <c r="J22" i="28"/>
  <c r="L14" i="28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D14" i="27" s="1"/>
  <c r="H176" i="2"/>
  <c r="D14" i="24" s="1"/>
  <c r="Q176" i="2"/>
  <c r="X911" i="2"/>
  <c r="X986" i="2" s="1"/>
  <c r="X875" i="2"/>
  <c r="S176" i="2"/>
  <c r="S809" i="2" s="1"/>
  <c r="M176" i="2"/>
  <c r="M809" i="2" s="1"/>
  <c r="P176" i="2"/>
  <c r="D14" i="31" s="1"/>
  <c r="W911" i="2"/>
  <c r="W875" i="2"/>
  <c r="R176" i="2"/>
  <c r="I176" i="2"/>
  <c r="I707" i="2" s="1"/>
  <c r="AA174" i="2"/>
  <c r="AB174" i="2" s="1"/>
  <c r="U176" i="2"/>
  <c r="U706" i="2" s="1"/>
  <c r="N176" i="2"/>
  <c r="D14" i="32" s="1"/>
  <c r="K176" i="2"/>
  <c r="D14" i="26" s="1"/>
  <c r="Z875" i="2"/>
  <c r="Z911" i="2"/>
  <c r="Z986" i="2" s="1"/>
  <c r="V911" i="2"/>
  <c r="V875" i="2"/>
  <c r="O730" i="2"/>
  <c r="G176" i="2"/>
  <c r="Y911" i="2"/>
  <c r="Y986" i="2" s="1"/>
  <c r="Y875" i="2"/>
  <c r="T176" i="2"/>
  <c r="D14" i="33" s="1"/>
  <c r="L176" i="2"/>
  <c r="R707" i="2" l="1"/>
  <c r="D14" i="34"/>
  <c r="D45" i="28"/>
  <c r="D46" i="28" s="1"/>
  <c r="E45" i="28"/>
  <c r="E46" i="28" s="1"/>
  <c r="J45" i="28"/>
  <c r="J46" i="28" s="1"/>
  <c r="H45" i="28"/>
  <c r="H46" i="28" s="1"/>
  <c r="F45" i="28"/>
  <c r="F46" i="28" s="1"/>
  <c r="I22" i="31"/>
  <c r="D16" i="31"/>
  <c r="F15" i="31"/>
  <c r="F16" i="31" s="1"/>
  <c r="F22" i="31"/>
  <c r="E22" i="31"/>
  <c r="E15" i="31"/>
  <c r="G22" i="31"/>
  <c r="G15" i="31"/>
  <c r="G16" i="31" s="1"/>
  <c r="H15" i="31"/>
  <c r="H16" i="31" s="1"/>
  <c r="H22" i="31"/>
  <c r="I15" i="31"/>
  <c r="I16" i="31" s="1"/>
  <c r="J22" i="31"/>
  <c r="J15" i="31"/>
  <c r="J16" i="31" s="1"/>
  <c r="I45" i="28"/>
  <c r="I46" i="28" s="1"/>
  <c r="G45" i="28"/>
  <c r="G46" i="28" s="1"/>
  <c r="D16" i="33"/>
  <c r="F22" i="33"/>
  <c r="F15" i="33"/>
  <c r="F16" i="33" s="1"/>
  <c r="E22" i="33"/>
  <c r="E15" i="33"/>
  <c r="G15" i="33"/>
  <c r="G16" i="33" s="1"/>
  <c r="G22" i="33"/>
  <c r="H15" i="33"/>
  <c r="H16" i="33" s="1"/>
  <c r="H22" i="33"/>
  <c r="I15" i="33"/>
  <c r="I16" i="33" s="1"/>
  <c r="I22" i="33"/>
  <c r="J22" i="33"/>
  <c r="J15" i="33"/>
  <c r="J16" i="33" s="1"/>
  <c r="L14" i="33"/>
  <c r="D16" i="27"/>
  <c r="F15" i="27"/>
  <c r="F16" i="27" s="1"/>
  <c r="F22" i="27"/>
  <c r="E15" i="27"/>
  <c r="E22" i="27"/>
  <c r="G22" i="27"/>
  <c r="G15" i="27"/>
  <c r="G16" i="27" s="1"/>
  <c r="H15" i="27"/>
  <c r="H16" i="27" s="1"/>
  <c r="H22" i="27"/>
  <c r="I22" i="27"/>
  <c r="I15" i="27"/>
  <c r="I16" i="27" s="1"/>
  <c r="J15" i="27"/>
  <c r="J16" i="27" s="1"/>
  <c r="J22" i="27"/>
  <c r="D16" i="26"/>
  <c r="F22" i="26"/>
  <c r="F15" i="26"/>
  <c r="F16" i="26" s="1"/>
  <c r="E22" i="26"/>
  <c r="E15" i="26"/>
  <c r="G22" i="26"/>
  <c r="G15" i="26"/>
  <c r="G16" i="26" s="1"/>
  <c r="H15" i="26"/>
  <c r="H16" i="26" s="1"/>
  <c r="H22" i="26"/>
  <c r="I15" i="26"/>
  <c r="I16" i="26" s="1"/>
  <c r="I22" i="26"/>
  <c r="J15" i="26"/>
  <c r="J16" i="26" s="1"/>
  <c r="J22" i="26"/>
  <c r="K22" i="28"/>
  <c r="L22" i="28" s="1"/>
  <c r="D16" i="24"/>
  <c r="F22" i="24"/>
  <c r="F15" i="24"/>
  <c r="F16" i="24" s="1"/>
  <c r="E22" i="24"/>
  <c r="E15" i="24"/>
  <c r="G15" i="24"/>
  <c r="G16" i="24" s="1"/>
  <c r="G22" i="24"/>
  <c r="H22" i="24"/>
  <c r="H15" i="24"/>
  <c r="H16" i="24" s="1"/>
  <c r="I22" i="24"/>
  <c r="I15" i="24"/>
  <c r="I16" i="24" s="1"/>
  <c r="J15" i="24"/>
  <c r="J16" i="24" s="1"/>
  <c r="J22" i="24"/>
  <c r="L14" i="24"/>
  <c r="F22" i="32"/>
  <c r="F15" i="32"/>
  <c r="F16" i="32" s="1"/>
  <c r="E22" i="32"/>
  <c r="E15" i="32"/>
  <c r="G22" i="32"/>
  <c r="G15" i="32"/>
  <c r="G16" i="32" s="1"/>
  <c r="H15" i="32"/>
  <c r="H16" i="32" s="1"/>
  <c r="H22" i="32"/>
  <c r="I15" i="32"/>
  <c r="I16" i="32" s="1"/>
  <c r="I22" i="32"/>
  <c r="J22" i="32"/>
  <c r="J15" i="32"/>
  <c r="J16" i="32" s="1"/>
  <c r="D16" i="32"/>
  <c r="K15" i="28"/>
  <c r="K16" i="28" s="1"/>
  <c r="E16" i="28"/>
  <c r="K707" i="2"/>
  <c r="P707" i="2"/>
  <c r="L14" i="32"/>
  <c r="T707" i="2"/>
  <c r="L14" i="27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4" i="14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E45" i="26" s="1"/>
  <c r="E46" i="26" s="1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S706" i="2"/>
  <c r="N706" i="2"/>
  <c r="R710" i="2" l="1"/>
  <c r="D45" i="34"/>
  <c r="D46" i="34" s="1"/>
  <c r="D16" i="34"/>
  <c r="F22" i="34"/>
  <c r="F45" i="34"/>
  <c r="F46" i="34" s="1"/>
  <c r="F15" i="34"/>
  <c r="F16" i="34" s="1"/>
  <c r="E22" i="34"/>
  <c r="E45" i="34"/>
  <c r="E15" i="34"/>
  <c r="G15" i="34"/>
  <c r="G16" i="34" s="1"/>
  <c r="G22" i="34"/>
  <c r="G45" i="34"/>
  <c r="G46" i="34" s="1"/>
  <c r="H15" i="34"/>
  <c r="H16" i="34" s="1"/>
  <c r="H45" i="34"/>
  <c r="H46" i="34" s="1"/>
  <c r="I45" i="34"/>
  <c r="I46" i="34" s="1"/>
  <c r="I22" i="34"/>
  <c r="I15" i="34"/>
  <c r="I16" i="34" s="1"/>
  <c r="J22" i="34"/>
  <c r="J45" i="34"/>
  <c r="J46" i="34" s="1"/>
  <c r="J15" i="34"/>
  <c r="J16" i="34" s="1"/>
  <c r="H22" i="34"/>
  <c r="L14" i="34"/>
  <c r="D45" i="14"/>
  <c r="D46" i="14" s="1"/>
  <c r="E45" i="32"/>
  <c r="E46" i="32" s="1"/>
  <c r="D45" i="31"/>
  <c r="D46" i="31" s="1"/>
  <c r="E45" i="14"/>
  <c r="E46" i="14" s="1"/>
  <c r="E45" i="31"/>
  <c r="E46" i="31" s="1"/>
  <c r="D45" i="32"/>
  <c r="D46" i="32" s="1"/>
  <c r="D45" i="27"/>
  <c r="D46" i="27" s="1"/>
  <c r="D45" i="26"/>
  <c r="D46" i="26" s="1"/>
  <c r="E45" i="27"/>
  <c r="E46" i="27" s="1"/>
  <c r="D45" i="24"/>
  <c r="D46" i="24" s="1"/>
  <c r="E45" i="24"/>
  <c r="E46" i="24" s="1"/>
  <c r="D45" i="33"/>
  <c r="D46" i="33" s="1"/>
  <c r="J45" i="26"/>
  <c r="J46" i="26" s="1"/>
  <c r="F45" i="26"/>
  <c r="F46" i="26" s="1"/>
  <c r="E45" i="33"/>
  <c r="E46" i="33" s="1"/>
  <c r="G45" i="24"/>
  <c r="G46" i="24" s="1"/>
  <c r="I45" i="31"/>
  <c r="I46" i="31" s="1"/>
  <c r="J45" i="33"/>
  <c r="J46" i="33" s="1"/>
  <c r="G45" i="31"/>
  <c r="G46" i="31" s="1"/>
  <c r="G45" i="32"/>
  <c r="G46" i="32" s="1"/>
  <c r="K22" i="24"/>
  <c r="L22" i="24" s="1"/>
  <c r="E16" i="26"/>
  <c r="K15" i="26"/>
  <c r="K16" i="26" s="1"/>
  <c r="I45" i="27"/>
  <c r="I46" i="27" s="1"/>
  <c r="H45" i="31"/>
  <c r="H46" i="31" s="1"/>
  <c r="K15" i="31"/>
  <c r="K16" i="31" s="1"/>
  <c r="E16" i="31"/>
  <c r="I45" i="32"/>
  <c r="I46" i="32" s="1"/>
  <c r="I45" i="24"/>
  <c r="I46" i="24" s="1"/>
  <c r="H45" i="26"/>
  <c r="H46" i="26" s="1"/>
  <c r="F45" i="27"/>
  <c r="F46" i="27" s="1"/>
  <c r="I45" i="33"/>
  <c r="I46" i="33" s="1"/>
  <c r="G45" i="33"/>
  <c r="G46" i="33" s="1"/>
  <c r="J45" i="31"/>
  <c r="J46" i="31" s="1"/>
  <c r="K22" i="31"/>
  <c r="K46" i="28"/>
  <c r="L46" i="28" s="1"/>
  <c r="K45" i="28"/>
  <c r="L45" i="28" s="1"/>
  <c r="F45" i="32"/>
  <c r="F46" i="32" s="1"/>
  <c r="F45" i="24"/>
  <c r="F46" i="24" s="1"/>
  <c r="K22" i="26"/>
  <c r="H45" i="27"/>
  <c r="H46" i="27" s="1"/>
  <c r="F45" i="33"/>
  <c r="F46" i="33" s="1"/>
  <c r="E16" i="27"/>
  <c r="K15" i="27"/>
  <c r="K16" i="27" s="1"/>
  <c r="H45" i="32"/>
  <c r="H46" i="32" s="1"/>
  <c r="E16" i="32"/>
  <c r="K15" i="32"/>
  <c r="K16" i="32" s="1"/>
  <c r="H45" i="24"/>
  <c r="H46" i="24" s="1"/>
  <c r="I45" i="26"/>
  <c r="I46" i="26" s="1"/>
  <c r="G45" i="26"/>
  <c r="G46" i="26" s="1"/>
  <c r="G45" i="27"/>
  <c r="G46" i="27" s="1"/>
  <c r="K15" i="33"/>
  <c r="E16" i="33"/>
  <c r="F45" i="31"/>
  <c r="F46" i="31" s="1"/>
  <c r="J45" i="27"/>
  <c r="J46" i="27" s="1"/>
  <c r="K22" i="27"/>
  <c r="L22" i="27" s="1"/>
  <c r="E16" i="24"/>
  <c r="K15" i="24"/>
  <c r="H45" i="33"/>
  <c r="H46" i="33" s="1"/>
  <c r="K22" i="33"/>
  <c r="L22" i="33" s="1"/>
  <c r="J45" i="32"/>
  <c r="J46" i="32" s="1"/>
  <c r="K22" i="32"/>
  <c r="L22" i="32" s="1"/>
  <c r="J45" i="24"/>
  <c r="J46" i="24" s="1"/>
  <c r="L14" i="31"/>
  <c r="T710" i="2"/>
  <c r="C20" i="4" s="1"/>
  <c r="L14" i="26"/>
  <c r="L15" i="28"/>
  <c r="L16" i="28"/>
  <c r="L44" i="28"/>
  <c r="F45" i="14"/>
  <c r="F46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5" i="14"/>
  <c r="G46" i="14" s="1"/>
  <c r="H45" i="14"/>
  <c r="H46" i="14" s="1"/>
  <c r="I45" i="14"/>
  <c r="I46" i="14" s="1"/>
  <c r="J45" i="14"/>
  <c r="J46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K22" i="34" l="1"/>
  <c r="L22" i="34" s="1"/>
  <c r="E16" i="34"/>
  <c r="K15" i="34"/>
  <c r="K45" i="34"/>
  <c r="L45" i="34" s="1"/>
  <c r="E46" i="34"/>
  <c r="K46" i="34" s="1"/>
  <c r="L46" i="34" s="1"/>
  <c r="K46" i="33"/>
  <c r="L46" i="33" s="1"/>
  <c r="L15" i="24"/>
  <c r="K16" i="24"/>
  <c r="L16" i="24" s="1"/>
  <c r="K45" i="32"/>
  <c r="L45" i="32" s="1"/>
  <c r="K46" i="32"/>
  <c r="L46" i="32" s="1"/>
  <c r="K46" i="27"/>
  <c r="L46" i="27" s="1"/>
  <c r="K45" i="27"/>
  <c r="L45" i="27" s="1"/>
  <c r="K46" i="26"/>
  <c r="L46" i="26" s="1"/>
  <c r="K45" i="26"/>
  <c r="L45" i="26" s="1"/>
  <c r="K46" i="31"/>
  <c r="L46" i="31" s="1"/>
  <c r="K45" i="31"/>
  <c r="L45" i="31" s="1"/>
  <c r="K46" i="24"/>
  <c r="L46" i="24" s="1"/>
  <c r="K45" i="33"/>
  <c r="L45" i="33" s="1"/>
  <c r="L15" i="33"/>
  <c r="K16" i="33"/>
  <c r="L16" i="33" s="1"/>
  <c r="K45" i="24"/>
  <c r="L45" i="24" s="1"/>
  <c r="K46" i="14"/>
  <c r="T757" i="2"/>
  <c r="T770" i="2" s="1"/>
  <c r="C42" i="4" s="1"/>
  <c r="T739" i="2"/>
  <c r="T745" i="2" s="1"/>
  <c r="T816" i="2" s="1"/>
  <c r="L15" i="32"/>
  <c r="L16" i="32"/>
  <c r="L22" i="26"/>
  <c r="L22" i="31"/>
  <c r="L44" i="27"/>
  <c r="L15" i="27"/>
  <c r="L16" i="27"/>
  <c r="L44" i="26"/>
  <c r="L44" i="32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5" i="1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2" i="14"/>
  <c r="L22" i="14" s="1"/>
  <c r="K15" i="14"/>
  <c r="E16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L15" i="34" l="1"/>
  <c r="K16" i="34"/>
  <c r="L16" i="34" s="1"/>
  <c r="T888" i="2"/>
  <c r="T961" i="2" s="1"/>
  <c r="T855" i="2"/>
  <c r="L45" i="14"/>
  <c r="L46" i="14"/>
  <c r="T840" i="2"/>
  <c r="T815" i="2"/>
  <c r="T722" i="2"/>
  <c r="T726" i="2" s="1"/>
  <c r="T900" i="2" s="1"/>
  <c r="T814" i="2"/>
  <c r="T813" i="2"/>
  <c r="T783" i="2"/>
  <c r="X848" i="2"/>
  <c r="L15" i="26"/>
  <c r="L16" i="26"/>
  <c r="L15" i="31"/>
  <c r="L16" i="31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L15" i="14"/>
  <c r="K16" i="14"/>
  <c r="L16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G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T975" i="2" l="1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D37" i="33" s="1"/>
  <c r="J893" i="2"/>
  <c r="J966" i="2" s="1"/>
  <c r="D36" i="27" s="1"/>
  <c r="F904" i="2" l="1"/>
  <c r="F931" i="2" s="1"/>
  <c r="E36" i="27"/>
  <c r="J36" i="27"/>
  <c r="J39" i="27" s="1"/>
  <c r="D39" i="27"/>
  <c r="G36" i="27"/>
  <c r="G39" i="27" s="1"/>
  <c r="I36" i="27"/>
  <c r="I39" i="27" s="1"/>
  <c r="F36" i="27"/>
  <c r="F39" i="27" s="1"/>
  <c r="H36" i="27"/>
  <c r="H39" i="27" s="1"/>
  <c r="J37" i="33"/>
  <c r="J40" i="33" s="1"/>
  <c r="E37" i="33"/>
  <c r="F37" i="33"/>
  <c r="F40" i="33" s="1"/>
  <c r="H37" i="33"/>
  <c r="H40" i="33" s="1"/>
  <c r="I37" i="33"/>
  <c r="I40" i="33" s="1"/>
  <c r="D40" i="33"/>
  <c r="G37" i="33"/>
  <c r="G40" i="33" s="1"/>
  <c r="O893" i="2"/>
  <c r="O904" i="2" s="1"/>
  <c r="V893" i="2"/>
  <c r="V904" i="2" s="1"/>
  <c r="K893" i="2"/>
  <c r="K966" i="2" s="1"/>
  <c r="G893" i="2"/>
  <c r="G966" i="2" s="1"/>
  <c r="U893" i="2"/>
  <c r="U966" i="2" s="1"/>
  <c r="U968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K968" i="2"/>
  <c r="C48" i="26" s="1"/>
  <c r="J968" i="2"/>
  <c r="C48" i="27" s="1"/>
  <c r="J979" i="2"/>
  <c r="D26" i="27" s="1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D36" i="24" s="1"/>
  <c r="T968" i="2"/>
  <c r="C48" i="33" s="1"/>
  <c r="T979" i="2"/>
  <c r="F906" i="2"/>
  <c r="K895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Y984" i="2"/>
  <c r="Y988" i="2" s="1"/>
  <c r="F984" i="2"/>
  <c r="X979" i="2"/>
  <c r="X981" i="2" s="1"/>
  <c r="X968" i="2"/>
  <c r="F909" i="2" l="1"/>
  <c r="O966" i="2"/>
  <c r="D36" i="28" s="1"/>
  <c r="I36" i="28" s="1"/>
  <c r="I39" i="28" s="1"/>
  <c r="V895" i="2"/>
  <c r="V920" i="2" s="1"/>
  <c r="J36" i="24"/>
  <c r="J39" i="24" s="1"/>
  <c r="D39" i="24"/>
  <c r="E36" i="24"/>
  <c r="H36" i="24"/>
  <c r="H39" i="24" s="1"/>
  <c r="G36" i="24"/>
  <c r="G39" i="24" s="1"/>
  <c r="F36" i="24"/>
  <c r="F39" i="24" s="1"/>
  <c r="I36" i="24"/>
  <c r="I39" i="24" s="1"/>
  <c r="O895" i="2"/>
  <c r="O920" i="2" s="1"/>
  <c r="H36" i="28"/>
  <c r="H39" i="28" s="1"/>
  <c r="D39" i="28"/>
  <c r="F36" i="28"/>
  <c r="F39" i="28" s="1"/>
  <c r="O924" i="2"/>
  <c r="G968" i="2"/>
  <c r="C48" i="14" s="1"/>
  <c r="D36" i="14"/>
  <c r="G895" i="2"/>
  <c r="G920" i="2" s="1"/>
  <c r="K979" i="2"/>
  <c r="D26" i="26" s="1"/>
  <c r="D36" i="26"/>
  <c r="K37" i="33"/>
  <c r="L37" i="33" s="1"/>
  <c r="E40" i="33"/>
  <c r="K40" i="33" s="1"/>
  <c r="L40" i="33" s="1"/>
  <c r="E39" i="27"/>
  <c r="K39" i="27" s="1"/>
  <c r="L39" i="27" s="1"/>
  <c r="K36" i="27"/>
  <c r="L36" i="27" s="1"/>
  <c r="U924" i="2"/>
  <c r="G904" i="2"/>
  <c r="G931" i="2" s="1"/>
  <c r="U895" i="2"/>
  <c r="U920" i="2" s="1"/>
  <c r="U904" i="2"/>
  <c r="U906" i="2" s="1"/>
  <c r="G979" i="2"/>
  <c r="G981" i="2" s="1"/>
  <c r="G984" i="2" s="1"/>
  <c r="P966" i="2"/>
  <c r="U979" i="2"/>
  <c r="U981" i="2" s="1"/>
  <c r="D66" i="4" s="1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C58" i="4"/>
  <c r="X984" i="2"/>
  <c r="X988" i="2" s="1"/>
  <c r="J981" i="2"/>
  <c r="J984" i="2" s="1"/>
  <c r="J988" i="2" s="1"/>
  <c r="D18" i="27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O979" i="2"/>
  <c r="O968" i="2"/>
  <c r="C48" i="28" s="1"/>
  <c r="L904" i="2"/>
  <c r="L966" i="2"/>
  <c r="L895" i="2"/>
  <c r="L924" i="2"/>
  <c r="V906" i="2"/>
  <c r="V909" i="2" s="1"/>
  <c r="V913" i="2" s="1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C55" i="4"/>
  <c r="W904" i="2"/>
  <c r="W895" i="2"/>
  <c r="J906" i="2"/>
  <c r="J909" i="2" s="1"/>
  <c r="J913" i="2" s="1"/>
  <c r="J931" i="2"/>
  <c r="AA893" i="2"/>
  <c r="AB893" i="2" s="1"/>
  <c r="D26" i="33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C48" i="24" s="1"/>
  <c r="M895" i="2"/>
  <c r="M924" i="2"/>
  <c r="M966" i="2"/>
  <c r="M904" i="2"/>
  <c r="J920" i="2"/>
  <c r="G906" i="2"/>
  <c r="G909" i="2" s="1"/>
  <c r="C66" i="4"/>
  <c r="C65" i="4"/>
  <c r="O909" i="2" l="1"/>
  <c r="O913" i="2" s="1"/>
  <c r="E36" i="28"/>
  <c r="K981" i="2"/>
  <c r="D58" i="4" s="1"/>
  <c r="J36" i="28"/>
  <c r="J39" i="28" s="1"/>
  <c r="R979" i="2"/>
  <c r="D36" i="34"/>
  <c r="K906" i="2"/>
  <c r="K909" i="2" s="1"/>
  <c r="K913" i="2" s="1"/>
  <c r="U909" i="2"/>
  <c r="U913" i="2" s="1"/>
  <c r="R968" i="2"/>
  <c r="C48" i="34" s="1"/>
  <c r="E66" i="4"/>
  <c r="G66" i="4" s="1"/>
  <c r="U984" i="2"/>
  <c r="U988" i="2" s="1"/>
  <c r="G36" i="28"/>
  <c r="G39" i="28" s="1"/>
  <c r="D26" i="14"/>
  <c r="N979" i="2"/>
  <c r="N981" i="2" s="1"/>
  <c r="D59" i="4" s="1"/>
  <c r="D36" i="32"/>
  <c r="E36" i="26"/>
  <c r="H36" i="26"/>
  <c r="H39" i="26" s="1"/>
  <c r="J36" i="26"/>
  <c r="J39" i="26" s="1"/>
  <c r="D39" i="26"/>
  <c r="I36" i="26"/>
  <c r="I39" i="26" s="1"/>
  <c r="F36" i="26"/>
  <c r="F39" i="26" s="1"/>
  <c r="G36" i="26"/>
  <c r="G39" i="26" s="1"/>
  <c r="E39" i="28"/>
  <c r="D39" i="14"/>
  <c r="F36" i="14"/>
  <c r="F39" i="14" s="1"/>
  <c r="J36" i="14"/>
  <c r="J39" i="14" s="1"/>
  <c r="I36" i="14"/>
  <c r="I39" i="14" s="1"/>
  <c r="G36" i="14"/>
  <c r="G39" i="14" s="1"/>
  <c r="H36" i="14"/>
  <c r="H39" i="14" s="1"/>
  <c r="E36" i="14"/>
  <c r="K36" i="24"/>
  <c r="L36" i="24" s="1"/>
  <c r="E39" i="24"/>
  <c r="K39" i="24" s="1"/>
  <c r="L39" i="24" s="1"/>
  <c r="P968" i="2"/>
  <c r="C48" i="31" s="1"/>
  <c r="D36" i="31"/>
  <c r="Z931" i="2"/>
  <c r="U931" i="2"/>
  <c r="R920" i="2"/>
  <c r="P979" i="2"/>
  <c r="D26" i="31" s="1"/>
  <c r="K984" i="2"/>
  <c r="K988" i="2" s="1"/>
  <c r="D18" i="26" s="1"/>
  <c r="D20" i="26" s="1"/>
  <c r="D24" i="26" s="1"/>
  <c r="E58" i="4"/>
  <c r="G58" i="4" s="1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G988" i="2"/>
  <c r="D18" i="14" s="1"/>
  <c r="Q931" i="2"/>
  <c r="Q906" i="2"/>
  <c r="Q909" i="2" s="1"/>
  <c r="Q913" i="2" s="1"/>
  <c r="G923" i="2"/>
  <c r="G926" i="2" s="1"/>
  <c r="V923" i="2"/>
  <c r="H923" i="2"/>
  <c r="O923" i="2"/>
  <c r="O926" i="2" s="1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D26" i="28"/>
  <c r="C63" i="4"/>
  <c r="L968" i="2"/>
  <c r="L979" i="2"/>
  <c r="L981" i="2" s="1"/>
  <c r="S906" i="2"/>
  <c r="S909" i="2" s="1"/>
  <c r="S931" i="2"/>
  <c r="I979" i="2"/>
  <c r="I981" i="2" s="1"/>
  <c r="I968" i="2"/>
  <c r="C60" i="4"/>
  <c r="D55" i="4"/>
  <c r="E55" i="4" s="1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D20" i="27"/>
  <c r="D24" i="27" s="1"/>
  <c r="D41" i="27" s="1"/>
  <c r="D48" i="27" s="1"/>
  <c r="E18" i="27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D18" i="33" s="1"/>
  <c r="H981" i="2"/>
  <c r="D56" i="4" s="1"/>
  <c r="D26" i="24"/>
  <c r="X931" i="2"/>
  <c r="X906" i="2"/>
  <c r="X909" i="2" s="1"/>
  <c r="X913" i="2" s="1"/>
  <c r="S920" i="2"/>
  <c r="I906" i="2"/>
  <c r="I931" i="2"/>
  <c r="P981" i="2" l="1"/>
  <c r="D61" i="4" s="1"/>
  <c r="U923" i="2"/>
  <c r="U926" i="2" s="1"/>
  <c r="U948" i="2" s="1"/>
  <c r="K923" i="2"/>
  <c r="K926" i="2" s="1"/>
  <c r="D26" i="32"/>
  <c r="J36" i="34"/>
  <c r="J39" i="34" s="1"/>
  <c r="D39" i="34"/>
  <c r="H36" i="34"/>
  <c r="H39" i="34" s="1"/>
  <c r="I36" i="34"/>
  <c r="I39" i="34" s="1"/>
  <c r="E36" i="34"/>
  <c r="F36" i="34"/>
  <c r="F39" i="34" s="1"/>
  <c r="G36" i="34"/>
  <c r="G39" i="34" s="1"/>
  <c r="R981" i="2"/>
  <c r="AA981" i="2" s="1"/>
  <c r="AB981" i="2" s="1"/>
  <c r="D26" i="34"/>
  <c r="K36" i="28"/>
  <c r="L36" i="28" s="1"/>
  <c r="R926" i="2"/>
  <c r="P923" i="2"/>
  <c r="P926" i="2" s="1"/>
  <c r="P948" i="2" s="1"/>
  <c r="K39" i="28"/>
  <c r="L39" i="28" s="1"/>
  <c r="J36" i="31"/>
  <c r="J39" i="31" s="1"/>
  <c r="H36" i="31"/>
  <c r="H39" i="31" s="1"/>
  <c r="D39" i="31"/>
  <c r="E36" i="31"/>
  <c r="G36" i="31"/>
  <c r="G39" i="31" s="1"/>
  <c r="F36" i="31"/>
  <c r="F39" i="31" s="1"/>
  <c r="I36" i="31"/>
  <c r="I39" i="31" s="1"/>
  <c r="D41" i="26"/>
  <c r="D48" i="26" s="1"/>
  <c r="E39" i="26"/>
  <c r="K39" i="26" s="1"/>
  <c r="L39" i="26" s="1"/>
  <c r="K36" i="26"/>
  <c r="L36" i="26" s="1"/>
  <c r="C59" i="4"/>
  <c r="E59" i="4" s="1"/>
  <c r="G59" i="4" s="1"/>
  <c r="C48" i="32"/>
  <c r="E39" i="14"/>
  <c r="K39" i="14" s="1"/>
  <c r="L39" i="14" s="1"/>
  <c r="K36" i="14"/>
  <c r="L36" i="14" s="1"/>
  <c r="F36" i="32"/>
  <c r="F39" i="32" s="1"/>
  <c r="G36" i="32"/>
  <c r="G39" i="32" s="1"/>
  <c r="I36" i="32"/>
  <c r="I39" i="32" s="1"/>
  <c r="J36" i="32"/>
  <c r="J39" i="32" s="1"/>
  <c r="D39" i="32"/>
  <c r="H36" i="32"/>
  <c r="H39" i="32" s="1"/>
  <c r="E36" i="32"/>
  <c r="C61" i="4"/>
  <c r="E61" i="4" s="1"/>
  <c r="G61" i="4" s="1"/>
  <c r="E18" i="26"/>
  <c r="F18" i="26" s="1"/>
  <c r="N913" i="2"/>
  <c r="N923" i="2"/>
  <c r="N926" i="2" s="1"/>
  <c r="N948" i="2" s="1"/>
  <c r="N984" i="2"/>
  <c r="N988" i="2" s="1"/>
  <c r="D18" i="32" s="1"/>
  <c r="D20" i="32" s="1"/>
  <c r="D24" i="32" s="1"/>
  <c r="H984" i="2"/>
  <c r="H988" i="2" s="1"/>
  <c r="D18" i="24" s="1"/>
  <c r="E18" i="24" s="1"/>
  <c r="P984" i="2"/>
  <c r="P988" i="2" s="1"/>
  <c r="D18" i="31" s="1"/>
  <c r="E18" i="31" s="1"/>
  <c r="M984" i="2"/>
  <c r="M988" i="2" s="1"/>
  <c r="I984" i="2"/>
  <c r="I988" i="2" s="1"/>
  <c r="AA931" i="2"/>
  <c r="AB931" i="2" s="1"/>
  <c r="O984" i="2"/>
  <c r="O988" i="2" s="1"/>
  <c r="D18" i="28" s="1"/>
  <c r="D20" i="28" s="1"/>
  <c r="D24" i="28" s="1"/>
  <c r="D41" i="28" s="1"/>
  <c r="D48" i="28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54" i="2"/>
  <c r="K950" i="2"/>
  <c r="G55" i="4"/>
  <c r="R948" i="2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U935" i="2"/>
  <c r="U937" i="2" s="1"/>
  <c r="U940" i="2" s="1"/>
  <c r="U944" i="2" s="1"/>
  <c r="F954" i="2"/>
  <c r="W954" i="2" s="1"/>
  <c r="F950" i="2"/>
  <c r="F935" i="2"/>
  <c r="F926" i="2"/>
  <c r="Q923" i="2"/>
  <c r="D20" i="14"/>
  <c r="D24" i="14" s="1"/>
  <c r="D41" i="14" s="1"/>
  <c r="D48" i="14" s="1"/>
  <c r="E18" i="14"/>
  <c r="S984" i="2"/>
  <c r="S988" i="2" s="1"/>
  <c r="C64" i="4"/>
  <c r="E64" i="4" s="1"/>
  <c r="G64" i="4" s="1"/>
  <c r="D20" i="33"/>
  <c r="D24" i="33" s="1"/>
  <c r="D42" i="33" s="1"/>
  <c r="D48" i="33" s="1"/>
  <c r="E18" i="33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H926" i="2"/>
  <c r="R950" i="2"/>
  <c r="R954" i="2"/>
  <c r="R935" i="2"/>
  <c r="R937" i="2" s="1"/>
  <c r="R940" i="2" s="1"/>
  <c r="R944" i="2" s="1"/>
  <c r="O954" i="2"/>
  <c r="O935" i="2"/>
  <c r="O937" i="2" s="1"/>
  <c r="O940" i="2" s="1"/>
  <c r="O944" i="2" s="1"/>
  <c r="O950" i="2"/>
  <c r="X923" i="2"/>
  <c r="X926" i="2" s="1"/>
  <c r="J948" i="2"/>
  <c r="V950" i="2"/>
  <c r="V952" i="2" s="1"/>
  <c r="V935" i="2"/>
  <c r="V937" i="2" s="1"/>
  <c r="T926" i="2"/>
  <c r="Q984" i="2"/>
  <c r="Q988" i="2" s="1"/>
  <c r="C62" i="4"/>
  <c r="V926" i="2"/>
  <c r="E20" i="27"/>
  <c r="F18" i="27"/>
  <c r="P950" i="2"/>
  <c r="M923" i="2"/>
  <c r="AA968" i="2"/>
  <c r="AB968" i="2" s="1"/>
  <c r="K935" i="2" l="1"/>
  <c r="K937" i="2" s="1"/>
  <c r="P935" i="2"/>
  <c r="P937" i="2" s="1"/>
  <c r="P940" i="2" s="1"/>
  <c r="P944" i="2" s="1"/>
  <c r="P954" i="2"/>
  <c r="N935" i="2"/>
  <c r="N937" i="2" s="1"/>
  <c r="N940" i="2" s="1"/>
  <c r="N944" i="2" s="1"/>
  <c r="N954" i="2"/>
  <c r="U950" i="2"/>
  <c r="U954" i="2"/>
  <c r="K36" i="34"/>
  <c r="L36" i="34" s="1"/>
  <c r="E39" i="34"/>
  <c r="K39" i="34" s="1"/>
  <c r="L39" i="34" s="1"/>
  <c r="D63" i="4"/>
  <c r="R984" i="2"/>
  <c r="R988" i="2" s="1"/>
  <c r="D18" i="34" s="1"/>
  <c r="N950" i="2"/>
  <c r="N952" i="2" s="1"/>
  <c r="E18" i="32"/>
  <c r="E20" i="32" s="1"/>
  <c r="D41" i="32"/>
  <c r="D48" i="32" s="1"/>
  <c r="K36" i="31"/>
  <c r="L36" i="31" s="1"/>
  <c r="E39" i="31"/>
  <c r="K39" i="31" s="1"/>
  <c r="L39" i="31" s="1"/>
  <c r="E20" i="26"/>
  <c r="E24" i="26" s="1"/>
  <c r="E39" i="32"/>
  <c r="K39" i="32" s="1"/>
  <c r="L39" i="32" s="1"/>
  <c r="K36" i="32"/>
  <c r="L36" i="32" s="1"/>
  <c r="D20" i="24"/>
  <c r="D24" i="24" s="1"/>
  <c r="D41" i="24" s="1"/>
  <c r="D48" i="24" s="1"/>
  <c r="D20" i="31"/>
  <c r="D24" i="31" s="1"/>
  <c r="D41" i="31" s="1"/>
  <c r="D48" i="31" s="1"/>
  <c r="E18" i="28"/>
  <c r="E20" i="28" s="1"/>
  <c r="J952" i="2"/>
  <c r="P952" i="2"/>
  <c r="Z940" i="2"/>
  <c r="Z944" i="2" s="1"/>
  <c r="R952" i="2"/>
  <c r="V940" i="2"/>
  <c r="V944" i="2" s="1"/>
  <c r="S948" i="2"/>
  <c r="G18" i="27"/>
  <c r="F20" i="27"/>
  <c r="F24" i="27" s="1"/>
  <c r="T948" i="2"/>
  <c r="T952" i="2" s="1"/>
  <c r="T940" i="2"/>
  <c r="T944" i="2" s="1"/>
  <c r="E20" i="33"/>
  <c r="F18" i="33"/>
  <c r="F948" i="2"/>
  <c r="F952" i="2" s="1"/>
  <c r="I913" i="2"/>
  <c r="AA909" i="2"/>
  <c r="AB909" i="2" s="1"/>
  <c r="I923" i="2"/>
  <c r="K948" i="2"/>
  <c r="K952" i="2" s="1"/>
  <c r="K940" i="2"/>
  <c r="K944" i="2" s="1"/>
  <c r="M935" i="2"/>
  <c r="M937" i="2" s="1"/>
  <c r="M954" i="2"/>
  <c r="M950" i="2"/>
  <c r="E24" i="27"/>
  <c r="F937" i="2"/>
  <c r="F18" i="24"/>
  <c r="E20" i="24"/>
  <c r="Y935" i="2"/>
  <c r="Y937" i="2" s="1"/>
  <c r="Y950" i="2"/>
  <c r="Y952" i="2" s="1"/>
  <c r="L954" i="2"/>
  <c r="L935" i="2"/>
  <c r="L937" i="2" s="1"/>
  <c r="L950" i="2"/>
  <c r="L926" i="2"/>
  <c r="F20" i="26"/>
  <c r="F24" i="26" s="1"/>
  <c r="G18" i="26"/>
  <c r="AA984" i="2"/>
  <c r="AB984" i="2" s="1"/>
  <c r="F18" i="14"/>
  <c r="E20" i="14"/>
  <c r="U952" i="2"/>
  <c r="Y926" i="2"/>
  <c r="S935" i="2"/>
  <c r="S937" i="2" s="1"/>
  <c r="S940" i="2" s="1"/>
  <c r="S944" i="2" s="1"/>
  <c r="S950" i="2"/>
  <c r="S954" i="2"/>
  <c r="E62" i="4"/>
  <c r="G62" i="4" s="1"/>
  <c r="C67" i="4"/>
  <c r="X950" i="2"/>
  <c r="X952" i="2" s="1"/>
  <c r="X935" i="2"/>
  <c r="X937" i="2" s="1"/>
  <c r="X940" i="2" s="1"/>
  <c r="X944" i="2" s="1"/>
  <c r="F18" i="31"/>
  <c r="E20" i="3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E18" i="34" l="1"/>
  <c r="D20" i="34"/>
  <c r="D24" i="34" s="1"/>
  <c r="D41" i="34" s="1"/>
  <c r="D48" i="34" s="1"/>
  <c r="E63" i="4"/>
  <c r="G63" i="4" s="1"/>
  <c r="D67" i="4"/>
  <c r="F18" i="32"/>
  <c r="G18" i="32" s="1"/>
  <c r="F18" i="28"/>
  <c r="F20" i="28" s="1"/>
  <c r="F24" i="28" s="1"/>
  <c r="S952" i="2"/>
  <c r="H18" i="26"/>
  <c r="G20" i="26"/>
  <c r="I935" i="2"/>
  <c r="I954" i="2"/>
  <c r="I950" i="2"/>
  <c r="AA923" i="2"/>
  <c r="AB923" i="2" s="1"/>
  <c r="I926" i="2"/>
  <c r="E24" i="31"/>
  <c r="Y940" i="2"/>
  <c r="Y944" i="2" s="1"/>
  <c r="G20" i="27"/>
  <c r="G24" i="27" s="1"/>
  <c r="H18" i="27"/>
  <c r="F20" i="32"/>
  <c r="F24" i="32" s="1"/>
  <c r="E24" i="14"/>
  <c r="E24" i="32"/>
  <c r="F940" i="2"/>
  <c r="L948" i="2"/>
  <c r="L952" i="2" s="1"/>
  <c r="L940" i="2"/>
  <c r="L944" i="2" s="1"/>
  <c r="E24" i="24"/>
  <c r="M940" i="2"/>
  <c r="M944" i="2" s="1"/>
  <c r="M948" i="2"/>
  <c r="M952" i="2" s="1"/>
  <c r="G18" i="24"/>
  <c r="F20" i="24"/>
  <c r="F24" i="24" s="1"/>
  <c r="G940" i="2"/>
  <c r="G18" i="14"/>
  <c r="F20" i="14"/>
  <c r="F24" i="14" s="1"/>
  <c r="F20" i="33"/>
  <c r="F24" i="33" s="1"/>
  <c r="G18" i="33"/>
  <c r="Q940" i="2"/>
  <c r="Q944" i="2" s="1"/>
  <c r="Q948" i="2"/>
  <c r="Q952" i="2" s="1"/>
  <c r="E24" i="28"/>
  <c r="F20" i="31"/>
  <c r="F24" i="31" s="1"/>
  <c r="G18" i="31"/>
  <c r="G18" i="28"/>
  <c r="E24" i="33"/>
  <c r="E67" i="4" l="1"/>
  <c r="G67" i="4" s="1"/>
  <c r="F18" i="34"/>
  <c r="E20" i="34"/>
  <c r="F944" i="2"/>
  <c r="I18" i="27"/>
  <c r="H20" i="27"/>
  <c r="G20" i="14"/>
  <c r="H18" i="14"/>
  <c r="G944" i="2"/>
  <c r="G20" i="28"/>
  <c r="H18" i="28"/>
  <c r="G20" i="33"/>
  <c r="H18" i="33"/>
  <c r="I937" i="2"/>
  <c r="AA937" i="2" s="1"/>
  <c r="AB937" i="2" s="1"/>
  <c r="AA935" i="2"/>
  <c r="AB935" i="2" s="1"/>
  <c r="H18" i="24"/>
  <c r="G20" i="24"/>
  <c r="G24" i="24" s="1"/>
  <c r="G24" i="26"/>
  <c r="G20" i="32"/>
  <c r="G24" i="32" s="1"/>
  <c r="H18" i="32"/>
  <c r="G20" i="31"/>
  <c r="G24" i="31" s="1"/>
  <c r="H18" i="31"/>
  <c r="I948" i="2"/>
  <c r="I952" i="2" s="1"/>
  <c r="AA926" i="2"/>
  <c r="AB926" i="2" s="1"/>
  <c r="H20" i="26"/>
  <c r="H24" i="26" s="1"/>
  <c r="I18" i="26"/>
  <c r="E24" i="34" l="1"/>
  <c r="G18" i="34"/>
  <c r="F20" i="34"/>
  <c r="F24" i="34" s="1"/>
  <c r="I940" i="2"/>
  <c r="I944" i="2" s="1"/>
  <c r="H20" i="14"/>
  <c r="H24" i="14" s="1"/>
  <c r="I18" i="14"/>
  <c r="G24" i="14"/>
  <c r="I18" i="32"/>
  <c r="H20" i="32"/>
  <c r="H24" i="32" s="1"/>
  <c r="I20" i="27"/>
  <c r="I24" i="27" s="1"/>
  <c r="J18" i="27"/>
  <c r="J20" i="27" s="1"/>
  <c r="J24" i="27" s="1"/>
  <c r="H20" i="33"/>
  <c r="H24" i="33" s="1"/>
  <c r="I18" i="33"/>
  <c r="J18" i="26"/>
  <c r="J20" i="26" s="1"/>
  <c r="J24" i="26" s="1"/>
  <c r="I20" i="26"/>
  <c r="I24" i="26" s="1"/>
  <c r="G24" i="33"/>
  <c r="H20" i="24"/>
  <c r="H24" i="24" s="1"/>
  <c r="I18" i="24"/>
  <c r="H24" i="27"/>
  <c r="I18" i="31"/>
  <c r="H20" i="31"/>
  <c r="H24" i="31" s="1"/>
  <c r="H20" i="28"/>
  <c r="H24" i="28" s="1"/>
  <c r="I18" i="28"/>
  <c r="G24" i="28"/>
  <c r="G20" i="34" l="1"/>
  <c r="G24" i="34" s="1"/>
  <c r="H18" i="34"/>
  <c r="K24" i="26"/>
  <c r="G26" i="26" s="1"/>
  <c r="G41" i="26" s="1"/>
  <c r="G48" i="26" s="1"/>
  <c r="G52" i="26" s="1"/>
  <c r="AA940" i="2"/>
  <c r="AB940" i="2" s="1"/>
  <c r="K20" i="26"/>
  <c r="L20" i="26" s="1"/>
  <c r="I20" i="24"/>
  <c r="I24" i="24" s="1"/>
  <c r="J18" i="24"/>
  <c r="J20" i="24" s="1"/>
  <c r="J24" i="24" s="1"/>
  <c r="I20" i="14"/>
  <c r="J18" i="14"/>
  <c r="J20" i="14" s="1"/>
  <c r="J24" i="14" s="1"/>
  <c r="I20" i="31"/>
  <c r="J18" i="31"/>
  <c r="J20" i="31" s="1"/>
  <c r="J24" i="31" s="1"/>
  <c r="K20" i="27"/>
  <c r="L20" i="27" s="1"/>
  <c r="I20" i="28"/>
  <c r="I24" i="28" s="1"/>
  <c r="J18" i="28"/>
  <c r="J20" i="28" s="1"/>
  <c r="J24" i="28" s="1"/>
  <c r="K24" i="27"/>
  <c r="I26" i="27" s="1"/>
  <c r="I41" i="27" s="1"/>
  <c r="I48" i="27" s="1"/>
  <c r="I52" i="27" s="1"/>
  <c r="I20" i="33"/>
  <c r="J18" i="33"/>
  <c r="J20" i="33" s="1"/>
  <c r="J24" i="33" s="1"/>
  <c r="J18" i="32"/>
  <c r="J20" i="32" s="1"/>
  <c r="J24" i="32" s="1"/>
  <c r="I20" i="32"/>
  <c r="H20" i="34" l="1"/>
  <c r="I18" i="34"/>
  <c r="J26" i="26"/>
  <c r="J41" i="26" s="1"/>
  <c r="J48" i="26" s="1"/>
  <c r="J52" i="26" s="1"/>
  <c r="H26" i="26"/>
  <c r="H41" i="26" s="1"/>
  <c r="H48" i="26" s="1"/>
  <c r="H52" i="26" s="1"/>
  <c r="F26" i="26"/>
  <c r="F41" i="26" s="1"/>
  <c r="F48" i="26" s="1"/>
  <c r="F52" i="26" s="1"/>
  <c r="K56" i="26" s="1"/>
  <c r="L24" i="26"/>
  <c r="E26" i="26"/>
  <c r="E41" i="26" s="1"/>
  <c r="I26" i="26"/>
  <c r="I41" i="26" s="1"/>
  <c r="I48" i="26" s="1"/>
  <c r="I52" i="26" s="1"/>
  <c r="K24" i="24"/>
  <c r="H26" i="24" s="1"/>
  <c r="H41" i="24" s="1"/>
  <c r="H48" i="24" s="1"/>
  <c r="H52" i="24" s="1"/>
  <c r="J26" i="27"/>
  <c r="J41" i="27" s="1"/>
  <c r="J48" i="27" s="1"/>
  <c r="J52" i="27" s="1"/>
  <c r="K54" i="27" s="1"/>
  <c r="H26" i="27"/>
  <c r="H41" i="27" s="1"/>
  <c r="H48" i="27" s="1"/>
  <c r="H52" i="27" s="1"/>
  <c r="I24" i="31"/>
  <c r="K20" i="31"/>
  <c r="L20" i="31" s="1"/>
  <c r="K24" i="28"/>
  <c r="I26" i="28" s="1"/>
  <c r="I41" i="28" s="1"/>
  <c r="I48" i="28" s="1"/>
  <c r="I52" i="28" s="1"/>
  <c r="I24" i="33"/>
  <c r="K20" i="33"/>
  <c r="L20" i="33" s="1"/>
  <c r="K20" i="28"/>
  <c r="L20" i="28" s="1"/>
  <c r="I24" i="32"/>
  <c r="K20" i="32"/>
  <c r="L20" i="32" s="1"/>
  <c r="L24" i="27"/>
  <c r="E26" i="27"/>
  <c r="F26" i="27"/>
  <c r="F41" i="27" s="1"/>
  <c r="F48" i="27" s="1"/>
  <c r="F52" i="27" s="1"/>
  <c r="K56" i="27" s="1"/>
  <c r="G26" i="27"/>
  <c r="G41" i="27" s="1"/>
  <c r="G48" i="27" s="1"/>
  <c r="G52" i="27" s="1"/>
  <c r="K20" i="24"/>
  <c r="L20" i="24" s="1"/>
  <c r="I26" i="24"/>
  <c r="I41" i="24" s="1"/>
  <c r="I48" i="24" s="1"/>
  <c r="I52" i="24" s="1"/>
  <c r="I24" i="14"/>
  <c r="K20" i="14"/>
  <c r="L20" i="14" s="1"/>
  <c r="I20" i="34" l="1"/>
  <c r="I24" i="34" s="1"/>
  <c r="J18" i="34"/>
  <c r="J20" i="34" s="1"/>
  <c r="J24" i="34" s="1"/>
  <c r="H24" i="34"/>
  <c r="K20" i="34"/>
  <c r="L20" i="34" s="1"/>
  <c r="K54" i="26"/>
  <c r="K52" i="27"/>
  <c r="K52" i="26"/>
  <c r="G26" i="24"/>
  <c r="G41" i="24" s="1"/>
  <c r="G48" i="24" s="1"/>
  <c r="G52" i="24" s="1"/>
  <c r="F26" i="24"/>
  <c r="F41" i="24" s="1"/>
  <c r="F48" i="24" s="1"/>
  <c r="F52" i="24" s="1"/>
  <c r="K56" i="24" s="1"/>
  <c r="J26" i="24"/>
  <c r="J41" i="24" s="1"/>
  <c r="J48" i="24" s="1"/>
  <c r="J52" i="24" s="1"/>
  <c r="K54" i="24" s="1"/>
  <c r="K59" i="24" s="1"/>
  <c r="K60" i="24" s="1"/>
  <c r="E26" i="24"/>
  <c r="E41" i="24" s="1"/>
  <c r="L24" i="24"/>
  <c r="K26" i="26"/>
  <c r="L26" i="26" s="1"/>
  <c r="J26" i="28"/>
  <c r="J41" i="28" s="1"/>
  <c r="J48" i="28" s="1"/>
  <c r="J52" i="28" s="1"/>
  <c r="K52" i="28" s="1"/>
  <c r="K24" i="32"/>
  <c r="I26" i="32" s="1"/>
  <c r="I41" i="32" s="1"/>
  <c r="I48" i="32" s="1"/>
  <c r="I52" i="32" s="1"/>
  <c r="K24" i="14"/>
  <c r="I26" i="14" s="1"/>
  <c r="I41" i="14" s="1"/>
  <c r="I48" i="14" s="1"/>
  <c r="I52" i="14" s="1"/>
  <c r="K24" i="33"/>
  <c r="I26" i="33" s="1"/>
  <c r="I42" i="33" s="1"/>
  <c r="I48" i="33" s="1"/>
  <c r="I52" i="33" s="1"/>
  <c r="L24" i="28"/>
  <c r="E26" i="28"/>
  <c r="F26" i="28"/>
  <c r="F41" i="28" s="1"/>
  <c r="F48" i="28" s="1"/>
  <c r="F52" i="28" s="1"/>
  <c r="K56" i="28" s="1"/>
  <c r="H26" i="28"/>
  <c r="H41" i="28" s="1"/>
  <c r="H48" i="28" s="1"/>
  <c r="H52" i="28" s="1"/>
  <c r="G26" i="28"/>
  <c r="G41" i="28" s="1"/>
  <c r="G48" i="28" s="1"/>
  <c r="G52" i="28" s="1"/>
  <c r="E41" i="27"/>
  <c r="K26" i="27"/>
  <c r="L26" i="27" s="1"/>
  <c r="K41" i="26"/>
  <c r="L41" i="26" s="1"/>
  <c r="E48" i="26"/>
  <c r="K24" i="31"/>
  <c r="K24" i="34" l="1"/>
  <c r="J26" i="34"/>
  <c r="J41" i="34" s="1"/>
  <c r="J48" i="34" s="1"/>
  <c r="J52" i="34" s="1"/>
  <c r="I26" i="34"/>
  <c r="I41" i="34" s="1"/>
  <c r="I48" i="34" s="1"/>
  <c r="I52" i="34" s="1"/>
  <c r="K26" i="24"/>
  <c r="L26" i="24" s="1"/>
  <c r="K52" i="24"/>
  <c r="K54" i="28"/>
  <c r="L24" i="31"/>
  <c r="F26" i="31"/>
  <c r="F41" i="31" s="1"/>
  <c r="F48" i="31" s="1"/>
  <c r="F52" i="31" s="1"/>
  <c r="K56" i="31" s="1"/>
  <c r="E26" i="31"/>
  <c r="G26" i="31"/>
  <c r="G41" i="31" s="1"/>
  <c r="G48" i="31" s="1"/>
  <c r="G52" i="31" s="1"/>
  <c r="H26" i="31"/>
  <c r="H41" i="31" s="1"/>
  <c r="H48" i="31" s="1"/>
  <c r="H52" i="31" s="1"/>
  <c r="J26" i="31"/>
  <c r="J41" i="31" s="1"/>
  <c r="J48" i="31" s="1"/>
  <c r="J52" i="31" s="1"/>
  <c r="E52" i="26"/>
  <c r="K55" i="26" s="1"/>
  <c r="K48" i="26"/>
  <c r="L48" i="26" s="1"/>
  <c r="L24" i="14"/>
  <c r="E26" i="14"/>
  <c r="F26" i="14"/>
  <c r="F41" i="14" s="1"/>
  <c r="F48" i="14" s="1"/>
  <c r="F52" i="14" s="1"/>
  <c r="K56" i="14" s="1"/>
  <c r="H26" i="14"/>
  <c r="H41" i="14" s="1"/>
  <c r="H48" i="14" s="1"/>
  <c r="H52" i="14" s="1"/>
  <c r="G26" i="14"/>
  <c r="G41" i="14" s="1"/>
  <c r="G48" i="14" s="1"/>
  <c r="G52" i="14" s="1"/>
  <c r="J26" i="14"/>
  <c r="J41" i="14" s="1"/>
  <c r="J48" i="14" s="1"/>
  <c r="J52" i="14" s="1"/>
  <c r="K52" i="14" s="1"/>
  <c r="I26" i="31"/>
  <c r="I41" i="31" s="1"/>
  <c r="I48" i="31" s="1"/>
  <c r="I52" i="31" s="1"/>
  <c r="K26" i="28"/>
  <c r="L26" i="28" s="1"/>
  <c r="E41" i="28"/>
  <c r="K41" i="24"/>
  <c r="L41" i="24" s="1"/>
  <c r="E48" i="24"/>
  <c r="L24" i="32"/>
  <c r="E26" i="32"/>
  <c r="F26" i="32"/>
  <c r="F41" i="32" s="1"/>
  <c r="F48" i="32" s="1"/>
  <c r="F52" i="32" s="1"/>
  <c r="K56" i="32" s="1"/>
  <c r="G26" i="32"/>
  <c r="G41" i="32" s="1"/>
  <c r="G48" i="32" s="1"/>
  <c r="G52" i="32" s="1"/>
  <c r="H26" i="32"/>
  <c r="H41" i="32" s="1"/>
  <c r="H48" i="32" s="1"/>
  <c r="H52" i="32" s="1"/>
  <c r="J26" i="32"/>
  <c r="J41" i="32" s="1"/>
  <c r="J48" i="32" s="1"/>
  <c r="J52" i="32" s="1"/>
  <c r="K54" i="32" s="1"/>
  <c r="K41" i="27"/>
  <c r="L41" i="27" s="1"/>
  <c r="E48" i="27"/>
  <c r="L24" i="33"/>
  <c r="F26" i="33"/>
  <c r="F42" i="33" s="1"/>
  <c r="F48" i="33" s="1"/>
  <c r="F52" i="33" s="1"/>
  <c r="K56" i="33" s="1"/>
  <c r="E26" i="33"/>
  <c r="H26" i="33"/>
  <c r="H42" i="33" s="1"/>
  <c r="H48" i="33" s="1"/>
  <c r="H52" i="33" s="1"/>
  <c r="G26" i="33"/>
  <c r="G42" i="33" s="1"/>
  <c r="G48" i="33" s="1"/>
  <c r="G52" i="33" s="1"/>
  <c r="J26" i="33"/>
  <c r="J42" i="33" s="1"/>
  <c r="J48" i="33" s="1"/>
  <c r="J52" i="33" s="1"/>
  <c r="K52" i="33" s="1"/>
  <c r="K54" i="33" s="1"/>
  <c r="K59" i="33" s="1"/>
  <c r="K60" i="33" s="1"/>
  <c r="K54" i="34" l="1"/>
  <c r="K52" i="34"/>
  <c r="L24" i="34"/>
  <c r="F26" i="34"/>
  <c r="F41" i="34" s="1"/>
  <c r="F48" i="34" s="1"/>
  <c r="F52" i="34" s="1"/>
  <c r="K56" i="34" s="1"/>
  <c r="E26" i="34"/>
  <c r="G26" i="34"/>
  <c r="G41" i="34" s="1"/>
  <c r="G48" i="34" s="1"/>
  <c r="G52" i="34" s="1"/>
  <c r="H26" i="34"/>
  <c r="H41" i="34" s="1"/>
  <c r="H48" i="34" s="1"/>
  <c r="H52" i="34" s="1"/>
  <c r="K54" i="14"/>
  <c r="K59" i="14" s="1"/>
  <c r="K60" i="14" s="1"/>
  <c r="E52" i="27"/>
  <c r="K55" i="27" s="1"/>
  <c r="K48" i="27"/>
  <c r="L48" i="27" s="1"/>
  <c r="E52" i="24"/>
  <c r="K55" i="24" s="1"/>
  <c r="K62" i="24" s="1"/>
  <c r="L62" i="24" s="1"/>
  <c r="K48" i="24"/>
  <c r="L48" i="24" s="1"/>
  <c r="K26" i="14"/>
  <c r="L26" i="14" s="1"/>
  <c r="E41" i="14"/>
  <c r="E41" i="31"/>
  <c r="K26" i="31"/>
  <c r="L26" i="31" s="1"/>
  <c r="K41" i="28"/>
  <c r="L41" i="28" s="1"/>
  <c r="E48" i="28"/>
  <c r="K52" i="31"/>
  <c r="K54" i="31"/>
  <c r="K52" i="32"/>
  <c r="K26" i="33"/>
  <c r="L26" i="33" s="1"/>
  <c r="E42" i="33"/>
  <c r="K26" i="32"/>
  <c r="L26" i="32" s="1"/>
  <c r="E41" i="32"/>
  <c r="K26" i="34" l="1"/>
  <c r="L26" i="34" s="1"/>
  <c r="E41" i="34"/>
  <c r="E48" i="33"/>
  <c r="K42" i="33"/>
  <c r="L42" i="33" s="1"/>
  <c r="K41" i="31"/>
  <c r="L41" i="31" s="1"/>
  <c r="E48" i="31"/>
  <c r="E52" i="28"/>
  <c r="K55" i="28" s="1"/>
  <c r="K48" i="28"/>
  <c r="L48" i="28" s="1"/>
  <c r="K41" i="14"/>
  <c r="L41" i="14" s="1"/>
  <c r="E48" i="14"/>
  <c r="K41" i="32"/>
  <c r="L41" i="32" s="1"/>
  <c r="E48" i="32"/>
  <c r="E48" i="34" l="1"/>
  <c r="K41" i="34"/>
  <c r="L41" i="34" s="1"/>
  <c r="E52" i="31"/>
  <c r="K55" i="31" s="1"/>
  <c r="K48" i="31"/>
  <c r="L48" i="31" s="1"/>
  <c r="K48" i="33"/>
  <c r="L48" i="33" s="1"/>
  <c r="E52" i="33"/>
  <c r="K55" i="33" s="1"/>
  <c r="K62" i="33" s="1"/>
  <c r="L62" i="33" s="1"/>
  <c r="K48" i="14"/>
  <c r="L48" i="14" s="1"/>
  <c r="E52" i="14"/>
  <c r="K55" i="14" s="1"/>
  <c r="K62" i="14" s="1"/>
  <c r="L62" i="14" s="1"/>
  <c r="K48" i="32"/>
  <c r="L48" i="32" s="1"/>
  <c r="E52" i="32"/>
  <c r="K55" i="32" s="1"/>
  <c r="E52" i="34" l="1"/>
  <c r="K55" i="34" s="1"/>
  <c r="K48" i="34"/>
  <c r="L48" i="34" s="1"/>
</calcChain>
</file>

<file path=xl/sharedStrings.xml><?xml version="1.0" encoding="utf-8"?>
<sst xmlns="http://schemas.openxmlformats.org/spreadsheetml/2006/main" count="3842" uniqueCount="1401">
  <si>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</si>
  <si>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</si>
  <si>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</si>
  <si>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</si>
  <si>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</si>
  <si>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</si>
  <si>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</si>
  <si>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</si>
  <si>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</si>
  <si>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</si>
  <si>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</si>
  <si>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</si>
  <si>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</si>
  <si>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</si>
  <si>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</si>
  <si>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</si>
  <si>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</si>
  <si>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</si>
  <si>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</si>
  <si>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</si>
  <si>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</si>
  <si>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</si>
  <si>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</si>
  <si>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</si>
  <si>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</si>
  <si>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</si>
  <si>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</si>
  <si>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</si>
  <si>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</si>
  <si>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</si>
  <si>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</si>
  <si>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</si>
  <si>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</si>
  <si>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</si>
  <si>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</si>
  <si>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</si>
  <si>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</si>
  <si>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</si>
  <si>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</si>
  <si>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</si>
  <si>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</si>
  <si>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</si>
  <si>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</si>
  <si>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</si>
  <si>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</si>
  <si>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</si>
  <si>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</si>
  <si>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</si>
  <si>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</si>
  <si>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</si>
  <si>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</si>
  <si>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</si>
  <si>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</si>
  <si>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</si>
  <si>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</si>
  <si>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</si>
  <si>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</si>
  <si>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</si>
  <si>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</si>
  <si>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</si>
  <si>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</si>
  <si>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</si>
  <si>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</si>
  <si>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</si>
  <si>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</si>
  <si>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</si>
  <si>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</si>
  <si>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</si>
  <si>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</si>
  <si>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</si>
  <si>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</si>
  <si>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</si>
  <si>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</si>
  <si>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</si>
  <si>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</si>
  <si>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</si>
  <si>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</si>
  <si>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</si>
  <si>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</si>
  <si>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</si>
  <si>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</si>
  <si>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</si>
  <si>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</si>
  <si>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</si>
  <si>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</si>
  <si>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</si>
  <si>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</si>
  <si>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</si>
  <si>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</si>
  <si>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</si>
  <si>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</si>
  <si>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</si>
  <si>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</si>
  <si>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</si>
  <si>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</si>
  <si>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</si>
  <si>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</si>
  <si>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</si>
  <si>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</si>
  <si>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</si>
  <si>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</si>
  <si>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</si>
  <si>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</si>
  <si>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</si>
  <si>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</si>
  <si>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</si>
  <si>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</si>
  <si>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</si>
  <si>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</si>
  <si>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</si>
  <si>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</si>
  <si>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</si>
  <si>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</si>
  <si>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</si>
  <si>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</si>
  <si>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</si>
  <si>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</si>
  <si>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</si>
  <si>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</si>
  <si>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</si>
  <si>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</si>
  <si>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</si>
  <si>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</si>
  <si>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</si>
  <si>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</si>
  <si>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</si>
  <si>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</si>
  <si>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</si>
  <si>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</si>
  <si>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</si>
  <si>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</si>
  <si>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</si>
  <si>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</si>
  <si>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</si>
  <si>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</si>
  <si>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</si>
  <si>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</si>
  <si>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</si>
  <si>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</si>
  <si>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</si>
  <si>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</si>
  <si>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</si>
  <si>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</si>
  <si>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</si>
  <si>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</si>
  <si>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</si>
  <si>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</si>
  <si>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</si>
  <si>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</si>
  <si>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</si>
  <si>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</si>
  <si>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</si>
  <si>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</si>
  <si>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</si>
  <si>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</si>
  <si>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</si>
  <si>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</si>
  <si>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</si>
  <si>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</si>
  <si>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</si>
  <si>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</si>
  <si>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</si>
  <si>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</si>
  <si>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</si>
  <si>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</si>
  <si>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</si>
  <si>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</si>
  <si>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</si>
  <si>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</si>
  <si>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</si>
  <si>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</si>
  <si>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</si>
  <si>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</si>
  <si>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</si>
  <si>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</si>
  <si>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</si>
  <si>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</si>
  <si>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</si>
  <si>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</si>
  <si>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</si>
  <si>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</si>
  <si>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</si>
  <si>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</si>
  <si>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</si>
  <si>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</si>
  <si>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</si>
  <si>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</si>
  <si>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</si>
  <si>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</si>
  <si>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</si>
  <si>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</si>
  <si>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</si>
  <si>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</si>
  <si>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</si>
  <si>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</si>
  <si>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</si>
  <si>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</si>
  <si>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</si>
  <si>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</si>
  <si>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</si>
  <si>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</si>
  <si>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</si>
  <si>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</si>
  <si>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</si>
  <si>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</si>
  <si>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</si>
  <si>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</si>
  <si>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</si>
  <si>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</si>
  <si>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</si>
  <si>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</si>
  <si>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</si>
  <si>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</si>
  <si>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</si>
  <si>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</si>
  <si>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</si>
  <si>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</si>
  <si>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</si>
  <si>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</si>
  <si>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</si>
  <si>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</si>
  <si>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</si>
  <si>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</si>
  <si>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</si>
  <si>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</si>
  <si>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</si>
  <si>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</si>
  <si>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</si>
  <si>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</si>
  <si>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</si>
  <si>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</si>
  <si>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</si>
  <si>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</si>
  <si>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</si>
  <si>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</si>
  <si>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</si>
  <si>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</si>
  <si>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</si>
  <si>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</si>
  <si>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</si>
  <si>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</si>
  <si>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</si>
  <si>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</si>
  <si>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</si>
  <si>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</si>
  <si>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</si>
  <si>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</si>
  <si>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</si>
  <si>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</si>
  <si>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</si>
  <si>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</si>
  <si>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</si>
  <si>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</si>
  <si>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</si>
  <si>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</si>
  <si>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</si>
  <si>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</si>
  <si>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</si>
  <si>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</si>
  <si>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</si>
  <si>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</si>
  <si>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</si>
  <si>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</si>
  <si>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</si>
  <si>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</si>
  <si>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</si>
  <si>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</si>
  <si>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</si>
  <si>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</si>
  <si>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</si>
  <si>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</si>
  <si>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</si>
  <si>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</si>
  <si>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</si>
  <si>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</si>
  <si>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</si>
  <si>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</si>
  <si>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</si>
  <si>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</si>
  <si>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</si>
  <si>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</si>
  <si>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</si>
  <si>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</si>
  <si>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</si>
  <si>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</si>
  <si>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</si>
  <si>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</si>
  <si>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</si>
  <si>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</si>
  <si>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</si>
  <si>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</si>
  <si>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</si>
  <si>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</si>
  <si>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</si>
  <si>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</si>
  <si>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</si>
  <si>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</si>
  <si>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</si>
  <si>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</si>
  <si>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</si>
  <si>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</si>
  <si>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</si>
  <si>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</si>
  <si>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</si>
  <si>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</si>
  <si>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</si>
  <si>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</si>
  <si>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</si>
  <si>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</si>
  <si>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</si>
  <si>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</si>
  <si>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</si>
  <si>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</si>
  <si>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</si>
  <si>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</si>
  <si>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</si>
  <si>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</si>
  <si>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</si>
  <si>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</si>
  <si>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</si>
  <si>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</si>
  <si>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</si>
  <si>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</si>
  <si>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</si>
  <si>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</si>
  <si>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</si>
  <si>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</si>
  <si>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</si>
  <si>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</si>
  <si>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</si>
  <si>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</si>
  <si>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</si>
  <si>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</si>
  <si>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</si>
  <si>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</si>
  <si>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</si>
  <si>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</si>
  <si>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</si>
  <si>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</si>
  <si>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</si>
  <si>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</si>
  <si>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</si>
  <si>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</si>
  <si>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</si>
  <si>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</si>
  <si>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</si>
  <si>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</si>
  <si>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</si>
  <si>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</si>
  <si>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</si>
  <si>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</si>
  <si>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</si>
  <si>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</si>
  <si>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</si>
  <si>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</si>
  <si>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</si>
  <si>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</si>
  <si>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</si>
  <si>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</si>
  <si>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</si>
  <si>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</si>
  <si>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</si>
  <si>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</si>
  <si>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</si>
  <si>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</si>
  <si>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</si>
  <si>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</si>
  <si>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</si>
  <si>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</si>
  <si>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</si>
  <si>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</si>
  <si>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</si>
  <si>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</si>
  <si>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</si>
  <si>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</si>
  <si>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</si>
  <si>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</si>
  <si>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</si>
  <si>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</si>
  <si>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</si>
  <si>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</si>
  <si>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</si>
  <si>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</si>
  <si>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</si>
  <si>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</si>
  <si>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</si>
  <si>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</si>
  <si>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</si>
  <si>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</si>
  <si>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</si>
  <si>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</si>
  <si>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</si>
  <si>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</si>
  <si>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</si>
  <si>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</si>
  <si>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</si>
  <si>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</si>
  <si>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</si>
  <si>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</si>
  <si>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</si>
  <si>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</si>
  <si>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</si>
  <si>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</si>
  <si>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</si>
  <si>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</si>
  <si>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</si>
  <si>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</si>
  <si>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</si>
  <si>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</si>
  <si>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</si>
  <si>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</si>
  <si>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</si>
  <si>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</si>
  <si>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</si>
  <si>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</si>
  <si>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</si>
  <si>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</si>
  <si>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</si>
  <si>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</si>
  <si>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</si>
  <si>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</si>
  <si>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</si>
  <si>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</si>
  <si>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</si>
  <si>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</si>
  <si>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</si>
  <si>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</si>
  <si>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</si>
  <si>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</si>
  <si>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</si>
  <si>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</si>
  <si>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</si>
  <si>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</si>
  <si>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</si>
  <si>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</si>
  <si>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</si>
  <si>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</si>
  <si>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</si>
  <si>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</si>
  <si>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</si>
  <si>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</si>
  <si>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</si>
  <si>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</si>
  <si>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</si>
  <si>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</si>
  <si>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</si>
  <si>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</si>
  <si>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</si>
  <si>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</si>
  <si>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</si>
  <si>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</si>
  <si>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</si>
  <si>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</si>
  <si>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</si>
  <si>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</si>
  <si>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</si>
  <si>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</si>
  <si>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</si>
  <si>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</si>
  <si>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</si>
  <si>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</si>
  <si>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</si>
  <si>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</si>
  <si>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</si>
  <si>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</si>
  <si>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</si>
  <si>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</si>
  <si>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</si>
  <si>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</si>
  <si>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</si>
  <si>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</si>
  <si>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</si>
  <si>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</si>
  <si>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</si>
  <si>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</si>
  <si>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</si>
  <si>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</si>
  <si>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</si>
  <si>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</si>
  <si>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</si>
  <si>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</si>
  <si>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</si>
  <si>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</si>
  <si>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</si>
  <si>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</si>
  <si>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</si>
  <si>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</si>
  <si>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</si>
  <si>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</si>
  <si>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</si>
  <si>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</si>
  <si>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</si>
  <si>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</si>
  <si>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</si>
  <si>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</si>
  <si>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</si>
  <si>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</si>
  <si>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</si>
  <si>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</si>
  <si>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</si>
  <si>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</si>
  <si>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</si>
  <si>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</si>
  <si>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</si>
  <si>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</si>
  <si>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</si>
  <si>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</si>
  <si>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</si>
  <si>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</si>
  <si>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</si>
  <si>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</si>
  <si>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</si>
  <si>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</si>
  <si>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</si>
  <si>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</si>
  <si>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</si>
  <si>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</si>
  <si>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</si>
  <si>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</si>
  <si>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</si>
  <si>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</si>
  <si>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</si>
  <si>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</si>
  <si>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</si>
  <si>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</si>
  <si>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</si>
  <si>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</si>
  <si>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</si>
  <si>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</si>
  <si>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</si>
  <si>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</si>
  <si>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</si>
  <si>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</si>
  <si>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</si>
  <si>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</si>
  <si>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</si>
  <si>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</si>
  <si>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</si>
  <si>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</si>
  <si>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</si>
  <si>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</si>
  <si>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</si>
  <si>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</si>
  <si>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</si>
  <si>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</si>
  <si>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</si>
  <si>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</si>
  <si>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</si>
  <si>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</si>
  <si>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</si>
  <si>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</si>
  <si>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</si>
  <si>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</si>
  <si>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</si>
  <si>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</si>
  <si>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</si>
  <si>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</si>
  <si>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</si>
  <si>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</si>
  <si>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</si>
  <si>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</si>
  <si>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</si>
  <si>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</si>
  <si>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</si>
  <si>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</si>
  <si>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</si>
  <si>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</si>
  <si>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</si>
  <si>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</si>
  <si>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</si>
  <si>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</si>
  <si>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</si>
  <si>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</si>
  <si>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</si>
  <si>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</si>
  <si>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</si>
  <si>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</si>
  <si>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</si>
  <si>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</si>
  <si>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</si>
  <si>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</si>
  <si>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</si>
  <si>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</si>
  <si>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</si>
  <si>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</si>
  <si>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</si>
  <si>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</si>
  <si>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</si>
  <si>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</si>
  <si>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</si>
  <si>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</si>
  <si>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</si>
  <si>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</si>
  <si>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</si>
  <si>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</si>
  <si>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</si>
  <si>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</si>
  <si>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</si>
  <si>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</si>
  <si>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</si>
  <si>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</si>
  <si>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</si>
  <si>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</si>
  <si>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</si>
  <si>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</si>
  <si>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</si>
  <si>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</si>
  <si>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</si>
  <si>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</si>
  <si>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</si>
  <si>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</si>
  <si>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</si>
  <si>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</si>
  <si>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</si>
  <si>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</si>
  <si>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</si>
  <si>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</si>
  <si>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</si>
  <si>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</si>
  <si>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</si>
  <si>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</si>
  <si>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</si>
  <si>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</si>
  <si>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</si>
  <si>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</si>
  <si>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</si>
  <si>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</si>
  <si>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</si>
  <si>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</si>
  <si>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</si>
  <si>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</si>
  <si>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</si>
  <si>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</si>
  <si>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</si>
  <si>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</si>
  <si>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</si>
  <si>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</si>
  <si>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</si>
  <si>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</si>
  <si>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</si>
  <si>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</si>
  <si>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</si>
  <si>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</si>
  <si>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</si>
  <si>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</si>
  <si>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</si>
  <si>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</si>
  <si>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</si>
  <si>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</si>
  <si>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</si>
  <si>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</si>
  <si>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</si>
  <si>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</si>
  <si>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</si>
  <si>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</si>
  <si>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</si>
  <si>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</si>
  <si>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</si>
  <si>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</si>
  <si>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</si>
  <si>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</si>
  <si>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</si>
  <si>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</si>
  <si>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</si>
  <si>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</si>
  <si>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</si>
  <si>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</si>
  <si>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</si>
  <si>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</si>
  <si>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</si>
  <si>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</si>
  <si>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</si>
  <si>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</si>
  <si>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</si>
  <si>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</si>
  <si>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</si>
  <si>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</si>
  <si>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</si>
  <si>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</si>
  <si>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</si>
  <si>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</si>
  <si>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</si>
  <si>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</si>
  <si>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</si>
  <si>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</si>
  <si>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</si>
  <si>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</si>
  <si>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</si>
  <si>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</si>
  <si>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</si>
  <si>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</si>
  <si>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</si>
  <si>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</si>
  <si>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</si>
  <si>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</si>
  <si>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</si>
  <si>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</si>
  <si>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</si>
  <si>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</si>
  <si>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</si>
  <si>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</si>
  <si>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</si>
  <si>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</si>
  <si>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</si>
  <si>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</si>
  <si>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</si>
  <si>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</si>
  <si>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</si>
  <si>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</si>
  <si>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</si>
  <si>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</si>
  <si>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</si>
  <si>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</si>
  <si>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</si>
  <si>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</si>
  <si>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</si>
  <si>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</si>
  <si>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</si>
  <si>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</si>
  <si>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</si>
  <si>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</si>
  <si>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</si>
  <si>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</si>
  <si>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</si>
  <si>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</si>
  <si>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</si>
  <si>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</si>
  <si>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</si>
  <si>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</si>
  <si>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</si>
  <si>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</si>
  <si>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</si>
  <si>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</si>
  <si>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</si>
  <si>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</si>
  <si>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</si>
  <si>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</si>
  <si>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</si>
  <si>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</si>
  <si>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</si>
  <si>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</si>
  <si>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</si>
  <si>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</si>
  <si>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</si>
  <si>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</si>
  <si>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</si>
  <si>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</si>
  <si>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</si>
  <si>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</si>
  <si>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</si>
  <si>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</si>
  <si>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</si>
  <si>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</si>
  <si>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</si>
  <si>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</si>
  <si>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</si>
  <si>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</si>
  <si>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</si>
  <si>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</si>
  <si>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</si>
  <si>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</si>
  <si>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</si>
  <si>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</si>
  <si>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</si>
  <si>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</si>
  <si>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</si>
  <si>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</si>
  <si>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</si>
  <si>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</si>
  <si>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</si>
  <si>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</si>
  <si>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</si>
  <si>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</si>
  <si>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</si>
  <si>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</si>
  <si>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</si>
  <si>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</si>
  <si>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</si>
  <si>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</si>
  <si>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</si>
  <si>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</si>
  <si>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</si>
  <si>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</si>
  <si>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</si>
  <si>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</si>
  <si>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</si>
  <si>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</si>
  <si>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</si>
  <si>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</si>
  <si>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</si>
  <si>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</si>
  <si>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</si>
  <si>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</si>
  <si>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</si>
  <si>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</si>
  <si>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</si>
  <si>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</si>
  <si>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</si>
  <si>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</si>
  <si>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</si>
  <si>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</si>
  <si>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</si>
  <si>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</si>
  <si>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</si>
  <si>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</si>
  <si>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</si>
  <si>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</si>
  <si>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</si>
  <si>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</si>
  <si>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</si>
  <si>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</si>
  <si>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</si>
  <si>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</si>
  <si>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</si>
  <si>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</si>
  <si>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</si>
  <si>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</si>
  <si>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</si>
  <si>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</si>
  <si>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</si>
  <si>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</si>
  <si>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</si>
  <si>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</si>
  <si>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</si>
  <si>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</si>
  <si>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</si>
  <si>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</si>
  <si>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</si>
  <si>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</si>
  <si>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</si>
  <si>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</si>
  <si>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</si>
  <si>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</si>
  <si>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</si>
  <si>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</si>
  <si>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</si>
  <si>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</si>
  <si>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</si>
  <si>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</si>
  <si>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</si>
  <si>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</si>
  <si>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</si>
  <si>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</si>
  <si>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</si>
  <si>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</si>
  <si>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</si>
  <si>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</si>
  <si>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</si>
  <si>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</si>
  <si>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</si>
  <si>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</si>
  <si>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</si>
  <si>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</si>
  <si>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</si>
  <si>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</si>
  <si>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</si>
  <si>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</si>
  <si>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</si>
  <si>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</si>
  <si>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</si>
  <si>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</si>
  <si>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</si>
  <si>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</si>
  <si>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</si>
  <si>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</si>
  <si>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</si>
  <si>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</si>
  <si>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</si>
  <si>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</si>
  <si>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</si>
  <si>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</si>
  <si>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</si>
  <si>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</si>
  <si>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</si>
  <si>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</si>
  <si>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</si>
  <si>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</si>
  <si>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</si>
  <si>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</si>
  <si>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</si>
  <si>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</si>
  <si>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</si>
  <si>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</si>
  <si>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</si>
  <si>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</si>
  <si>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</si>
  <si>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</si>
  <si>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</si>
  <si>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</si>
  <si>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</si>
  <si>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</si>
  <si>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</si>
  <si>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</si>
  <si>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</si>
  <si>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</si>
  <si>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</si>
  <si>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</si>
  <si>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</si>
  <si>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</si>
  <si>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</si>
  <si>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</si>
  <si>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</si>
  <si>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</si>
  <si>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</si>
  <si>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</si>
  <si>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</si>
  <si>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</si>
  <si>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</si>
  <si>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</si>
  <si>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</si>
  <si>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</si>
  <si>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</si>
  <si>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</si>
  <si>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</si>
  <si>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</si>
  <si>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</si>
  <si>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</si>
  <si>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</si>
  <si>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</si>
  <si>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</si>
  <si>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</si>
  <si>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</si>
  <si>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</si>
  <si>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</si>
  <si>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</si>
  <si>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</si>
  <si>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</si>
  <si>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</si>
  <si>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</si>
  <si>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</si>
  <si>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</si>
  <si>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</si>
  <si>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</si>
  <si>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</si>
  <si>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</si>
  <si>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</si>
  <si>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</si>
  <si>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</si>
  <si>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</si>
  <si>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</si>
  <si>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</si>
  <si>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</si>
  <si>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</si>
  <si>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</si>
  <si>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</si>
  <si>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</si>
  <si>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</si>
  <si>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</si>
  <si>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</si>
  <si>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</si>
  <si>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</si>
  <si>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</si>
  <si>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</si>
  <si>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</si>
  <si>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</si>
  <si>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</si>
  <si>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</si>
  <si>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</si>
  <si>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</si>
  <si>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</si>
  <si>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</si>
  <si>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</si>
  <si>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</si>
  <si>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</si>
  <si>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</si>
  <si>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</si>
  <si>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</si>
  <si>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</si>
  <si>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</si>
  <si>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</si>
  <si>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</si>
  <si>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</si>
  <si>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</si>
  <si>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</si>
  <si>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</si>
  <si>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</si>
  <si>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</si>
  <si>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</si>
  <si>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</si>
  <si>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</si>
  <si>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</si>
  <si>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</si>
  <si>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</si>
  <si>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</si>
  <si>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</si>
  <si>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</si>
  <si>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</si>
  <si>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</si>
  <si>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</si>
  <si>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</si>
  <si>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</si>
  <si>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</si>
  <si>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</si>
  <si>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</si>
  <si>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</si>
  <si>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</si>
  <si>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</si>
  <si>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</si>
  <si>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</si>
  <si>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</si>
  <si>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</si>
  <si>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</si>
  <si>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</si>
  <si>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</si>
  <si>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</si>
  <si>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</si>
  <si>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</si>
  <si>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</si>
  <si>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</si>
  <si>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</si>
  <si>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</si>
  <si>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</si>
  <si>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</si>
  <si>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</si>
  <si>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</si>
  <si>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</si>
  <si>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</si>
  <si>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</si>
  <si>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</si>
  <si>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</si>
  <si>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</si>
  <si>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</si>
  <si>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</si>
  <si>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</si>
  <si>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</si>
  <si>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</si>
  <si>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</si>
  <si>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</si>
  <si>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</si>
  <si>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</si>
  <si>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</si>
  <si>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</si>
  <si>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</si>
  <si>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</si>
  <si>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</si>
  <si>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</si>
  <si>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</si>
  <si>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</si>
  <si>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</si>
  <si>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</si>
  <si>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</si>
  <si>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</si>
  <si>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</si>
  <si>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</si>
  <si>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</si>
  <si>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</si>
  <si>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</si>
  <si>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</si>
  <si>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</si>
  <si>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</si>
  <si>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</si>
  <si>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</si>
  <si>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</si>
  <si>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</si>
  <si>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</si>
  <si>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</si>
  <si>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</si>
  <si>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</si>
  <si>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</si>
  <si>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</si>
  <si>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</si>
  <si>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</si>
  <si>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</si>
  <si>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</si>
  <si>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</si>
  <si>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</si>
  <si>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</si>
  <si>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</si>
  <si>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</si>
  <si>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</si>
  <si>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</si>
  <si>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</si>
  <si>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</si>
  <si>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</si>
  <si>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</si>
  <si>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</si>
  <si>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</si>
  <si>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</si>
  <si>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</si>
  <si>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</si>
  <si>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</si>
  <si>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</si>
  <si>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</si>
  <si>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</si>
  <si>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</si>
  <si>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</si>
  <si>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</si>
  <si>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</si>
  <si>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</si>
  <si>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</si>
  <si>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</si>
  <si>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</si>
  <si>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</si>
  <si>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</si>
  <si>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</si>
  <si>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</si>
  <si>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</si>
  <si>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</si>
  <si>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</si>
  <si>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</si>
  <si>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</si>
  <si>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</si>
  <si>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</si>
  <si>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</si>
  <si>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</si>
  <si>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</si>
  <si>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</si>
  <si>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</si>
  <si>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</si>
  <si>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</si>
  <si>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</si>
  <si>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</si>
  <si>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</si>
  <si>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</si>
  <si>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</si>
  <si>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</si>
  <si>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</si>
  <si>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</si>
  <si>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</si>
  <si>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</si>
  <si>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</si>
  <si>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</si>
  <si>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</si>
  <si>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</si>
  <si>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</si>
  <si>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</si>
  <si>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</si>
  <si>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</si>
  <si>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</si>
  <si>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</si>
  <si>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</si>
  <si>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</si>
  <si>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</si>
  <si>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</si>
  <si>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</si>
  <si>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</si>
  <si>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</si>
  <si>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</si>
  <si>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</si>
  <si>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</si>
  <si>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</si>
  <si>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</si>
  <si>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</si>
  <si>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</si>
  <si>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</si>
  <si>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</si>
  <si>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</si>
  <si>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</si>
  <si>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</si>
  <si>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</si>
  <si>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</si>
  <si>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</si>
  <si>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</si>
  <si>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</si>
  <si>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</si>
  <si>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</si>
  <si>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</si>
  <si>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</si>
  <si>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</si>
  <si>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</si>
  <si>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</si>
  <si>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</si>
  <si>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</si>
  <si>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</si>
  <si>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</si>
  <si>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</si>
  <si>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</si>
  <si>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</si>
  <si>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</si>
  <si>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</si>
  <si>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</si>
  <si>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</si>
  <si>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</si>
  <si>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</si>
  <si>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</si>
  <si>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</si>
  <si>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</si>
  <si>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</si>
  <si>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</si>
  <si>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</si>
  <si>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</si>
  <si>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</si>
  <si>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</si>
  <si>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</si>
  <si>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</si>
  <si>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</si>
  <si>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</si>
  <si>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</si>
  <si>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</si>
  <si>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</si>
  <si>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</si>
  <si>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</si>
  <si>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</si>
  <si>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</si>
  <si>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</si>
  <si>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</si>
  <si>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</si>
  <si>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</si>
  <si>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</si>
  <si>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</si>
  <si>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</si>
  <si>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</si>
  <si>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</si>
  <si>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</si>
  <si>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</si>
  <si>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</si>
  <si>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</si>
  <si>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</si>
  <si>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</si>
  <si>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</si>
  <si>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</si>
  <si>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</si>
  <si>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</si>
  <si>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</si>
  <si>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</si>
  <si>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</si>
  <si>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</si>
  <si>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</si>
  <si>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</si>
  <si>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</si>
  <si>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</si>
  <si>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</si>
  <si>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</si>
  <si>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</si>
  <si>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</si>
  <si>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</si>
  <si>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</si>
  <si>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</si>
  <si>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</si>
  <si>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</si>
  <si>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</si>
  <si>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</si>
  <si>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</si>
  <si>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</si>
  <si>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</si>
  <si>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</si>
  <si>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</si>
  <si>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</si>
  <si>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</si>
  <si>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</si>
  <si>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</si>
  <si>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</si>
  <si>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</si>
  <si>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</si>
  <si>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</si>
  <si>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</si>
  <si>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</si>
  <si>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</si>
  <si>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</si>
  <si>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</si>
  <si>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</si>
  <si>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</si>
  <si>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</si>
  <si>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</si>
  <si>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</si>
  <si>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</si>
  <si>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</si>
  <si>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</si>
  <si>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</si>
  <si>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</si>
  <si>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</si>
  <si>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</si>
  <si>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</si>
  <si>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</si>
  <si>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</si>
  <si>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</si>
  <si>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</si>
  <si>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</si>
  <si>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</si>
  <si>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</si>
  <si>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</si>
  <si>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</si>
  <si>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</si>
  <si>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</si>
  <si>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</si>
  <si>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</si>
  <si>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</si>
  <si>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</si>
  <si>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</si>
  <si>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</si>
  <si>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</si>
  <si>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</si>
  <si>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</si>
  <si>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</si>
  <si>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</si>
  <si>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</si>
  <si>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</si>
  <si>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</si>
  <si>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</si>
  <si>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</si>
  <si>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</si>
  <si>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</si>
  <si>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</si>
  <si>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</si>
  <si>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</si>
  <si>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</si>
  <si>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</si>
  <si>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</si>
  <si>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</si>
  <si>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</si>
  <si>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</si>
  <si>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</si>
  <si>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</si>
  <si>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</si>
  <si>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</si>
  <si>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</si>
  <si>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</si>
  <si>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</si>
  <si>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</si>
  <si>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</si>
  <si>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</si>
  <si>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</si>
  <si>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</si>
  <si>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</si>
  <si>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</si>
  <si>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</si>
  <si>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</si>
  <si>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</si>
  <si>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</si>
  <si>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</si>
  <si>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</si>
  <si>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</si>
  <si>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</si>
  <si>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</si>
  <si>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</si>
  <si>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</si>
  <si>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</si>
  <si>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</si>
  <si>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</si>
  <si>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</si>
  <si>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</si>
  <si>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</si>
  <si>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</si>
  <si>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</si>
  <si>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</si>
  <si>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</si>
  <si>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</si>
  <si>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</si>
  <si>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</si>
  <si>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</si>
  <si>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</si>
  <si>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</si>
  <si>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</si>
  <si>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</si>
  <si>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</si>
  <si>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</si>
  <si>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</si>
  <si>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</si>
  <si>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</si>
  <si>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</si>
  <si>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</si>
  <si>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</si>
  <si>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</si>
  <si>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</si>
  <si>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</si>
  <si>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</si>
  <si>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</si>
  <si>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</si>
  <si>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</si>
  <si>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</si>
  <si>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</si>
  <si>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</si>
  <si>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</si>
  <si>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Rate TOD Primary</t>
  </si>
  <si>
    <t>PTRTL</t>
  </si>
  <si>
    <t>General Service Rate GS</t>
  </si>
  <si>
    <t>TOD Primary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</si>
  <si>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</si>
  <si>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</si>
  <si>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</si>
  <si>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</si>
  <si>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</si>
  <si>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</si>
  <si>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</si>
  <si>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</si>
  <si>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</si>
  <si>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</si>
  <si>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</si>
  <si>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</si>
  <si>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</si>
  <si>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</si>
  <si>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</si>
  <si>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</si>
  <si>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</si>
  <si>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</si>
  <si>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</si>
  <si>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</si>
  <si>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</si>
  <si>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</si>
  <si>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</si>
  <si>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</si>
  <si>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</si>
  <si>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</si>
  <si>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</si>
  <si>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</si>
  <si>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</si>
  <si>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Proposed Changes to Miscellaneous Charges</t>
  </si>
  <si>
    <t>ok</t>
  </si>
  <si>
    <t>Less: Misc Revenue - Prod Demand</t>
  </si>
  <si>
    <t>Rate Special Contract #2</t>
  </si>
  <si>
    <t xml:space="preserve">Special Contract #2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</si>
</sst>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3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0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40" fillId="0" borderId="0"/>
    <xf numFmtId="0" fontId="1" fillId="0" borderId="0"/>
    <xf numFmtId="0" fontId="5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3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102" fillId="0" borderId="4" applyBorder="0"/>
    <xf numFmtId="0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6" fillId="45" borderId="0" applyNumberFormat="0" applyBorder="0" applyAlignment="0" applyProtection="0"/>
    <xf numFmtId="181" fontId="66" fillId="45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6" borderId="21" applyNumberFormat="0" applyAlignment="0" applyProtection="0"/>
    <xf numFmtId="179" fontId="104" fillId="66" borderId="29" applyNumberFormat="0" applyAlignment="0" applyProtection="0"/>
    <xf numFmtId="0" fontId="48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4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46" applyNumberFormat="0" applyFont="0" applyAlignment="0">
      <protection locked="0"/>
    </xf>
    <xf numFmtId="0" fontId="8" fillId="51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7" borderId="0" applyNumberFormat="0" applyBorder="0" applyAlignment="0" applyProtection="0"/>
    <xf numFmtId="181" fontId="75" fillId="47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5" borderId="21" applyNumberFormat="0" applyAlignment="0" applyProtection="0"/>
    <xf numFmtId="179" fontId="114" fillId="2" borderId="29" applyNumberFormat="0" applyAlignment="0" applyProtection="0"/>
    <xf numFmtId="0" fontId="4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8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4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37" fontId="1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8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1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5" fillId="63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1" fillId="0" borderId="0"/>
    <xf numFmtId="181" fontId="95" fillId="63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1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8" borderId="0">
      <alignment horizontal="center"/>
    </xf>
    <xf numFmtId="0" fontId="34" fillId="68" borderId="0">
      <alignment horizontal="center"/>
    </xf>
    <xf numFmtId="183" fontId="34" fillId="68" borderId="0">
      <alignment horizontal="center"/>
    </xf>
    <xf numFmtId="0" fontId="34" fillId="6" borderId="0">
      <alignment horizontal="center" vertical="center"/>
    </xf>
    <xf numFmtId="0" fontId="1" fillId="0" borderId="0"/>
    <xf numFmtId="0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8" borderId="0">
      <alignment horizontal="center"/>
    </xf>
    <xf numFmtId="183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9" borderId="0"/>
    <xf numFmtId="0" fontId="28" fillId="69" borderId="0"/>
    <xf numFmtId="183" fontId="28" fillId="69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1" fillId="0" borderId="0"/>
    <xf numFmtId="0" fontId="28" fillId="69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9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9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2" fillId="69" borderId="0" applyBorder="0">
      <alignment horizontal="centerContinuous"/>
    </xf>
    <xf numFmtId="0" fontId="35" fillId="6" borderId="0" applyBorder="0">
      <alignment horizontal="centerContinuous"/>
    </xf>
    <xf numFmtId="0" fontId="1" fillId="0" borderId="0"/>
    <xf numFmtId="0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4" fillId="70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1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1" fillId="0" borderId="0"/>
    <xf numFmtId="0" fontId="1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1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1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1" fillId="0" borderId="0"/>
    <xf numFmtId="0" fontId="1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1" fillId="0" borderId="0"/>
    <xf numFmtId="0" fontId="1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49" fontId="32" fillId="4" borderId="0">
      <alignment horizontal="left"/>
    </xf>
    <xf numFmtId="49" fontId="32" fillId="4" borderId="0">
      <alignment horizontal="left"/>
    </xf>
    <xf numFmtId="0" fontId="1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1" fillId="0" borderId="0"/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80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4" applyNumberFormat="0" applyAlignment="0" applyProtection="0">
      <alignment horizontal="left" vertical="center" indent="1"/>
    </xf>
    <xf numFmtId="0" fontId="133" fillId="85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6" borderId="54" applyNumberFormat="0" applyAlignment="0" applyProtection="0">
      <alignment horizontal="left" vertical="center" indent="1"/>
    </xf>
    <xf numFmtId="0" fontId="131" fillId="80" borderId="5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1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10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0" fontId="15" fillId="0" borderId="0" xfId="30" applyNumberFormat="1" applyFont="1" applyFill="1" applyBorder="1"/>
    <xf numFmtId="0" fontId="14" fillId="0" borderId="0" xfId="0" applyFont="1" applyFill="1" applyBorder="1" applyAlignment="1">
      <alignment horizontal="center"/>
    </xf>
    <xf numFmtId="168" fontId="14" fillId="0" borderId="0" xfId="6" applyNumberFormat="1" applyFont="1" applyFill="1" applyBorder="1"/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43" fontId="14" fillId="9" borderId="0" xfId="0" applyNumberFormat="1" applyFont="1" applyFill="1"/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0" fillId="0" borderId="17" xfId="0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3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11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5" fillId="0" borderId="18" xfId="0" applyFont="1" applyBorder="1" applyAlignment="1">
      <alignment horizontal="center"/>
    </xf>
    <xf numFmtId="44" fontId="3" fillId="0" borderId="7" xfId="8" applyFont="1" applyBorder="1"/>
    <xf numFmtId="0" fontId="3" fillId="0" borderId="10" xfId="0" applyFont="1" applyBorder="1"/>
    <xf numFmtId="0" fontId="3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3" fillId="0" borderId="3" xfId="8" applyNumberFormat="1" applyFont="1" applyBorder="1"/>
    <xf numFmtId="44" fontId="3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6" fillId="0" borderId="0" xfId="30" applyNumberFormat="1" applyFont="1" applyFill="1"/>
    <xf numFmtId="43" fontId="26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165" fontId="14" fillId="11" borderId="0" xfId="6" applyNumberFormat="1" applyFont="1" applyFill="1"/>
    <xf numFmtId="165" fontId="14" fillId="11" borderId="4" xfId="6" applyNumberFormat="1" applyFont="1" applyFill="1" applyBorder="1"/>
    <xf numFmtId="0" fontId="14" fillId="0" borderId="0" xfId="0" quotePrefix="1" applyFont="1" applyFill="1" applyBorder="1"/>
    <xf numFmtId="171" fontId="14" fillId="0" borderId="0" xfId="6" applyNumberFormat="1" applyFont="1" applyFill="1"/>
    <xf numFmtId="164" fontId="14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4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0" fontId="2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70" fontId="0" fillId="0" borderId="0" xfId="0" applyNumberFormat="1"/>
    <xf numFmtId="165" fontId="3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1" fillId="0" borderId="12" xfId="0" applyFont="1" applyFill="1" applyBorder="1"/>
    <xf numFmtId="0" fontId="3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165" fontId="3" fillId="0" borderId="11" xfId="6" applyNumberFormat="1" applyFont="1" applyBorder="1" applyAlignment="1">
      <alignment horizontal="center"/>
    </xf>
    <xf numFmtId="164" fontId="14" fillId="0" borderId="11" xfId="8" applyNumberFormat="1" applyFont="1" applyFill="1" applyBorder="1" applyAlignment="1">
      <alignment horizontal="center"/>
    </xf>
    <xf numFmtId="165" fontId="3" fillId="0" borderId="13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hidden="1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930</v>
      </c>
      <c r="E3" s="47"/>
      <c r="F3" s="73" t="s">
        <v>931</v>
      </c>
      <c r="G3" s="47"/>
      <c r="H3" s="410" t="s">
        <v>345</v>
      </c>
      <c r="I3" s="411"/>
      <c r="J3" s="412"/>
      <c r="K3" s="51" t="s">
        <v>346</v>
      </c>
      <c r="L3" s="49"/>
      <c r="M3" s="50"/>
      <c r="N3" s="51" t="s">
        <v>175</v>
      </c>
      <c r="O3" s="358"/>
      <c r="P3" s="358"/>
      <c r="Q3" s="357" t="s">
        <v>348</v>
      </c>
      <c r="R3" s="51" t="s">
        <v>349</v>
      </c>
      <c r="S3" s="410" t="s">
        <v>356</v>
      </c>
      <c r="T3" s="411"/>
      <c r="U3" s="412"/>
      <c r="V3" s="408" t="s">
        <v>355</v>
      </c>
      <c r="W3" s="409"/>
      <c r="X3" s="408" t="s">
        <v>357</v>
      </c>
      <c r="Y3" s="409"/>
      <c r="Z3" s="51" t="s">
        <v>354</v>
      </c>
      <c r="AA3" s="51" t="s">
        <v>353</v>
      </c>
      <c r="AB3" s="51" t="s">
        <v>352</v>
      </c>
      <c r="AC3" s="51" t="s">
        <v>1034</v>
      </c>
      <c r="AD3" s="51" t="s">
        <v>351</v>
      </c>
      <c r="AE3" s="51" t="s">
        <v>350</v>
      </c>
      <c r="AF3" s="46"/>
      <c r="AG3" s="46"/>
    </row>
    <row r="4" spans="1:37" ht="15.75" thickBot="1">
      <c r="A4" s="52" t="s">
        <v>934</v>
      </c>
      <c r="B4" s="52"/>
      <c r="C4" s="53" t="s">
        <v>935</v>
      </c>
      <c r="D4" s="53" t="s">
        <v>936</v>
      </c>
      <c r="E4" s="54"/>
      <c r="F4" s="74" t="s">
        <v>937</v>
      </c>
      <c r="G4" s="55"/>
      <c r="H4" s="54" t="s">
        <v>183</v>
      </c>
      <c r="I4" s="54" t="s">
        <v>1263</v>
      </c>
      <c r="J4" s="54" t="s">
        <v>1264</v>
      </c>
      <c r="K4" s="54"/>
      <c r="L4" s="54"/>
      <c r="M4" s="54"/>
      <c r="N4" s="54" t="s">
        <v>938</v>
      </c>
      <c r="O4" s="54"/>
      <c r="P4" s="54"/>
      <c r="Q4" s="54" t="s">
        <v>347</v>
      </c>
      <c r="R4" s="54" t="s">
        <v>205</v>
      </c>
      <c r="S4" s="54" t="s">
        <v>347</v>
      </c>
      <c r="T4" s="54" t="s">
        <v>938</v>
      </c>
      <c r="U4" s="54" t="s">
        <v>940</v>
      </c>
      <c r="V4" s="54" t="s">
        <v>938</v>
      </c>
      <c r="W4" s="54" t="s">
        <v>940</v>
      </c>
      <c r="X4" s="54" t="s">
        <v>938</v>
      </c>
      <c r="Y4" s="54" t="s">
        <v>940</v>
      </c>
      <c r="Z4" s="54" t="s">
        <v>940</v>
      </c>
      <c r="AA4" s="54"/>
      <c r="AB4" s="54"/>
      <c r="AC4" s="54"/>
      <c r="AD4" s="54"/>
      <c r="AE4" s="54"/>
      <c r="AF4" s="54" t="s">
        <v>941</v>
      </c>
      <c r="AG4" s="56" t="s">
        <v>942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5" t="s">
        <v>943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49"/>
    </row>
    <row r="7" spans="1:37">
      <c r="A7" s="61"/>
      <c r="AG7" s="59"/>
      <c r="AH7" s="45" t="s">
        <v>1293</v>
      </c>
      <c r="AJ7" s="75">
        <v>0.7</v>
      </c>
    </row>
    <row r="8" spans="1:37" ht="15">
      <c r="A8" s="60" t="s">
        <v>1141</v>
      </c>
      <c r="B8" s="61"/>
      <c r="AG8" s="59"/>
      <c r="AJ8" s="245"/>
    </row>
    <row r="9" spans="1:37">
      <c r="A9" s="62">
        <v>301</v>
      </c>
      <c r="B9" s="61" t="s">
        <v>1144</v>
      </c>
      <c r="C9" s="45" t="s">
        <v>1145</v>
      </c>
      <c r="D9" s="45" t="s">
        <v>1172</v>
      </c>
      <c r="F9" s="77">
        <v>2240.2600000000002</v>
      </c>
      <c r="H9" s="64">
        <f t="shared" ref="H9:Q13" si="1">IF(VLOOKUP($D9,$C$6:$AE$653,H$2,)=0,0,((VLOOKUP($D9,$C$6:$AE$653,H$2,)/VLOOKUP($D9,$C$6:$AE$653,4,))*$F9))</f>
        <v>432.00964298566305</v>
      </c>
      <c r="I9" s="64">
        <f t="shared" si="1"/>
        <v>452.55744478522757</v>
      </c>
      <c r="J9" s="64">
        <f t="shared" si="1"/>
        <v>372.00069358041463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241.01991756327914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ref="R9:AE13" si="2">IF(VLOOKUP($D9,$C$6:$AE$653,R$2,)=0,0,((VLOOKUP($D9,$C$6:$AE$653,R$2,)/VLOOKUP($D9,$C$6:$AE$653,4,))*$F9))</f>
        <v>83.210751696166724</v>
      </c>
      <c r="S9" s="64">
        <f t="shared" si="2"/>
        <v>0</v>
      </c>
      <c r="T9" s="64">
        <f t="shared" si="2"/>
        <v>142.29894446331681</v>
      </c>
      <c r="U9" s="64">
        <f t="shared" si="2"/>
        <v>226.45050854984552</v>
      </c>
      <c r="V9" s="64">
        <f t="shared" si="2"/>
        <v>39.118514594606545</v>
      </c>
      <c r="W9" s="64">
        <f t="shared" si="2"/>
        <v>59.446687975871285</v>
      </c>
      <c r="X9" s="64">
        <f t="shared" si="2"/>
        <v>54.07358946008582</v>
      </c>
      <c r="Y9" s="64">
        <f t="shared" si="2"/>
        <v>37.816492082904702</v>
      </c>
      <c r="Z9" s="64">
        <f t="shared" si="2"/>
        <v>18.780377047705514</v>
      </c>
      <c r="AA9" s="64">
        <f t="shared" si="2"/>
        <v>21.784712803141915</v>
      </c>
      <c r="AB9" s="64">
        <f t="shared" si="2"/>
        <v>59.691722411771039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2240.2599999999998</v>
      </c>
      <c r="AG9" s="59" t="str">
        <f>IF(ABS(AF9-F9)&lt;1,"ok","err")</f>
        <v>ok</v>
      </c>
      <c r="AH9" s="45" t="s">
        <v>1294</v>
      </c>
      <c r="AJ9" s="75">
        <v>0.3</v>
      </c>
    </row>
    <row r="10" spans="1:37">
      <c r="A10" s="62">
        <v>302</v>
      </c>
      <c r="B10" s="61" t="s">
        <v>1143</v>
      </c>
      <c r="C10" s="45" t="s">
        <v>1145</v>
      </c>
      <c r="D10" s="45" t="s">
        <v>1172</v>
      </c>
      <c r="F10" s="80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924</v>
      </c>
      <c r="C11" s="45" t="s">
        <v>1146</v>
      </c>
      <c r="D11" s="45" t="s">
        <v>1172</v>
      </c>
      <c r="F11" s="80"/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922</v>
      </c>
      <c r="C12" s="45" t="s">
        <v>1145</v>
      </c>
      <c r="D12" s="45" t="s">
        <v>1172</v>
      </c>
      <c r="F12" s="248"/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923</v>
      </c>
      <c r="C13" s="45" t="s">
        <v>1145</v>
      </c>
      <c r="D13" s="45" t="s">
        <v>1172</v>
      </c>
      <c r="F13" s="80"/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945</v>
      </c>
      <c r="C15" s="45" t="s">
        <v>946</v>
      </c>
      <c r="F15" s="81">
        <f>SUM(F9:F14)</f>
        <v>2240.2600000000002</v>
      </c>
      <c r="G15" s="65">
        <f>SUM(G9:G11)</f>
        <v>0</v>
      </c>
      <c r="H15" s="65">
        <f>SUM(H9:H13)</f>
        <v>432.00964298566305</v>
      </c>
      <c r="I15" s="65">
        <f>SUM(I9:I13)</f>
        <v>452.55744478522757</v>
      </c>
      <c r="J15" s="65">
        <f t="shared" ref="J15:AE15" si="3">SUM(J9:J13)</f>
        <v>372.00069358041463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241.01991756327914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5">
        <f t="shared" si="3"/>
        <v>83.210751696166724</v>
      </c>
      <c r="S15" s="65">
        <f t="shared" si="3"/>
        <v>0</v>
      </c>
      <c r="T15" s="65">
        <f t="shared" si="3"/>
        <v>142.29894446331681</v>
      </c>
      <c r="U15" s="65">
        <f t="shared" si="3"/>
        <v>226.45050854984552</v>
      </c>
      <c r="V15" s="65">
        <f t="shared" si="3"/>
        <v>39.118514594606545</v>
      </c>
      <c r="W15" s="65">
        <f t="shared" si="3"/>
        <v>59.446687975871285</v>
      </c>
      <c r="X15" s="65">
        <f t="shared" si="3"/>
        <v>54.07358946008582</v>
      </c>
      <c r="Y15" s="65">
        <f t="shared" si="3"/>
        <v>37.816492082904702</v>
      </c>
      <c r="Z15" s="65">
        <f t="shared" si="3"/>
        <v>18.780377047705514</v>
      </c>
      <c r="AA15" s="65">
        <f t="shared" si="3"/>
        <v>21.784712803141915</v>
      </c>
      <c r="AB15" s="65">
        <f t="shared" si="3"/>
        <v>59.691722411771039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2240.2599999999998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194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195</v>
      </c>
      <c r="C19" s="45" t="s">
        <v>196</v>
      </c>
      <c r="D19" s="45" t="s">
        <v>638</v>
      </c>
      <c r="F19" s="81">
        <v>1762102620.8707695</v>
      </c>
      <c r="G19" s="65"/>
      <c r="H19" s="64">
        <f t="shared" ref="H19:AE19" si="4">IF(VLOOKUP($D19,$C$6:$AE$653,H$2,)=0,0,((VLOOKUP($D19,$C$6:$AE$653,H$2,)/VLOOKUP($D19,$C$6:$AE$653,4,))*$F19))</f>
        <v>605813180.5097245</v>
      </c>
      <c r="I19" s="64">
        <f t="shared" si="4"/>
        <v>634627651.11886954</v>
      </c>
      <c r="J19" s="64">
        <f t="shared" si="4"/>
        <v>521661789.24217552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1762102620.8707695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302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303</v>
      </c>
      <c r="C23" s="45" t="s">
        <v>304</v>
      </c>
      <c r="D23" s="45" t="s">
        <v>638</v>
      </c>
      <c r="F23" s="81">
        <v>146463607.74692306</v>
      </c>
      <c r="G23" s="65"/>
      <c r="H23" s="64">
        <f t="shared" ref="H23:AE23" si="5">IF(VLOOKUP($D23,$C$6:$AE$653,H$2,)=0,0,((VLOOKUP($D23,$C$6:$AE$653,H$2,)/VLOOKUP($D23,$C$6:$AE$653,4,))*$F23))</f>
        <v>50354379.470955625</v>
      </c>
      <c r="I23" s="64">
        <f t="shared" si="5"/>
        <v>52749399.642168783</v>
      </c>
      <c r="J23" s="64">
        <f t="shared" si="5"/>
        <v>43359828.633798651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146463607.74692306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197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198</v>
      </c>
      <c r="C27" s="45" t="s">
        <v>199</v>
      </c>
      <c r="D27" s="45" t="s">
        <v>638</v>
      </c>
      <c r="F27" s="81">
        <v>396983699.15923077</v>
      </c>
      <c r="G27" s="65"/>
      <c r="H27" s="64">
        <f t="shared" ref="H27:AE27" si="6">IF(VLOOKUP($D27,$C$6:$AE$653,H$2,)=0,0,((VLOOKUP($D27,$C$6:$AE$653,H$2,)/VLOOKUP($D27,$C$6:$AE$653,4,))*$F27))</f>
        <v>136483513.81449255</v>
      </c>
      <c r="I27" s="64">
        <f t="shared" si="6"/>
        <v>142975119.35224533</v>
      </c>
      <c r="J27" s="64">
        <f t="shared" si="6"/>
        <v>117525065.99249288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396983699.15923083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200</v>
      </c>
      <c r="C29" s="45" t="s">
        <v>201</v>
      </c>
      <c r="F29" s="81">
        <f>SUM(F19:F28)</f>
        <v>2305549927.7769232</v>
      </c>
      <c r="G29" s="65"/>
      <c r="H29" s="65">
        <f t="shared" ref="H29:Q29" si="7">H19+H23+H27</f>
        <v>792651073.79517269</v>
      </c>
      <c r="I29" s="65">
        <f t="shared" si="7"/>
        <v>830352170.11328363</v>
      </c>
      <c r="J29" s="65">
        <f t="shared" si="7"/>
        <v>682546683.86846709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65">
        <f t="shared" si="7"/>
        <v>0</v>
      </c>
      <c r="R29" s="65"/>
      <c r="S29" s="65">
        <f>S19+S23+S27</f>
        <v>0</v>
      </c>
      <c r="T29" s="65">
        <f>T19+T23+T27</f>
        <v>0</v>
      </c>
      <c r="U29" s="65"/>
      <c r="V29" s="65"/>
      <c r="W29" s="65"/>
      <c r="X29" s="65">
        <f>X19+X23+X27</f>
        <v>0</v>
      </c>
      <c r="Y29" s="65">
        <f>Y19+Y23+Y27</f>
        <v>0</v>
      </c>
      <c r="Z29" s="65"/>
      <c r="AA29" s="65"/>
      <c r="AB29" s="65">
        <f>AB19+AB23+AB27</f>
        <v>0</v>
      </c>
      <c r="AC29" s="65">
        <f>AC19+AC23+AC27</f>
        <v>0</v>
      </c>
      <c r="AD29" s="65">
        <f>AD19+AD23+AD27</f>
        <v>0</v>
      </c>
      <c r="AE29" s="65">
        <f>AE19+AE23+AE27</f>
        <v>0</v>
      </c>
      <c r="AF29" s="64">
        <f>SUM(H29:AE29)</f>
        <v>2305549927.7769232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1139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1142</v>
      </c>
      <c r="C33" s="45" t="s">
        <v>1170</v>
      </c>
      <c r="D33" s="45" t="s">
        <v>1171</v>
      </c>
      <c r="F33" s="81">
        <v>442223222.47769213</v>
      </c>
      <c r="G33" s="65"/>
      <c r="H33" s="64">
        <f t="shared" ref="H33:AE33" si="8">IF(VLOOKUP($D33,$C$6:$AE$653,H$2,)=0,0,((VLOOKUP($D33,$C$6:$AE$653,H$2,)/VLOOKUP($D33,$C$6:$AE$653,4,))*$F33))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442223222.47769213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442223222.47769213</v>
      </c>
      <c r="AG33" s="59" t="str">
        <f>IF(ABS(AF33-F33)&lt;1,"ok","err")</f>
        <v>ok</v>
      </c>
    </row>
    <row r="34" spans="1:33">
      <c r="A34" s="61"/>
      <c r="B34" s="61"/>
      <c r="F34" s="81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9"/>
    </row>
    <row r="35" spans="1:33" ht="15">
      <c r="A35" s="61"/>
      <c r="B35" s="66" t="s">
        <v>1142</v>
      </c>
      <c r="C35" s="45" t="s">
        <v>1364</v>
      </c>
      <c r="F35" s="81">
        <f>SUM(F33:F33)</f>
        <v>442223222.47769213</v>
      </c>
      <c r="G35" s="65"/>
      <c r="H35" s="81">
        <f>SUM(H33:H33)</f>
        <v>0</v>
      </c>
      <c r="I35" s="81">
        <f>SUM(I33:I33)</f>
        <v>0</v>
      </c>
      <c r="J35" s="81">
        <f>SUM(J33:J33)</f>
        <v>0</v>
      </c>
      <c r="K35" s="81">
        <f>SUM(K33:K33)</f>
        <v>0</v>
      </c>
      <c r="L35" s="65">
        <f>L24+L28+L33</f>
        <v>0</v>
      </c>
      <c r="M35" s="65">
        <f>M24+M28+M33</f>
        <v>0</v>
      </c>
      <c r="N35" s="81">
        <f>SUM(N33:N33)</f>
        <v>442223222.47769213</v>
      </c>
      <c r="O35" s="81">
        <f>SUM(O33:O33)</f>
        <v>0</v>
      </c>
      <c r="P35" s="81">
        <f>SUM(P33:P33)</f>
        <v>0</v>
      </c>
      <c r="Q35" s="65">
        <f>Q24+Q28+Q33</f>
        <v>0</v>
      </c>
      <c r="R35" s="81">
        <f t="shared" ref="R35:AE35" si="9">SUM(R33:R33)</f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64">
        <f>SUM(H35:AE35)</f>
        <v>442223222.47769213</v>
      </c>
      <c r="AG35" s="59" t="str">
        <f>IF(ABS(AF35-F35)&lt;1,"ok","err")</f>
        <v>ok</v>
      </c>
    </row>
    <row r="36" spans="1:33">
      <c r="A36" s="61"/>
      <c r="B36" s="61"/>
      <c r="W36" s="45"/>
      <c r="AG36" s="59"/>
    </row>
    <row r="37" spans="1:33" ht="15">
      <c r="A37" s="60" t="s">
        <v>947</v>
      </c>
      <c r="B37" s="61"/>
      <c r="W37" s="45"/>
      <c r="AG37" s="59"/>
    </row>
    <row r="38" spans="1:33">
      <c r="A38" s="285"/>
      <c r="B38" s="43" t="s">
        <v>305</v>
      </c>
      <c r="C38" s="45" t="s">
        <v>948</v>
      </c>
      <c r="D38" s="45" t="s">
        <v>949</v>
      </c>
      <c r="F38" s="77">
        <f>4477292+8074953+140122800</f>
        <v>152675045</v>
      </c>
      <c r="H38" s="64">
        <f t="shared" ref="H38:Q46" si="10">IF(VLOOKUP($D38,$C$6:$AE$653,H$2,)=0,0,((VLOOKUP($D38,$C$6:$AE$653,H$2,)/VLOOKUP($D38,$C$6:$AE$653,4,))*$F38))</f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4">
        <f t="shared" si="10"/>
        <v>0</v>
      </c>
      <c r="N38" s="64">
        <f t="shared" si="10"/>
        <v>0</v>
      </c>
      <c r="O38" s="64">
        <f t="shared" si="10"/>
        <v>0</v>
      </c>
      <c r="P38" s="64">
        <f t="shared" si="10"/>
        <v>0</v>
      </c>
      <c r="Q38" s="64">
        <f t="shared" si="10"/>
        <v>0</v>
      </c>
      <c r="R38" s="64">
        <f t="shared" ref="R38:AE46" si="11">IF(VLOOKUP($D38,$C$6:$AE$653,R$2,)=0,0,((VLOOKUP($D38,$C$6:$AE$653,R$2,)/VLOOKUP($D38,$C$6:$AE$653,4,))*$F38))</f>
        <v>152675045</v>
      </c>
      <c r="S38" s="64">
        <f t="shared" si="11"/>
        <v>0</v>
      </c>
      <c r="T38" s="64">
        <f t="shared" si="11"/>
        <v>0</v>
      </c>
      <c r="U38" s="64">
        <f t="shared" si="11"/>
        <v>0</v>
      </c>
      <c r="V38" s="64">
        <f t="shared" si="11"/>
        <v>0</v>
      </c>
      <c r="W38" s="64">
        <f t="shared" si="11"/>
        <v>0</v>
      </c>
      <c r="X38" s="64">
        <f t="shared" si="11"/>
        <v>0</v>
      </c>
      <c r="Y38" s="64">
        <f t="shared" si="11"/>
        <v>0</v>
      </c>
      <c r="Z38" s="64">
        <f t="shared" si="11"/>
        <v>0</v>
      </c>
      <c r="AA38" s="64">
        <f t="shared" si="11"/>
        <v>0</v>
      </c>
      <c r="AB38" s="64">
        <f t="shared" si="11"/>
        <v>0</v>
      </c>
      <c r="AC38" s="64">
        <f t="shared" si="11"/>
        <v>0</v>
      </c>
      <c r="AD38" s="64">
        <f t="shared" si="11"/>
        <v>0</v>
      </c>
      <c r="AE38" s="64">
        <f t="shared" si="11"/>
        <v>0</v>
      </c>
      <c r="AF38" s="64">
        <f t="shared" ref="AF38:AF45" si="12">SUM(H38:AE38)</f>
        <v>152675045</v>
      </c>
      <c r="AG38" s="59" t="str">
        <f t="shared" ref="AG38:AG46" si="13">IF(ABS(AF38-F38)&lt;1,"ok","err")</f>
        <v>ok</v>
      </c>
    </row>
    <row r="39" spans="1:33">
      <c r="A39" s="285"/>
      <c r="B39" s="43" t="s">
        <v>306</v>
      </c>
      <c r="C39" s="45" t="s">
        <v>951</v>
      </c>
      <c r="D39" s="45" t="s">
        <v>952</v>
      </c>
      <c r="F39" s="80">
        <f>213293280+314946460</f>
        <v>528239740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64">
        <f t="shared" si="10"/>
        <v>0</v>
      </c>
      <c r="Q39" s="64">
        <f t="shared" si="10"/>
        <v>0</v>
      </c>
      <c r="R39" s="64">
        <f t="shared" si="11"/>
        <v>0</v>
      </c>
      <c r="S39" s="64">
        <f t="shared" si="11"/>
        <v>0</v>
      </c>
      <c r="T39" s="64">
        <f t="shared" si="11"/>
        <v>157757520.01082921</v>
      </c>
      <c r="U39" s="64">
        <f t="shared" si="11"/>
        <v>228808321.72117078</v>
      </c>
      <c r="V39" s="64">
        <f t="shared" si="11"/>
        <v>57817117.883170806</v>
      </c>
      <c r="W39" s="64">
        <f t="shared" si="11"/>
        <v>83856780.384829193</v>
      </c>
      <c r="X39" s="64">
        <f t="shared" si="11"/>
        <v>0</v>
      </c>
      <c r="Y39" s="64">
        <f t="shared" si="11"/>
        <v>0</v>
      </c>
      <c r="Z39" s="64">
        <f t="shared" si="11"/>
        <v>0</v>
      </c>
      <c r="AA39" s="64">
        <f t="shared" si="11"/>
        <v>0</v>
      </c>
      <c r="AB39" s="64">
        <f t="shared" si="11"/>
        <v>0</v>
      </c>
      <c r="AC39" s="64">
        <f t="shared" si="11"/>
        <v>0</v>
      </c>
      <c r="AD39" s="64">
        <f t="shared" si="11"/>
        <v>0</v>
      </c>
      <c r="AE39" s="64">
        <f t="shared" si="11"/>
        <v>0</v>
      </c>
      <c r="AF39" s="64">
        <f t="shared" si="12"/>
        <v>528239740</v>
      </c>
      <c r="AG39" s="59" t="str">
        <f t="shared" si="13"/>
        <v>ok</v>
      </c>
    </row>
    <row r="40" spans="1:33">
      <c r="A40" s="285"/>
      <c r="B40" s="43" t="s">
        <v>307</v>
      </c>
      <c r="C40" s="45" t="s">
        <v>954</v>
      </c>
      <c r="D40" s="45" t="s">
        <v>953</v>
      </c>
      <c r="F40" s="80">
        <f>103722363+225466590</f>
        <v>329188953</v>
      </c>
      <c r="H40" s="64">
        <f t="shared" si="10"/>
        <v>0</v>
      </c>
      <c r="I40" s="64">
        <f t="shared" si="10"/>
        <v>0</v>
      </c>
      <c r="J40" s="64">
        <f t="shared" si="10"/>
        <v>0</v>
      </c>
      <c r="K40" s="64">
        <f t="shared" si="10"/>
        <v>0</v>
      </c>
      <c r="L40" s="64">
        <f t="shared" si="10"/>
        <v>0</v>
      </c>
      <c r="M40" s="64">
        <f t="shared" si="10"/>
        <v>0</v>
      </c>
      <c r="N40" s="64">
        <f t="shared" si="10"/>
        <v>0</v>
      </c>
      <c r="O40" s="64">
        <f t="shared" si="10"/>
        <v>0</v>
      </c>
      <c r="P40" s="64">
        <f t="shared" si="10"/>
        <v>0</v>
      </c>
      <c r="Q40" s="64">
        <f t="shared" si="10"/>
        <v>0</v>
      </c>
      <c r="R40" s="64">
        <f t="shared" si="11"/>
        <v>0</v>
      </c>
      <c r="S40" s="64">
        <f t="shared" si="11"/>
        <v>0</v>
      </c>
      <c r="T40" s="64">
        <f t="shared" si="11"/>
        <v>103332511.10338591</v>
      </c>
      <c r="U40" s="64">
        <f t="shared" si="11"/>
        <v>186682956.48961413</v>
      </c>
      <c r="V40" s="64">
        <f t="shared" si="11"/>
        <v>13957512.850514099</v>
      </c>
      <c r="W40" s="64">
        <f t="shared" si="11"/>
        <v>25215972.556485899</v>
      </c>
      <c r="X40" s="64">
        <f t="shared" si="11"/>
        <v>0</v>
      </c>
      <c r="Y40" s="64">
        <f t="shared" si="11"/>
        <v>0</v>
      </c>
      <c r="Z40" s="64">
        <f t="shared" si="11"/>
        <v>0</v>
      </c>
      <c r="AA40" s="64">
        <f t="shared" si="11"/>
        <v>0</v>
      </c>
      <c r="AB40" s="64">
        <f t="shared" si="11"/>
        <v>0</v>
      </c>
      <c r="AC40" s="64">
        <f t="shared" si="11"/>
        <v>0</v>
      </c>
      <c r="AD40" s="64">
        <f t="shared" si="11"/>
        <v>0</v>
      </c>
      <c r="AE40" s="64">
        <f t="shared" si="11"/>
        <v>0</v>
      </c>
      <c r="AF40" s="64">
        <f t="shared" si="12"/>
        <v>329188953.00000006</v>
      </c>
      <c r="AG40" s="59" t="str">
        <f t="shared" si="13"/>
        <v>ok</v>
      </c>
    </row>
    <row r="41" spans="1:33">
      <c r="A41" s="285"/>
      <c r="B41" s="43" t="s">
        <v>1371</v>
      </c>
      <c r="C41" s="45" t="s">
        <v>955</v>
      </c>
      <c r="D41" s="45" t="s">
        <v>956</v>
      </c>
      <c r="F41" s="80">
        <v>168599875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1"/>
        <v>0</v>
      </c>
      <c r="S41" s="64">
        <f t="shared" si="11"/>
        <v>0</v>
      </c>
      <c r="T41" s="64">
        <f t="shared" si="11"/>
        <v>0</v>
      </c>
      <c r="U41" s="64">
        <f t="shared" si="11"/>
        <v>0</v>
      </c>
      <c r="V41" s="64">
        <f t="shared" si="11"/>
        <v>0</v>
      </c>
      <c r="W41" s="64">
        <f t="shared" si="11"/>
        <v>0</v>
      </c>
      <c r="X41" s="64">
        <f t="shared" si="11"/>
        <v>99214194.510280386</v>
      </c>
      <c r="Y41" s="64">
        <f t="shared" si="11"/>
        <v>69385680.489719614</v>
      </c>
      <c r="Z41" s="64">
        <f t="shared" si="11"/>
        <v>0</v>
      </c>
      <c r="AA41" s="64">
        <f t="shared" si="11"/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2"/>
        <v>168599875</v>
      </c>
      <c r="AG41" s="59" t="str">
        <f t="shared" si="13"/>
        <v>ok</v>
      </c>
    </row>
    <row r="42" spans="1:33">
      <c r="A42" s="285"/>
      <c r="B42" s="43" t="s">
        <v>308</v>
      </c>
      <c r="C42" s="45" t="s">
        <v>957</v>
      </c>
      <c r="D42" s="45" t="s">
        <v>958</v>
      </c>
      <c r="F42" s="80">
        <v>34458226.280000001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  <c r="M42" s="64">
        <f t="shared" si="10"/>
        <v>0</v>
      </c>
      <c r="N42" s="64">
        <f t="shared" si="10"/>
        <v>0</v>
      </c>
      <c r="O42" s="64">
        <f t="shared" si="10"/>
        <v>0</v>
      </c>
      <c r="P42" s="64">
        <f t="shared" si="10"/>
        <v>0</v>
      </c>
      <c r="Q42" s="64">
        <f t="shared" si="10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34458226.280000001</v>
      </c>
      <c r="AA42" s="64">
        <f t="shared" si="11"/>
        <v>0</v>
      </c>
      <c r="AB42" s="64">
        <f t="shared" si="11"/>
        <v>0</v>
      </c>
      <c r="AC42" s="64">
        <f t="shared" si="11"/>
        <v>0</v>
      </c>
      <c r="AD42" s="64">
        <f t="shared" si="11"/>
        <v>0</v>
      </c>
      <c r="AE42" s="64">
        <f t="shared" si="11"/>
        <v>0</v>
      </c>
      <c r="AF42" s="64">
        <f t="shared" si="12"/>
        <v>34458226.280000001</v>
      </c>
      <c r="AG42" s="59" t="str">
        <f t="shared" si="13"/>
        <v>ok</v>
      </c>
    </row>
    <row r="43" spans="1:33">
      <c r="A43" s="285"/>
      <c r="B43" s="43" t="s">
        <v>309</v>
      </c>
      <c r="C43" s="45" t="s">
        <v>959</v>
      </c>
      <c r="D43" s="45" t="s">
        <v>960</v>
      </c>
      <c r="F43" s="80">
        <v>39970580</v>
      </c>
      <c r="H43" s="64">
        <f t="shared" si="10"/>
        <v>0</v>
      </c>
      <c r="I43" s="64">
        <f t="shared" si="10"/>
        <v>0</v>
      </c>
      <c r="J43" s="64">
        <f t="shared" si="10"/>
        <v>0</v>
      </c>
      <c r="K43" s="64">
        <f t="shared" si="10"/>
        <v>0</v>
      </c>
      <c r="L43" s="64">
        <f t="shared" si="10"/>
        <v>0</v>
      </c>
      <c r="M43" s="64">
        <f t="shared" si="10"/>
        <v>0</v>
      </c>
      <c r="N43" s="64">
        <f t="shared" si="10"/>
        <v>0</v>
      </c>
      <c r="O43" s="64">
        <f t="shared" si="10"/>
        <v>0</v>
      </c>
      <c r="P43" s="64">
        <f t="shared" si="10"/>
        <v>0</v>
      </c>
      <c r="Q43" s="64">
        <f t="shared" si="10"/>
        <v>0</v>
      </c>
      <c r="R43" s="64">
        <f t="shared" si="11"/>
        <v>0</v>
      </c>
      <c r="S43" s="64">
        <f t="shared" si="11"/>
        <v>0</v>
      </c>
      <c r="T43" s="64">
        <f t="shared" si="11"/>
        <v>0</v>
      </c>
      <c r="U43" s="64">
        <f t="shared" si="11"/>
        <v>0</v>
      </c>
      <c r="V43" s="64">
        <f t="shared" si="11"/>
        <v>0</v>
      </c>
      <c r="W43" s="64">
        <f t="shared" si="11"/>
        <v>0</v>
      </c>
      <c r="X43" s="64">
        <f t="shared" si="11"/>
        <v>0</v>
      </c>
      <c r="Y43" s="64">
        <f t="shared" si="11"/>
        <v>0</v>
      </c>
      <c r="Z43" s="64">
        <f t="shared" si="11"/>
        <v>0</v>
      </c>
      <c r="AA43" s="64">
        <f t="shared" si="11"/>
        <v>39970580</v>
      </c>
      <c r="AB43" s="64">
        <f t="shared" si="11"/>
        <v>0</v>
      </c>
      <c r="AC43" s="64">
        <f t="shared" si="11"/>
        <v>0</v>
      </c>
      <c r="AD43" s="64">
        <f t="shared" si="11"/>
        <v>0</v>
      </c>
      <c r="AE43" s="64">
        <f t="shared" si="11"/>
        <v>0</v>
      </c>
      <c r="AF43" s="64">
        <f t="shared" si="12"/>
        <v>39970580</v>
      </c>
      <c r="AG43" s="59" t="str">
        <f t="shared" si="13"/>
        <v>ok</v>
      </c>
    </row>
    <row r="44" spans="1:33">
      <c r="A44" s="285"/>
      <c r="B44" s="43" t="s">
        <v>310</v>
      </c>
      <c r="C44" s="45" t="s">
        <v>961</v>
      </c>
      <c r="D44" s="45" t="s">
        <v>963</v>
      </c>
      <c r="F44" s="80"/>
      <c r="H44" s="64">
        <f t="shared" si="10"/>
        <v>0</v>
      </c>
      <c r="I44" s="64">
        <f t="shared" si="10"/>
        <v>0</v>
      </c>
      <c r="J44" s="64">
        <f t="shared" si="10"/>
        <v>0</v>
      </c>
      <c r="K44" s="64">
        <f t="shared" si="10"/>
        <v>0</v>
      </c>
      <c r="L44" s="64">
        <f t="shared" si="10"/>
        <v>0</v>
      </c>
      <c r="M44" s="64">
        <f t="shared" si="10"/>
        <v>0</v>
      </c>
      <c r="N44" s="64">
        <f t="shared" si="10"/>
        <v>0</v>
      </c>
      <c r="O44" s="64">
        <f t="shared" si="10"/>
        <v>0</v>
      </c>
      <c r="P44" s="64">
        <f t="shared" si="10"/>
        <v>0</v>
      </c>
      <c r="Q44" s="64">
        <f t="shared" si="10"/>
        <v>0</v>
      </c>
      <c r="R44" s="64">
        <f t="shared" si="11"/>
        <v>0</v>
      </c>
      <c r="S44" s="64">
        <f t="shared" si="11"/>
        <v>0</v>
      </c>
      <c r="T44" s="64">
        <f t="shared" si="11"/>
        <v>0</v>
      </c>
      <c r="U44" s="64">
        <f t="shared" si="11"/>
        <v>0</v>
      </c>
      <c r="V44" s="64">
        <f t="shared" si="11"/>
        <v>0</v>
      </c>
      <c r="W44" s="64">
        <f t="shared" si="11"/>
        <v>0</v>
      </c>
      <c r="X44" s="64">
        <f t="shared" si="11"/>
        <v>0</v>
      </c>
      <c r="Y44" s="64">
        <f t="shared" si="11"/>
        <v>0</v>
      </c>
      <c r="Z44" s="64">
        <f t="shared" si="11"/>
        <v>0</v>
      </c>
      <c r="AA44" s="64">
        <f t="shared" si="11"/>
        <v>0</v>
      </c>
      <c r="AB44" s="64">
        <f t="shared" si="11"/>
        <v>0</v>
      </c>
      <c r="AC44" s="64">
        <f t="shared" si="11"/>
        <v>0</v>
      </c>
      <c r="AD44" s="64">
        <f t="shared" si="11"/>
        <v>0</v>
      </c>
      <c r="AE44" s="64">
        <f t="shared" si="11"/>
        <v>0</v>
      </c>
      <c r="AF44" s="64">
        <f t="shared" si="12"/>
        <v>0</v>
      </c>
      <c r="AG44" s="59" t="str">
        <f t="shared" si="13"/>
        <v>ok</v>
      </c>
    </row>
    <row r="45" spans="1:33">
      <c r="A45" s="285"/>
      <c r="B45" s="43" t="s">
        <v>311</v>
      </c>
      <c r="C45" s="45" t="s">
        <v>962</v>
      </c>
      <c r="D45" s="45" t="s">
        <v>963</v>
      </c>
      <c r="F45" s="80">
        <v>109522342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4">
        <f t="shared" si="10"/>
        <v>0</v>
      </c>
      <c r="P45" s="64">
        <f t="shared" si="10"/>
        <v>0</v>
      </c>
      <c r="Q45" s="64">
        <f t="shared" si="10"/>
        <v>0</v>
      </c>
      <c r="R45" s="64">
        <f t="shared" si="11"/>
        <v>0</v>
      </c>
      <c r="S45" s="64">
        <f t="shared" si="11"/>
        <v>0</v>
      </c>
      <c r="T45" s="64">
        <f t="shared" si="11"/>
        <v>0</v>
      </c>
      <c r="U45" s="64">
        <f t="shared" si="11"/>
        <v>0</v>
      </c>
      <c r="V45" s="64">
        <f t="shared" si="11"/>
        <v>0</v>
      </c>
      <c r="W45" s="64">
        <f t="shared" si="11"/>
        <v>0</v>
      </c>
      <c r="X45" s="64">
        <f t="shared" si="11"/>
        <v>0</v>
      </c>
      <c r="Y45" s="64">
        <f t="shared" si="11"/>
        <v>0</v>
      </c>
      <c r="Z45" s="64">
        <f t="shared" si="11"/>
        <v>0</v>
      </c>
      <c r="AA45" s="64">
        <f t="shared" si="11"/>
        <v>0</v>
      </c>
      <c r="AB45" s="64">
        <f t="shared" si="11"/>
        <v>109522342</v>
      </c>
      <c r="AC45" s="64">
        <f t="shared" si="11"/>
        <v>0</v>
      </c>
      <c r="AD45" s="64">
        <f t="shared" si="11"/>
        <v>0</v>
      </c>
      <c r="AE45" s="64">
        <f t="shared" si="11"/>
        <v>0</v>
      </c>
      <c r="AF45" s="64">
        <f t="shared" si="12"/>
        <v>109522342</v>
      </c>
      <c r="AG45" s="59" t="str">
        <f t="shared" si="13"/>
        <v>ok</v>
      </c>
    </row>
    <row r="46" spans="1:33">
      <c r="A46" s="285"/>
      <c r="B46" s="43" t="s">
        <v>921</v>
      </c>
      <c r="C46" s="61" t="s">
        <v>1309</v>
      </c>
      <c r="D46" s="61" t="s">
        <v>952</v>
      </c>
      <c r="F46" s="80"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64">
        <f t="shared" si="10"/>
        <v>0</v>
      </c>
      <c r="L46" s="64">
        <f t="shared" si="10"/>
        <v>0</v>
      </c>
      <c r="M46" s="64">
        <f t="shared" si="10"/>
        <v>0</v>
      </c>
      <c r="N46" s="64">
        <f t="shared" si="10"/>
        <v>0</v>
      </c>
      <c r="O46" s="64">
        <f t="shared" si="10"/>
        <v>0</v>
      </c>
      <c r="P46" s="64">
        <f t="shared" si="10"/>
        <v>0</v>
      </c>
      <c r="Q46" s="64">
        <f t="shared" si="10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0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0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>SUM(H46:AE46)</f>
        <v>0</v>
      </c>
      <c r="AG46" s="59" t="str">
        <f t="shared" si="13"/>
        <v>ok</v>
      </c>
    </row>
    <row r="47" spans="1:33">
      <c r="A47" s="61"/>
      <c r="B47" s="61"/>
      <c r="W47" s="45"/>
      <c r="AF47" s="64"/>
      <c r="AG47" s="59"/>
    </row>
    <row r="48" spans="1:33" ht="15">
      <c r="A48" s="61"/>
      <c r="B48" s="66" t="s">
        <v>964</v>
      </c>
      <c r="C48" s="45" t="s">
        <v>944</v>
      </c>
      <c r="F48" s="77">
        <f>SUM(F38:F47)</f>
        <v>1362654761.28</v>
      </c>
      <c r="G48" s="67"/>
      <c r="H48" s="63">
        <f t="shared" ref="H48:M48" si="14">SUM(H38:H47)</f>
        <v>0</v>
      </c>
      <c r="I48" s="63">
        <f t="shared" si="14"/>
        <v>0</v>
      </c>
      <c r="J48" s="63">
        <f t="shared" si="14"/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SUM(N38:N47)</f>
        <v>0</v>
      </c>
      <c r="O48" s="63">
        <f>SUM(O38:O47)</f>
        <v>0</v>
      </c>
      <c r="P48" s="63">
        <f>SUM(P38:P47)</f>
        <v>0</v>
      </c>
      <c r="Q48" s="63">
        <f t="shared" ref="Q48:AE48" si="15">SUM(Q38:Q47)</f>
        <v>0</v>
      </c>
      <c r="R48" s="63">
        <f t="shared" si="15"/>
        <v>152675045</v>
      </c>
      <c r="S48" s="63">
        <f t="shared" si="15"/>
        <v>0</v>
      </c>
      <c r="T48" s="63">
        <f t="shared" si="15"/>
        <v>261090031.11421514</v>
      </c>
      <c r="U48" s="63">
        <f>SUM(U38:U47)</f>
        <v>415491278.21078491</v>
      </c>
      <c r="V48" s="63">
        <f>SUM(V38:V47)</f>
        <v>71774630.733684897</v>
      </c>
      <c r="W48" s="63">
        <f>SUM(W38:W47)</f>
        <v>109072752.94131508</v>
      </c>
      <c r="X48" s="63">
        <f t="shared" si="15"/>
        <v>99214194.510280386</v>
      </c>
      <c r="Y48" s="63">
        <f t="shared" si="15"/>
        <v>69385680.489719614</v>
      </c>
      <c r="Z48" s="63">
        <f>SUM(Z38:Z47)</f>
        <v>34458226.280000001</v>
      </c>
      <c r="AA48" s="63">
        <f>SUM(AA38:AA47)</f>
        <v>39970580</v>
      </c>
      <c r="AB48" s="63">
        <f t="shared" si="15"/>
        <v>109522342</v>
      </c>
      <c r="AC48" s="63">
        <f t="shared" si="15"/>
        <v>0</v>
      </c>
      <c r="AD48" s="63">
        <f t="shared" si="15"/>
        <v>0</v>
      </c>
      <c r="AE48" s="63">
        <f t="shared" si="15"/>
        <v>0</v>
      </c>
      <c r="AF48" s="64">
        <f>SUM(H48:AE48)</f>
        <v>1362654761.28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 ht="15">
      <c r="A50" s="61"/>
      <c r="B50" s="66" t="s">
        <v>893</v>
      </c>
      <c r="C50" s="45" t="s">
        <v>1172</v>
      </c>
      <c r="F50" s="81">
        <f>F29+F35+F48</f>
        <v>4110427911.5346155</v>
      </c>
      <c r="G50" s="65"/>
      <c r="H50" s="81">
        <f>H29+H35+H48</f>
        <v>792651073.79517269</v>
      </c>
      <c r="I50" s="81">
        <f>I29+I35+I48</f>
        <v>830352170.11328363</v>
      </c>
      <c r="J50" s="81">
        <f>J29+J35+J48</f>
        <v>682546683.86846709</v>
      </c>
      <c r="K50" s="81">
        <f>K29+K35+K48</f>
        <v>0</v>
      </c>
      <c r="L50" s="65">
        <f>L29+L33+L48</f>
        <v>0</v>
      </c>
      <c r="M50" s="65">
        <f>M29+M33+M48</f>
        <v>0</v>
      </c>
      <c r="N50" s="81">
        <f>N29+N35+N48</f>
        <v>442223222.47769213</v>
      </c>
      <c r="O50" s="81">
        <f>O29+O35+O48</f>
        <v>0</v>
      </c>
      <c r="P50" s="81">
        <f>P29+P35+P48</f>
        <v>0</v>
      </c>
      <c r="Q50" s="65">
        <f>Q29+Q33+Q48</f>
        <v>0</v>
      </c>
      <c r="R50" s="81">
        <f t="shared" ref="R50:AE50" si="16">R29+R35+R48</f>
        <v>152675045</v>
      </c>
      <c r="S50" s="81">
        <f t="shared" si="16"/>
        <v>0</v>
      </c>
      <c r="T50" s="81">
        <f t="shared" si="16"/>
        <v>261090031.11421514</v>
      </c>
      <c r="U50" s="81">
        <f t="shared" si="16"/>
        <v>415491278.21078491</v>
      </c>
      <c r="V50" s="81">
        <f t="shared" si="16"/>
        <v>71774630.733684897</v>
      </c>
      <c r="W50" s="81">
        <f t="shared" si="16"/>
        <v>109072752.94131508</v>
      </c>
      <c r="X50" s="81">
        <f t="shared" si="16"/>
        <v>99214194.510280386</v>
      </c>
      <c r="Y50" s="81">
        <f t="shared" si="16"/>
        <v>69385680.489719614</v>
      </c>
      <c r="Z50" s="81">
        <f t="shared" si="16"/>
        <v>34458226.280000001</v>
      </c>
      <c r="AA50" s="81">
        <f t="shared" si="16"/>
        <v>39970580</v>
      </c>
      <c r="AB50" s="81">
        <f t="shared" si="16"/>
        <v>109522342</v>
      </c>
      <c r="AC50" s="81">
        <f t="shared" si="16"/>
        <v>0</v>
      </c>
      <c r="AD50" s="81">
        <f t="shared" si="16"/>
        <v>0</v>
      </c>
      <c r="AE50" s="81">
        <f t="shared" si="16"/>
        <v>0</v>
      </c>
      <c r="AF50" s="64">
        <f>SUM(H50:AE50)</f>
        <v>4110427911.534616</v>
      </c>
      <c r="AG50" s="59" t="str">
        <f>IF(ABS(AF50-F50)&lt;1,"ok","err")</f>
        <v>ok</v>
      </c>
    </row>
    <row r="51" spans="1:33">
      <c r="A51" s="61"/>
      <c r="B51" s="61"/>
      <c r="W51" s="45"/>
      <c r="AG51" s="59"/>
    </row>
    <row r="52" spans="1:33">
      <c r="A52" s="61"/>
      <c r="B52" s="61"/>
      <c r="F52" s="81"/>
      <c r="W52" s="45"/>
      <c r="AG52" s="59"/>
    </row>
    <row r="53" spans="1:33">
      <c r="A53" s="61"/>
      <c r="B53" s="61"/>
      <c r="F53" s="81"/>
      <c r="W53" s="45"/>
      <c r="AG53" s="59"/>
    </row>
    <row r="54" spans="1:33">
      <c r="A54" s="61"/>
      <c r="B54" s="61"/>
      <c r="W54" s="45"/>
      <c r="AG54" s="59"/>
    </row>
    <row r="55" spans="1:33">
      <c r="A55" s="61"/>
      <c r="B55" s="61"/>
      <c r="W55" s="45"/>
      <c r="AG55" s="59"/>
    </row>
    <row r="56" spans="1:33" ht="15">
      <c r="A56" s="60" t="s">
        <v>1149</v>
      </c>
      <c r="B56" s="61"/>
      <c r="W56" s="45"/>
      <c r="AG56" s="59"/>
    </row>
    <row r="57" spans="1:33">
      <c r="A57" s="61"/>
      <c r="B57" s="61"/>
      <c r="F57" s="81"/>
      <c r="W57" s="45"/>
      <c r="AG57" s="59"/>
    </row>
    <row r="58" spans="1:33" ht="15">
      <c r="A58" s="60" t="s">
        <v>965</v>
      </c>
      <c r="B58" s="61"/>
      <c r="F58" s="81"/>
      <c r="W58" s="45"/>
      <c r="AG58" s="59"/>
    </row>
    <row r="59" spans="1:33">
      <c r="A59" s="61"/>
      <c r="B59" s="61"/>
      <c r="W59" s="45"/>
      <c r="AF59" s="64"/>
      <c r="AG59" s="59"/>
    </row>
    <row r="60" spans="1:33">
      <c r="A60" s="61"/>
      <c r="B60" s="61" t="s">
        <v>966</v>
      </c>
      <c r="C60" s="45" t="s">
        <v>967</v>
      </c>
      <c r="D60" s="45" t="s">
        <v>1172</v>
      </c>
      <c r="F60" s="77">
        <f>15832612</f>
        <v>15832612</v>
      </c>
      <c r="G60" s="63"/>
      <c r="H60" s="64">
        <f t="shared" ref="H60:AE60" si="17">IF(VLOOKUP($D60,$C$6:$AE$653,H$2,)=0,0,((VLOOKUP($D60,$C$6:$AE$653,H$2,)/VLOOKUP($D60,$C$6:$AE$653,4,))*$F60))</f>
        <v>3053146.0891372086</v>
      </c>
      <c r="I60" s="64">
        <f t="shared" si="17"/>
        <v>3198363.7751849922</v>
      </c>
      <c r="J60" s="64">
        <f t="shared" si="17"/>
        <v>2629044.2382534151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1703362.4842881558</v>
      </c>
      <c r="O60" s="64">
        <f t="shared" si="17"/>
        <v>0</v>
      </c>
      <c r="P60" s="64">
        <f t="shared" si="17"/>
        <v>0</v>
      </c>
      <c r="Q60" s="64">
        <f t="shared" si="17"/>
        <v>0</v>
      </c>
      <c r="R60" s="64">
        <f t="shared" si="17"/>
        <v>588076.18126188451</v>
      </c>
      <c r="S60" s="64">
        <f t="shared" si="17"/>
        <v>0</v>
      </c>
      <c r="T60" s="64">
        <f t="shared" si="17"/>
        <v>1005670.7595088263</v>
      </c>
      <c r="U60" s="64">
        <f t="shared" si="17"/>
        <v>1600395.9536269838</v>
      </c>
      <c r="V60" s="64">
        <f t="shared" si="17"/>
        <v>276462.67111529136</v>
      </c>
      <c r="W60" s="64">
        <f t="shared" si="17"/>
        <v>420128.17503639549</v>
      </c>
      <c r="X60" s="64">
        <f t="shared" si="17"/>
        <v>382154.82192639617</v>
      </c>
      <c r="Y60" s="64">
        <f t="shared" si="17"/>
        <v>267260.87434034527</v>
      </c>
      <c r="Z60" s="64">
        <f t="shared" si="17"/>
        <v>132726.74734630217</v>
      </c>
      <c r="AA60" s="64">
        <f t="shared" si="17"/>
        <v>153959.31960735729</v>
      </c>
      <c r="AB60" s="64">
        <f t="shared" si="17"/>
        <v>421859.90936644626</v>
      </c>
      <c r="AC60" s="64">
        <f t="shared" si="17"/>
        <v>0</v>
      </c>
      <c r="AD60" s="64">
        <f t="shared" si="17"/>
        <v>0</v>
      </c>
      <c r="AE60" s="64">
        <f t="shared" si="17"/>
        <v>0</v>
      </c>
      <c r="AF60" s="64">
        <f>SUM(H60:AE60)</f>
        <v>15832612</v>
      </c>
      <c r="AG60" s="59" t="str">
        <f>IF(ABS(AF60-F60)&lt;1,"ok","err")</f>
        <v>ok</v>
      </c>
    </row>
    <row r="61" spans="1:33">
      <c r="A61" s="61"/>
      <c r="B61" s="61"/>
      <c r="F61" s="81"/>
      <c r="O61" s="64"/>
      <c r="P61" s="64"/>
      <c r="W61" s="45"/>
      <c r="AF61" s="64"/>
      <c r="AG61" s="59"/>
    </row>
    <row r="62" spans="1:33">
      <c r="A62" s="61"/>
      <c r="B62" s="61" t="s">
        <v>202</v>
      </c>
      <c r="C62" s="45" t="s">
        <v>203</v>
      </c>
      <c r="D62" s="45" t="s">
        <v>1172</v>
      </c>
      <c r="F62" s="77">
        <f>202237020</f>
        <v>202237020</v>
      </c>
      <c r="H62" s="64">
        <f t="shared" ref="H62:Q67" si="18">IF(VLOOKUP($D62,$C$6:$AE$653,H$2,)=0,0,((VLOOKUP($D62,$C$6:$AE$653,H$2,)/VLOOKUP($D62,$C$6:$AE$653,4,))*$F62))</f>
        <v>38999197.775563724</v>
      </c>
      <c r="I62" s="64">
        <f t="shared" si="18"/>
        <v>40854128.097711407</v>
      </c>
      <c r="J62" s="64">
        <f t="shared" si="18"/>
        <v>33581955.535355799</v>
      </c>
      <c r="K62" s="64">
        <f t="shared" si="18"/>
        <v>0</v>
      </c>
      <c r="L62" s="64">
        <f t="shared" si="18"/>
        <v>0</v>
      </c>
      <c r="M62" s="64">
        <f t="shared" si="18"/>
        <v>0</v>
      </c>
      <c r="N62" s="64">
        <f t="shared" si="18"/>
        <v>21757809.311706334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ref="R62:AE67" si="19">IF(VLOOKUP($D62,$C$6:$AE$653,R$2,)=0,0,((VLOOKUP($D62,$C$6:$AE$653,R$2,)/VLOOKUP($D62,$C$6:$AE$653,4,))*$F62))</f>
        <v>7511759.5524594029</v>
      </c>
      <c r="S62" s="64">
        <f t="shared" si="19"/>
        <v>0</v>
      </c>
      <c r="T62" s="64">
        <f t="shared" si="19"/>
        <v>12845881.494740205</v>
      </c>
      <c r="U62" s="64">
        <f t="shared" si="19"/>
        <v>20442571.856215473</v>
      </c>
      <c r="V62" s="64">
        <f t="shared" si="19"/>
        <v>3531381.097926015</v>
      </c>
      <c r="W62" s="64">
        <f t="shared" si="19"/>
        <v>5366484.7049494432</v>
      </c>
      <c r="X62" s="64">
        <f t="shared" si="19"/>
        <v>4881434.1161789987</v>
      </c>
      <c r="Y62" s="64">
        <f t="shared" si="19"/>
        <v>3413842.4404757656</v>
      </c>
      <c r="Z62" s="64">
        <f t="shared" si="19"/>
        <v>1695377.9867534842</v>
      </c>
      <c r="AA62" s="64">
        <f t="shared" si="19"/>
        <v>1966591.1094530397</v>
      </c>
      <c r="AB62" s="64">
        <f t="shared" si="19"/>
        <v>5388604.920510917</v>
      </c>
      <c r="AC62" s="64">
        <f t="shared" si="19"/>
        <v>0</v>
      </c>
      <c r="AD62" s="64">
        <f t="shared" si="19"/>
        <v>0</v>
      </c>
      <c r="AE62" s="64">
        <f t="shared" si="19"/>
        <v>0</v>
      </c>
      <c r="AF62" s="64">
        <f t="shared" ref="AF62:AF67" si="20">SUM(H62:AE62)</f>
        <v>202237020.00000003</v>
      </c>
      <c r="AG62" s="59" t="str">
        <f t="shared" ref="AG62:AG67" si="21">IF(ABS(AF62-F62)&lt;1,"ok","err")</f>
        <v>ok</v>
      </c>
    </row>
    <row r="63" spans="1:33">
      <c r="A63" s="62">
        <v>106</v>
      </c>
      <c r="B63" s="61" t="s">
        <v>1147</v>
      </c>
      <c r="C63" s="45" t="s">
        <v>1148</v>
      </c>
      <c r="D63" s="45" t="s">
        <v>1172</v>
      </c>
      <c r="F63" s="80">
        <v>0</v>
      </c>
      <c r="H63" s="64">
        <f t="shared" si="18"/>
        <v>0</v>
      </c>
      <c r="I63" s="64">
        <f t="shared" si="18"/>
        <v>0</v>
      </c>
      <c r="J63" s="64">
        <f t="shared" si="18"/>
        <v>0</v>
      </c>
      <c r="K63" s="64">
        <f t="shared" si="18"/>
        <v>0</v>
      </c>
      <c r="L63" s="64">
        <f t="shared" si="18"/>
        <v>0</v>
      </c>
      <c r="M63" s="64">
        <f t="shared" si="18"/>
        <v>0</v>
      </c>
      <c r="N63" s="64">
        <f t="shared" si="18"/>
        <v>0</v>
      </c>
      <c r="O63" s="64">
        <f t="shared" si="18"/>
        <v>0</v>
      </c>
      <c r="P63" s="64">
        <f t="shared" si="18"/>
        <v>0</v>
      </c>
      <c r="Q63" s="64">
        <f t="shared" si="18"/>
        <v>0</v>
      </c>
      <c r="R63" s="64">
        <f t="shared" si="19"/>
        <v>0</v>
      </c>
      <c r="S63" s="64">
        <f t="shared" si="19"/>
        <v>0</v>
      </c>
      <c r="T63" s="64">
        <f t="shared" si="19"/>
        <v>0</v>
      </c>
      <c r="U63" s="64">
        <f t="shared" si="19"/>
        <v>0</v>
      </c>
      <c r="V63" s="64">
        <f t="shared" si="19"/>
        <v>0</v>
      </c>
      <c r="W63" s="64">
        <f t="shared" si="19"/>
        <v>0</v>
      </c>
      <c r="X63" s="64">
        <f t="shared" si="19"/>
        <v>0</v>
      </c>
      <c r="Y63" s="64">
        <f t="shared" si="19"/>
        <v>0</v>
      </c>
      <c r="Z63" s="64">
        <f t="shared" si="19"/>
        <v>0</v>
      </c>
      <c r="AA63" s="64">
        <f t="shared" si="19"/>
        <v>0</v>
      </c>
      <c r="AB63" s="64">
        <f t="shared" si="19"/>
        <v>0</v>
      </c>
      <c r="AC63" s="64">
        <f t="shared" si="19"/>
        <v>0</v>
      </c>
      <c r="AD63" s="64">
        <f t="shared" si="19"/>
        <v>0</v>
      </c>
      <c r="AE63" s="64">
        <f t="shared" si="19"/>
        <v>0</v>
      </c>
      <c r="AF63" s="64">
        <f t="shared" si="20"/>
        <v>0</v>
      </c>
      <c r="AG63" s="59" t="str">
        <f t="shared" si="21"/>
        <v>ok</v>
      </c>
    </row>
    <row r="64" spans="1:33">
      <c r="A64" s="62">
        <v>105</v>
      </c>
      <c r="B64" s="61" t="s">
        <v>1296</v>
      </c>
      <c r="C64" s="45" t="s">
        <v>140</v>
      </c>
      <c r="D64" s="45" t="s">
        <v>944</v>
      </c>
      <c r="F64" s="80">
        <f>3126750-211410</f>
        <v>2915340</v>
      </c>
      <c r="H64" s="64">
        <f t="shared" si="18"/>
        <v>0</v>
      </c>
      <c r="I64" s="64">
        <f t="shared" si="18"/>
        <v>0</v>
      </c>
      <c r="J64" s="64">
        <f t="shared" si="18"/>
        <v>0</v>
      </c>
      <c r="K64" s="64">
        <f t="shared" si="18"/>
        <v>0</v>
      </c>
      <c r="L64" s="64">
        <f t="shared" si="18"/>
        <v>0</v>
      </c>
      <c r="M64" s="64">
        <f t="shared" si="18"/>
        <v>0</v>
      </c>
      <c r="N64" s="64">
        <f t="shared" si="18"/>
        <v>0</v>
      </c>
      <c r="O64" s="64">
        <f t="shared" si="18"/>
        <v>0</v>
      </c>
      <c r="P64" s="64">
        <f t="shared" si="18"/>
        <v>0</v>
      </c>
      <c r="Q64" s="64">
        <f t="shared" si="18"/>
        <v>0</v>
      </c>
      <c r="R64" s="64">
        <f t="shared" si="19"/>
        <v>326641.55172525049</v>
      </c>
      <c r="S64" s="64">
        <f t="shared" si="19"/>
        <v>0</v>
      </c>
      <c r="T64" s="64">
        <f t="shared" si="19"/>
        <v>558590.6518196289</v>
      </c>
      <c r="U64" s="64">
        <f t="shared" si="19"/>
        <v>888925.33709800802</v>
      </c>
      <c r="V64" s="64">
        <f t="shared" si="19"/>
        <v>153558.6693775508</v>
      </c>
      <c r="W64" s="64">
        <f t="shared" si="19"/>
        <v>233356.3633251003</v>
      </c>
      <c r="X64" s="64">
        <f t="shared" si="19"/>
        <v>212264.41065079634</v>
      </c>
      <c r="Y64" s="64">
        <f t="shared" si="19"/>
        <v>148447.61527775842</v>
      </c>
      <c r="Z64" s="64">
        <f t="shared" si="19"/>
        <v>73721.861367710793</v>
      </c>
      <c r="AA64" s="64">
        <f t="shared" si="19"/>
        <v>85515.299992597109</v>
      </c>
      <c r="AB64" s="64">
        <f t="shared" si="19"/>
        <v>234318.23936559886</v>
      </c>
      <c r="AC64" s="64">
        <f t="shared" si="19"/>
        <v>0</v>
      </c>
      <c r="AD64" s="64">
        <f t="shared" si="19"/>
        <v>0</v>
      </c>
      <c r="AE64" s="64">
        <f t="shared" si="19"/>
        <v>0</v>
      </c>
      <c r="AF64" s="64">
        <f t="shared" si="20"/>
        <v>2915339.9999999995</v>
      </c>
      <c r="AG64" s="59" t="str">
        <f t="shared" si="21"/>
        <v>ok</v>
      </c>
    </row>
    <row r="65" spans="1:33">
      <c r="A65" s="62">
        <v>105</v>
      </c>
      <c r="B65" s="61" t="s">
        <v>1297</v>
      </c>
      <c r="C65" s="45" t="s">
        <v>140</v>
      </c>
      <c r="D65" s="45" t="s">
        <v>638</v>
      </c>
      <c r="F65" s="80">
        <f>211410</f>
        <v>211410</v>
      </c>
      <c r="H65" s="64">
        <f t="shared" si="18"/>
        <v>72683.033879304188</v>
      </c>
      <c r="I65" s="64">
        <f t="shared" si="18"/>
        <v>76140.078411971117</v>
      </c>
      <c r="J65" s="64">
        <f t="shared" si="18"/>
        <v>62586.887708724687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9"/>
        <v>0</v>
      </c>
      <c r="S65" s="64">
        <f t="shared" si="19"/>
        <v>0</v>
      </c>
      <c r="T65" s="64">
        <f t="shared" si="19"/>
        <v>0</v>
      </c>
      <c r="U65" s="64">
        <f t="shared" si="19"/>
        <v>0</v>
      </c>
      <c r="V65" s="64">
        <f t="shared" si="19"/>
        <v>0</v>
      </c>
      <c r="W65" s="64">
        <f t="shared" si="19"/>
        <v>0</v>
      </c>
      <c r="X65" s="64">
        <f t="shared" si="19"/>
        <v>0</v>
      </c>
      <c r="Y65" s="64">
        <f t="shared" si="19"/>
        <v>0</v>
      </c>
      <c r="Z65" s="64">
        <f t="shared" si="19"/>
        <v>0</v>
      </c>
      <c r="AA65" s="64">
        <f t="shared" si="19"/>
        <v>0</v>
      </c>
      <c r="AB65" s="64">
        <f t="shared" si="19"/>
        <v>0</v>
      </c>
      <c r="AC65" s="64">
        <f t="shared" si="19"/>
        <v>0</v>
      </c>
      <c r="AD65" s="64">
        <f t="shared" si="19"/>
        <v>0</v>
      </c>
      <c r="AE65" s="64">
        <f t="shared" si="19"/>
        <v>0</v>
      </c>
      <c r="AF65" s="64">
        <f t="shared" si="20"/>
        <v>211409.99999999997</v>
      </c>
      <c r="AG65" s="59" t="str">
        <f t="shared" si="21"/>
        <v>ok</v>
      </c>
    </row>
    <row r="66" spans="1:33">
      <c r="A66" s="61"/>
      <c r="B66" s="61" t="s">
        <v>755</v>
      </c>
      <c r="D66" s="45" t="s">
        <v>638</v>
      </c>
      <c r="F66" s="80">
        <v>0</v>
      </c>
      <c r="H66" s="45">
        <f t="shared" si="18"/>
        <v>0</v>
      </c>
      <c r="I66" s="45">
        <f t="shared" si="18"/>
        <v>0</v>
      </c>
      <c r="J66" s="45">
        <f t="shared" si="18"/>
        <v>0</v>
      </c>
      <c r="K66" s="45">
        <f t="shared" si="18"/>
        <v>0</v>
      </c>
      <c r="L66" s="45">
        <f t="shared" si="18"/>
        <v>0</v>
      </c>
      <c r="M66" s="45">
        <f t="shared" si="18"/>
        <v>0</v>
      </c>
      <c r="N66" s="45">
        <f t="shared" si="18"/>
        <v>0</v>
      </c>
      <c r="O66" s="64">
        <f t="shared" si="18"/>
        <v>0</v>
      </c>
      <c r="P66" s="64">
        <f t="shared" si="18"/>
        <v>0</v>
      </c>
      <c r="Q66" s="45">
        <f t="shared" si="18"/>
        <v>0</v>
      </c>
      <c r="R66" s="45">
        <f t="shared" si="19"/>
        <v>0</v>
      </c>
      <c r="S66" s="45">
        <f t="shared" si="19"/>
        <v>0</v>
      </c>
      <c r="T66" s="45">
        <f t="shared" si="19"/>
        <v>0</v>
      </c>
      <c r="U66" s="45">
        <f t="shared" si="19"/>
        <v>0</v>
      </c>
      <c r="V66" s="45">
        <f t="shared" si="19"/>
        <v>0</v>
      </c>
      <c r="W66" s="45">
        <f t="shared" si="19"/>
        <v>0</v>
      </c>
      <c r="X66" s="45">
        <f t="shared" si="19"/>
        <v>0</v>
      </c>
      <c r="Y66" s="45">
        <f t="shared" si="19"/>
        <v>0</v>
      </c>
      <c r="Z66" s="45">
        <f t="shared" si="19"/>
        <v>0</v>
      </c>
      <c r="AA66" s="45">
        <f t="shared" si="19"/>
        <v>0</v>
      </c>
      <c r="AB66" s="45">
        <f t="shared" si="19"/>
        <v>0</v>
      </c>
      <c r="AC66" s="45">
        <f t="shared" si="19"/>
        <v>0</v>
      </c>
      <c r="AD66" s="45">
        <f t="shared" si="19"/>
        <v>0</v>
      </c>
      <c r="AE66" s="45">
        <f t="shared" si="19"/>
        <v>0</v>
      </c>
      <c r="AF66" s="64">
        <f t="shared" si="20"/>
        <v>0</v>
      </c>
      <c r="AG66" s="59" t="str">
        <f t="shared" si="21"/>
        <v>ok</v>
      </c>
    </row>
    <row r="67" spans="1:33">
      <c r="A67" s="62"/>
      <c r="B67" s="61" t="s">
        <v>23</v>
      </c>
      <c r="D67" s="45" t="s">
        <v>944</v>
      </c>
      <c r="F67" s="77"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9"/>
        <v>0</v>
      </c>
      <c r="S67" s="64">
        <f t="shared" si="19"/>
        <v>0</v>
      </c>
      <c r="T67" s="64">
        <f t="shared" si="19"/>
        <v>0</v>
      </c>
      <c r="U67" s="64">
        <f t="shared" si="19"/>
        <v>0</v>
      </c>
      <c r="V67" s="64">
        <f t="shared" si="19"/>
        <v>0</v>
      </c>
      <c r="W67" s="64">
        <f t="shared" si="19"/>
        <v>0</v>
      </c>
      <c r="X67" s="64">
        <f t="shared" si="19"/>
        <v>0</v>
      </c>
      <c r="Y67" s="64">
        <f t="shared" si="19"/>
        <v>0</v>
      </c>
      <c r="Z67" s="64">
        <f t="shared" si="19"/>
        <v>0</v>
      </c>
      <c r="AA67" s="64">
        <f t="shared" si="19"/>
        <v>0</v>
      </c>
      <c r="AB67" s="64">
        <f t="shared" si="19"/>
        <v>0</v>
      </c>
      <c r="AC67" s="64">
        <f t="shared" si="19"/>
        <v>0</v>
      </c>
      <c r="AD67" s="64">
        <f t="shared" si="19"/>
        <v>0</v>
      </c>
      <c r="AE67" s="64">
        <f t="shared" si="19"/>
        <v>0</v>
      </c>
      <c r="AF67" s="64">
        <f t="shared" si="20"/>
        <v>0</v>
      </c>
      <c r="AG67" s="59" t="str">
        <f t="shared" si="21"/>
        <v>ok</v>
      </c>
    </row>
    <row r="68" spans="1:33">
      <c r="A68" s="61"/>
      <c r="B68" s="61"/>
      <c r="W68" s="45"/>
      <c r="AF68" s="64"/>
      <c r="AG68" s="59"/>
    </row>
    <row r="69" spans="1:33" s="61" customFormat="1">
      <c r="B69" s="61" t="s">
        <v>968</v>
      </c>
      <c r="C69" s="61" t="s">
        <v>969</v>
      </c>
      <c r="F69" s="81">
        <f>F15+SUM(F50:F67)</f>
        <v>4331626533.7946157</v>
      </c>
      <c r="G69" s="81"/>
      <c r="H69" s="81">
        <f t="shared" ref="H69:AE69" si="22">H15+SUM(H50:H67)</f>
        <v>834776532.70339584</v>
      </c>
      <c r="I69" s="81">
        <f t="shared" si="22"/>
        <v>874481254.62203681</v>
      </c>
      <c r="J69" s="81">
        <f t="shared" si="22"/>
        <v>718820642.53047872</v>
      </c>
      <c r="K69" s="81">
        <f t="shared" si="22"/>
        <v>0</v>
      </c>
      <c r="L69" s="81">
        <f t="shared" si="22"/>
        <v>0</v>
      </c>
      <c r="M69" s="81">
        <f t="shared" si="22"/>
        <v>0</v>
      </c>
      <c r="N69" s="81">
        <f t="shared" si="22"/>
        <v>465684635.2936042</v>
      </c>
      <c r="O69" s="81">
        <f t="shared" si="22"/>
        <v>0</v>
      </c>
      <c r="P69" s="81">
        <f t="shared" si="22"/>
        <v>0</v>
      </c>
      <c r="Q69" s="81">
        <f t="shared" si="22"/>
        <v>0</v>
      </c>
      <c r="R69" s="81">
        <f t="shared" si="22"/>
        <v>161101605.49619821</v>
      </c>
      <c r="S69" s="81">
        <f t="shared" si="22"/>
        <v>0</v>
      </c>
      <c r="T69" s="81">
        <f t="shared" si="22"/>
        <v>275500316.31922829</v>
      </c>
      <c r="U69" s="81">
        <f t="shared" si="22"/>
        <v>438423397.80823392</v>
      </c>
      <c r="V69" s="81">
        <f t="shared" si="22"/>
        <v>75736072.29061836</v>
      </c>
      <c r="W69" s="81">
        <f t="shared" si="22"/>
        <v>115092781.63131401</v>
      </c>
      <c r="X69" s="81">
        <f t="shared" si="22"/>
        <v>104690101.93262604</v>
      </c>
      <c r="Y69" s="81">
        <f t="shared" si="22"/>
        <v>73215269.23630555</v>
      </c>
      <c r="Z69" s="81">
        <f t="shared" si="22"/>
        <v>36360071.655844547</v>
      </c>
      <c r="AA69" s="81">
        <f t="shared" si="22"/>
        <v>42176667.513765797</v>
      </c>
      <c r="AB69" s="81">
        <f t="shared" si="22"/>
        <v>115567184.76096536</v>
      </c>
      <c r="AC69" s="81">
        <f t="shared" si="22"/>
        <v>0</v>
      </c>
      <c r="AD69" s="81">
        <f t="shared" si="22"/>
        <v>0</v>
      </c>
      <c r="AE69" s="81">
        <f t="shared" si="22"/>
        <v>0</v>
      </c>
      <c r="AF69" s="81">
        <f>SUM(H69:AE69)</f>
        <v>4331626533.7946157</v>
      </c>
      <c r="AG69" s="94" t="str">
        <f>IF(ABS(AF69-F69)&lt;1,"ok","err")</f>
        <v>ok</v>
      </c>
    </row>
    <row r="70" spans="1:33">
      <c r="A70" s="61"/>
      <c r="B70" s="61"/>
      <c r="AG70" s="59"/>
    </row>
    <row r="71" spans="1:33" ht="15">
      <c r="A71" s="60"/>
      <c r="B71" s="61"/>
      <c r="AG71" s="59"/>
    </row>
    <row r="72" spans="1:33" ht="15">
      <c r="A72" s="60" t="s">
        <v>970</v>
      </c>
      <c r="B72" s="61"/>
      <c r="AG72" s="59"/>
    </row>
    <row r="73" spans="1:33" ht="15">
      <c r="A73" s="60"/>
      <c r="B73" s="61"/>
      <c r="AG73" s="59"/>
    </row>
    <row r="74" spans="1:33">
      <c r="A74" s="61"/>
      <c r="B74" s="61" t="s">
        <v>319</v>
      </c>
      <c r="C74" s="45" t="s">
        <v>123</v>
      </c>
      <c r="D74" s="45" t="s">
        <v>638</v>
      </c>
      <c r="F74" s="77">
        <v>67084847.629999995</v>
      </c>
      <c r="H74" s="64">
        <f t="shared" ref="H74:Q77" si="23">IF(VLOOKUP($D74,$C$6:$AE$653,H$2,)=0,0,((VLOOKUP($D74,$C$6:$AE$653,H$2,)/VLOOKUP($D74,$C$6:$AE$653,4,))*$F74))</f>
        <v>23063858.157510284</v>
      </c>
      <c r="I74" s="64">
        <f t="shared" si="23"/>
        <v>24160851.231272571</v>
      </c>
      <c r="J74" s="64">
        <f t="shared" si="23"/>
        <v>19860138.24121714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ref="R74:AE77" si="24">IF(VLOOKUP($D74,$C$6:$AE$653,R$2,)=0,0,((VLOOKUP($D74,$C$6:$AE$653,R$2,)/VLOOKUP($D74,$C$6:$AE$653,4,))*$F74))</f>
        <v>0</v>
      </c>
      <c r="S74" s="64">
        <f t="shared" si="24"/>
        <v>0</v>
      </c>
      <c r="T74" s="64">
        <f t="shared" si="24"/>
        <v>0</v>
      </c>
      <c r="U74" s="64">
        <f t="shared" si="24"/>
        <v>0</v>
      </c>
      <c r="V74" s="64">
        <f t="shared" si="24"/>
        <v>0</v>
      </c>
      <c r="W74" s="64">
        <f t="shared" si="24"/>
        <v>0</v>
      </c>
      <c r="X74" s="64">
        <f t="shared" si="24"/>
        <v>0</v>
      </c>
      <c r="Y74" s="64">
        <f t="shared" si="24"/>
        <v>0</v>
      </c>
      <c r="Z74" s="64">
        <f t="shared" si="24"/>
        <v>0</v>
      </c>
      <c r="AA74" s="64">
        <f t="shared" si="24"/>
        <v>0</v>
      </c>
      <c r="AB74" s="64">
        <f t="shared" si="24"/>
        <v>0</v>
      </c>
      <c r="AC74" s="64">
        <f t="shared" si="24"/>
        <v>0</v>
      </c>
      <c r="AD74" s="64">
        <f t="shared" si="24"/>
        <v>0</v>
      </c>
      <c r="AE74" s="64">
        <f t="shared" si="24"/>
        <v>0</v>
      </c>
      <c r="AF74" s="64">
        <f>SUM(H74:AE74)</f>
        <v>67084847.629999995</v>
      </c>
      <c r="AG74" s="59" t="str">
        <f>IF(ABS(AF74-F74)&lt;1,"ok","err")</f>
        <v>ok</v>
      </c>
    </row>
    <row r="75" spans="1:33">
      <c r="A75" s="61"/>
      <c r="B75" s="61" t="s">
        <v>24</v>
      </c>
      <c r="C75" s="45" t="s">
        <v>124</v>
      </c>
      <c r="D75" s="45" t="s">
        <v>1171</v>
      </c>
      <c r="F75" s="80">
        <v>6861293.7046153834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 t="shared" si="23"/>
        <v>0</v>
      </c>
      <c r="M75" s="64">
        <f t="shared" si="23"/>
        <v>0</v>
      </c>
      <c r="N75" s="64">
        <f t="shared" si="23"/>
        <v>6861293.7046153834</v>
      </c>
      <c r="O75" s="64">
        <f t="shared" si="23"/>
        <v>0</v>
      </c>
      <c r="P75" s="64">
        <f t="shared" si="23"/>
        <v>0</v>
      </c>
      <c r="Q75" s="64">
        <f t="shared" si="23"/>
        <v>0</v>
      </c>
      <c r="R75" s="64">
        <f t="shared" si="24"/>
        <v>0</v>
      </c>
      <c r="S75" s="64">
        <f t="shared" si="24"/>
        <v>0</v>
      </c>
      <c r="T75" s="64">
        <f t="shared" si="24"/>
        <v>0</v>
      </c>
      <c r="U75" s="64">
        <f t="shared" si="24"/>
        <v>0</v>
      </c>
      <c r="V75" s="64">
        <f t="shared" si="24"/>
        <v>0</v>
      </c>
      <c r="W75" s="64">
        <f t="shared" si="24"/>
        <v>0</v>
      </c>
      <c r="X75" s="64">
        <f t="shared" si="24"/>
        <v>0</v>
      </c>
      <c r="Y75" s="64">
        <f t="shared" si="24"/>
        <v>0</v>
      </c>
      <c r="Z75" s="64">
        <f t="shared" si="24"/>
        <v>0</v>
      </c>
      <c r="AA75" s="64">
        <f t="shared" si="24"/>
        <v>0</v>
      </c>
      <c r="AB75" s="64">
        <f t="shared" si="24"/>
        <v>0</v>
      </c>
      <c r="AC75" s="64">
        <f t="shared" si="24"/>
        <v>0</v>
      </c>
      <c r="AD75" s="64">
        <f t="shared" si="24"/>
        <v>0</v>
      </c>
      <c r="AE75" s="64">
        <f t="shared" si="24"/>
        <v>0</v>
      </c>
      <c r="AF75" s="64">
        <f>SUM(H75:AE75)</f>
        <v>6861293.7046153834</v>
      </c>
      <c r="AG75" s="59" t="str">
        <f>IF(ABS(AF75-F75)&lt;1,"ok","err")</f>
        <v>ok</v>
      </c>
    </row>
    <row r="76" spans="1:33">
      <c r="A76" s="61"/>
      <c r="B76" s="61" t="s">
        <v>1295</v>
      </c>
      <c r="C76" s="45" t="s">
        <v>125</v>
      </c>
      <c r="D76" s="45" t="s">
        <v>944</v>
      </c>
      <c r="F76" s="80">
        <v>30927920.5776923</v>
      </c>
      <c r="H76" s="64">
        <f t="shared" si="23"/>
        <v>0</v>
      </c>
      <c r="I76" s="64">
        <f t="shared" si="23"/>
        <v>0</v>
      </c>
      <c r="J76" s="64">
        <f t="shared" si="23"/>
        <v>0</v>
      </c>
      <c r="K76" s="64">
        <f t="shared" si="23"/>
        <v>0</v>
      </c>
      <c r="L76" s="64">
        <f t="shared" si="23"/>
        <v>0</v>
      </c>
      <c r="M76" s="64">
        <f t="shared" si="23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0</v>
      </c>
      <c r="R76" s="64">
        <f t="shared" si="24"/>
        <v>3465236.9772077077</v>
      </c>
      <c r="S76" s="64">
        <f t="shared" si="24"/>
        <v>0</v>
      </c>
      <c r="T76" s="64">
        <f t="shared" si="24"/>
        <v>5925911.6655068891</v>
      </c>
      <c r="U76" s="64">
        <f t="shared" si="24"/>
        <v>9430327.929252008</v>
      </c>
      <c r="V76" s="64">
        <f t="shared" si="24"/>
        <v>1629055.3865158102</v>
      </c>
      <c r="W76" s="64">
        <f t="shared" si="24"/>
        <v>2475603.8991053565</v>
      </c>
      <c r="X76" s="64">
        <f t="shared" si="24"/>
        <v>2251846.0399399363</v>
      </c>
      <c r="Y76" s="64">
        <f t="shared" si="24"/>
        <v>1574833.8290759688</v>
      </c>
      <c r="Z76" s="64">
        <f t="shared" si="24"/>
        <v>782091.92520261847</v>
      </c>
      <c r="AA76" s="64">
        <f t="shared" si="24"/>
        <v>907204.78789732046</v>
      </c>
      <c r="AB76" s="64">
        <f t="shared" si="24"/>
        <v>2485808.1379886856</v>
      </c>
      <c r="AC76" s="64">
        <f t="shared" si="24"/>
        <v>0</v>
      </c>
      <c r="AD76" s="64">
        <f t="shared" si="24"/>
        <v>0</v>
      </c>
      <c r="AE76" s="64">
        <f t="shared" si="24"/>
        <v>0</v>
      </c>
      <c r="AF76" s="64">
        <f>SUM(H76:AE76)</f>
        <v>30927920.5776923</v>
      </c>
      <c r="AG76" s="59" t="str">
        <f>IF(ABS(AF76-F76)&lt;1,"ok","err")</f>
        <v>ok</v>
      </c>
    </row>
    <row r="77" spans="1:33">
      <c r="A77" s="61"/>
      <c r="B77" s="61" t="s">
        <v>1330</v>
      </c>
      <c r="C77" s="45" t="s">
        <v>126</v>
      </c>
      <c r="D77" s="45" t="s">
        <v>1172</v>
      </c>
      <c r="F77" s="80">
        <f>454671+18212996</f>
        <v>18667667</v>
      </c>
      <c r="H77" s="64">
        <f t="shared" si="23"/>
        <v>3599855.4435847811</v>
      </c>
      <c r="I77" s="64">
        <f t="shared" si="23"/>
        <v>3771076.4275671188</v>
      </c>
      <c r="J77" s="64">
        <f t="shared" si="23"/>
        <v>3099812.1073126411</v>
      </c>
      <c r="K77" s="64">
        <f t="shared" si="23"/>
        <v>0</v>
      </c>
      <c r="L77" s="64">
        <f t="shared" si="23"/>
        <v>0</v>
      </c>
      <c r="M77" s="64">
        <f t="shared" si="23"/>
        <v>0</v>
      </c>
      <c r="N77" s="64">
        <f t="shared" si="23"/>
        <v>2008373.8322510538</v>
      </c>
      <c r="O77" s="64">
        <f t="shared" si="23"/>
        <v>0</v>
      </c>
      <c r="P77" s="64">
        <f t="shared" si="23"/>
        <v>0</v>
      </c>
      <c r="Q77" s="64">
        <f t="shared" si="23"/>
        <v>0</v>
      </c>
      <c r="R77" s="64">
        <f t="shared" si="24"/>
        <v>693379.60927915748</v>
      </c>
      <c r="S77" s="64">
        <f t="shared" si="24"/>
        <v>0</v>
      </c>
      <c r="T77" s="64">
        <f t="shared" si="24"/>
        <v>1185750.452935236</v>
      </c>
      <c r="U77" s="64">
        <f t="shared" si="24"/>
        <v>1886969.6756578116</v>
      </c>
      <c r="V77" s="64">
        <f t="shared" si="24"/>
        <v>325967.25558049284</v>
      </c>
      <c r="W77" s="64">
        <f t="shared" si="24"/>
        <v>495358.11708751175</v>
      </c>
      <c r="X77" s="64">
        <f t="shared" si="24"/>
        <v>450585.09348718089</v>
      </c>
      <c r="Y77" s="64">
        <f t="shared" si="24"/>
        <v>315117.74584726826</v>
      </c>
      <c r="Z77" s="64">
        <f t="shared" si="24"/>
        <v>156493.36454742291</v>
      </c>
      <c r="AA77" s="64">
        <f t="shared" si="24"/>
        <v>181527.93171314479</v>
      </c>
      <c r="AB77" s="64">
        <f t="shared" si="24"/>
        <v>497399.94314917841</v>
      </c>
      <c r="AC77" s="64">
        <f t="shared" si="24"/>
        <v>0</v>
      </c>
      <c r="AD77" s="64">
        <f t="shared" si="24"/>
        <v>0</v>
      </c>
      <c r="AE77" s="64">
        <f t="shared" si="24"/>
        <v>0</v>
      </c>
      <c r="AF77" s="64">
        <f>SUM(H77:AE77)</f>
        <v>18667667.000000004</v>
      </c>
      <c r="AG77" s="59" t="str">
        <f>IF(ABS(AF77-F77)&lt;1,"ok","err")</f>
        <v>ok</v>
      </c>
    </row>
    <row r="78" spans="1:33">
      <c r="A78" s="61"/>
      <c r="B78" s="61"/>
      <c r="F78" s="80"/>
      <c r="AF78" s="64"/>
      <c r="AG78" s="59"/>
    </row>
    <row r="79" spans="1:33" ht="15">
      <c r="A79" s="286" t="s">
        <v>971</v>
      </c>
      <c r="B79" s="61"/>
      <c r="C79" s="45" t="s">
        <v>972</v>
      </c>
      <c r="F79" s="77">
        <f>SUM(F74:F77)</f>
        <v>123541728.91230768</v>
      </c>
      <c r="G79" s="63"/>
      <c r="H79" s="63">
        <f t="shared" ref="H79:AE79" si="25">SUM(H74:H77)</f>
        <v>26663713.601095065</v>
      </c>
      <c r="I79" s="63">
        <f t="shared" si="25"/>
        <v>27931927.658839688</v>
      </c>
      <c r="J79" s="63">
        <f t="shared" si="25"/>
        <v>22959950.348529782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8869667.5368664376</v>
      </c>
      <c r="O79" s="63">
        <f t="shared" si="25"/>
        <v>0</v>
      </c>
      <c r="P79" s="63">
        <f t="shared" si="25"/>
        <v>0</v>
      </c>
      <c r="Q79" s="63">
        <f t="shared" si="25"/>
        <v>0</v>
      </c>
      <c r="R79" s="63">
        <f t="shared" si="25"/>
        <v>4158616.5864868653</v>
      </c>
      <c r="S79" s="63">
        <f t="shared" si="25"/>
        <v>0</v>
      </c>
      <c r="T79" s="63">
        <f t="shared" si="25"/>
        <v>7111662.1184421256</v>
      </c>
      <c r="U79" s="63">
        <f t="shared" si="25"/>
        <v>11317297.604909819</v>
      </c>
      <c r="V79" s="63">
        <f t="shared" si="25"/>
        <v>1955022.6420963029</v>
      </c>
      <c r="W79" s="63">
        <f t="shared" si="25"/>
        <v>2970962.0161928684</v>
      </c>
      <c r="X79" s="63">
        <f t="shared" si="25"/>
        <v>2702431.133427117</v>
      </c>
      <c r="Y79" s="63">
        <f t="shared" si="25"/>
        <v>1889951.5749232371</v>
      </c>
      <c r="Z79" s="63">
        <f t="shared" si="25"/>
        <v>938585.28975004144</v>
      </c>
      <c r="AA79" s="63">
        <f t="shared" si="25"/>
        <v>1088732.7196104652</v>
      </c>
      <c r="AB79" s="63">
        <f t="shared" si="25"/>
        <v>2983208.0811378639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123541728.91230766</v>
      </c>
      <c r="AG79" s="59" t="str">
        <f>IF(ABS(AF79-F79)&lt;1,"ok","err")</f>
        <v>ok</v>
      </c>
    </row>
    <row r="80" spans="1:33" ht="15">
      <c r="A80" s="28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 t="s">
        <v>1150</v>
      </c>
      <c r="B81" s="61"/>
      <c r="F81" s="77">
        <f>F69+F79</f>
        <v>4455168262.7069235</v>
      </c>
      <c r="G81" s="63"/>
      <c r="H81" s="63">
        <f t="shared" ref="H81:AE81" si="26">H69+H79</f>
        <v>861440246.30449092</v>
      </c>
      <c r="I81" s="63">
        <f t="shared" si="26"/>
        <v>902413182.28087652</v>
      </c>
      <c r="J81" s="63">
        <f t="shared" si="26"/>
        <v>741780592.87900853</v>
      </c>
      <c r="K81" s="63">
        <f t="shared" si="26"/>
        <v>0</v>
      </c>
      <c r="L81" s="63">
        <f t="shared" si="26"/>
        <v>0</v>
      </c>
      <c r="M81" s="63">
        <f t="shared" si="26"/>
        <v>0</v>
      </c>
      <c r="N81" s="63">
        <f t="shared" si="26"/>
        <v>474554302.83047062</v>
      </c>
      <c r="O81" s="63">
        <f t="shared" si="26"/>
        <v>0</v>
      </c>
      <c r="P81" s="63">
        <f t="shared" si="26"/>
        <v>0</v>
      </c>
      <c r="Q81" s="63">
        <f t="shared" si="26"/>
        <v>0</v>
      </c>
      <c r="R81" s="63">
        <f t="shared" si="26"/>
        <v>165260222.08268508</v>
      </c>
      <c r="S81" s="63">
        <f t="shared" si="26"/>
        <v>0</v>
      </c>
      <c r="T81" s="63">
        <f t="shared" si="26"/>
        <v>282611978.43767041</v>
      </c>
      <c r="U81" s="63">
        <f t="shared" si="26"/>
        <v>449740695.41314375</v>
      </c>
      <c r="V81" s="63">
        <f t="shared" si="26"/>
        <v>77691094.932714656</v>
      </c>
      <c r="W81" s="63">
        <f t="shared" si="26"/>
        <v>118063743.64750688</v>
      </c>
      <c r="X81" s="63">
        <f t="shared" si="26"/>
        <v>107392533.06605315</v>
      </c>
      <c r="Y81" s="63">
        <f t="shared" si="26"/>
        <v>75105220.811228782</v>
      </c>
      <c r="Z81" s="63">
        <f t="shared" si="26"/>
        <v>37298656.945594586</v>
      </c>
      <c r="AA81" s="63">
        <f t="shared" si="26"/>
        <v>43265400.233376265</v>
      </c>
      <c r="AB81" s="63">
        <f t="shared" si="26"/>
        <v>118550392.84210323</v>
      </c>
      <c r="AC81" s="63">
        <f t="shared" si="26"/>
        <v>0</v>
      </c>
      <c r="AD81" s="63">
        <f t="shared" si="26"/>
        <v>0</v>
      </c>
      <c r="AE81" s="63">
        <f t="shared" si="26"/>
        <v>0</v>
      </c>
      <c r="AF81" s="64">
        <f>SUM(H81:AE81)</f>
        <v>4455168262.7069225</v>
      </c>
      <c r="AG81" s="59" t="str">
        <f>IF(ABS(AF81-F81)&lt;1,"ok","err")</f>
        <v>ok</v>
      </c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5"/>
      <c r="AA83" s="65">
        <f>R81+T81+U81+V81+W81+X81+Y81+Z81+AA81</f>
        <v>1356429545.5699735</v>
      </c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</row>
    <row r="89" spans="1:37" ht="15">
      <c r="A89" s="66"/>
      <c r="B89" s="61"/>
      <c r="F89" s="77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59"/>
    </row>
    <row r="90" spans="1:37" ht="15">
      <c r="A90" s="66"/>
      <c r="B90" s="61"/>
      <c r="F90" s="77"/>
      <c r="G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59"/>
      <c r="AH90" s="63"/>
      <c r="AI90" s="63"/>
      <c r="AJ90" s="63"/>
      <c r="AK90" s="63"/>
    </row>
    <row r="91" spans="1:37">
      <c r="A91" s="61"/>
      <c r="B91" s="61"/>
      <c r="AG91" s="59"/>
      <c r="AH91" s="65"/>
    </row>
    <row r="92" spans="1:37" ht="15">
      <c r="A92" s="60" t="s">
        <v>974</v>
      </c>
      <c r="B92" s="61"/>
      <c r="AG92" s="59"/>
      <c r="AH92" s="65"/>
      <c r="AI92" s="65"/>
    </row>
    <row r="93" spans="1:37">
      <c r="A93" s="61"/>
      <c r="B93" s="61"/>
      <c r="AG93" s="59"/>
      <c r="AI93" s="65"/>
    </row>
    <row r="94" spans="1:37" ht="15">
      <c r="A94" s="60" t="s">
        <v>975</v>
      </c>
      <c r="B94" s="61"/>
      <c r="AG94" s="59"/>
    </row>
    <row r="95" spans="1:37">
      <c r="A95" s="61" t="s">
        <v>943</v>
      </c>
      <c r="B95" s="61"/>
      <c r="F95" s="81">
        <f>F69</f>
        <v>4331626533.7946157</v>
      </c>
      <c r="G95" s="65"/>
      <c r="H95" s="65">
        <f t="shared" ref="H95:M95" si="27">H69</f>
        <v>834776532.70339584</v>
      </c>
      <c r="I95" s="65">
        <f t="shared" si="27"/>
        <v>874481254.62203681</v>
      </c>
      <c r="J95" s="65">
        <f t="shared" si="27"/>
        <v>718820642.53047872</v>
      </c>
      <c r="K95" s="65">
        <f t="shared" si="27"/>
        <v>0</v>
      </c>
      <c r="L95" s="65">
        <f t="shared" si="27"/>
        <v>0</v>
      </c>
      <c r="M95" s="65">
        <f t="shared" si="27"/>
        <v>0</v>
      </c>
      <c r="N95" s="65">
        <f>N69</f>
        <v>465684635.2936042</v>
      </c>
      <c r="O95" s="65">
        <f>O69</f>
        <v>0</v>
      </c>
      <c r="P95" s="65">
        <f>P69</f>
        <v>0</v>
      </c>
      <c r="Q95" s="65">
        <f t="shared" ref="Q95:AB95" si="28">Q69</f>
        <v>0</v>
      </c>
      <c r="R95" s="65">
        <f t="shared" si="28"/>
        <v>161101605.49619821</v>
      </c>
      <c r="S95" s="65">
        <f t="shared" si="28"/>
        <v>0</v>
      </c>
      <c r="T95" s="65">
        <f t="shared" si="28"/>
        <v>275500316.31922829</v>
      </c>
      <c r="U95" s="65">
        <f t="shared" si="28"/>
        <v>438423397.80823392</v>
      </c>
      <c r="V95" s="65">
        <f t="shared" si="28"/>
        <v>75736072.29061836</v>
      </c>
      <c r="W95" s="65">
        <f t="shared" si="28"/>
        <v>115092781.63131401</v>
      </c>
      <c r="X95" s="65">
        <f t="shared" si="28"/>
        <v>104690101.93262604</v>
      </c>
      <c r="Y95" s="65">
        <f t="shared" si="28"/>
        <v>73215269.23630555</v>
      </c>
      <c r="Z95" s="65">
        <f t="shared" si="28"/>
        <v>36360071.655844547</v>
      </c>
      <c r="AA95" s="65">
        <f t="shared" si="28"/>
        <v>42176667.513765797</v>
      </c>
      <c r="AB95" s="65">
        <f t="shared" si="28"/>
        <v>115567184.76096536</v>
      </c>
      <c r="AC95" s="65">
        <f>AC69</f>
        <v>0</v>
      </c>
      <c r="AD95" s="65">
        <f>AD69</f>
        <v>0</v>
      </c>
      <c r="AE95" s="65">
        <f>AE69</f>
        <v>0</v>
      </c>
      <c r="AF95" s="64">
        <f>SUM(H95:AE95)</f>
        <v>4331626533.7946157</v>
      </c>
      <c r="AG95" s="59" t="str">
        <f>IF(ABS(AF95-F95)&lt;1,"ok","err")</f>
        <v>ok</v>
      </c>
    </row>
    <row r="96" spans="1:37">
      <c r="A96" s="61" t="s">
        <v>970</v>
      </c>
      <c r="B96" s="61"/>
      <c r="F96" s="80">
        <f>F79</f>
        <v>123541728.91230768</v>
      </c>
      <c r="G96" s="68"/>
      <c r="H96" s="68">
        <f t="shared" ref="H96:AE96" si="29">H79</f>
        <v>26663713.601095065</v>
      </c>
      <c r="I96" s="68">
        <f t="shared" si="29"/>
        <v>27931927.658839688</v>
      </c>
      <c r="J96" s="68">
        <f t="shared" si="29"/>
        <v>22959950.348529782</v>
      </c>
      <c r="K96" s="68">
        <f>K79</f>
        <v>0</v>
      </c>
      <c r="L96" s="68">
        <f t="shared" si="29"/>
        <v>0</v>
      </c>
      <c r="M96" s="68">
        <f t="shared" si="29"/>
        <v>0</v>
      </c>
      <c r="N96" s="68">
        <f>N79</f>
        <v>8869667.5368664376</v>
      </c>
      <c r="O96" s="68">
        <f>O79</f>
        <v>0</v>
      </c>
      <c r="P96" s="68">
        <f>P79</f>
        <v>0</v>
      </c>
      <c r="Q96" s="68">
        <f t="shared" si="29"/>
        <v>0</v>
      </c>
      <c r="R96" s="68">
        <f>R79</f>
        <v>4158616.5864868653</v>
      </c>
      <c r="S96" s="68">
        <f t="shared" si="29"/>
        <v>0</v>
      </c>
      <c r="T96" s="68">
        <f t="shared" si="29"/>
        <v>7111662.1184421256</v>
      </c>
      <c r="U96" s="68">
        <f>U79</f>
        <v>11317297.604909819</v>
      </c>
      <c r="V96" s="68">
        <f>V79</f>
        <v>1955022.6420963029</v>
      </c>
      <c r="W96" s="68">
        <f>W79</f>
        <v>2970962.0161928684</v>
      </c>
      <c r="X96" s="68">
        <f t="shared" si="29"/>
        <v>2702431.133427117</v>
      </c>
      <c r="Y96" s="68">
        <f t="shared" si="29"/>
        <v>1889951.5749232371</v>
      </c>
      <c r="Z96" s="68">
        <f>Z79</f>
        <v>938585.28975004144</v>
      </c>
      <c r="AA96" s="68">
        <f>AA79</f>
        <v>1088732.7196104652</v>
      </c>
      <c r="AB96" s="68">
        <f t="shared" si="29"/>
        <v>2983208.0811378639</v>
      </c>
      <c r="AC96" s="68">
        <f t="shared" si="29"/>
        <v>0</v>
      </c>
      <c r="AD96" s="68">
        <f t="shared" si="29"/>
        <v>0</v>
      </c>
      <c r="AE96" s="64">
        <f t="shared" si="29"/>
        <v>0</v>
      </c>
      <c r="AF96" s="64">
        <f>SUM(H96:AE96)</f>
        <v>123541728.91230766</v>
      </c>
      <c r="AG96" s="59" t="str">
        <f>IF(ABS(AF96-F96)&lt;1,"ok","err")</f>
        <v>ok</v>
      </c>
    </row>
    <row r="97" spans="1:33">
      <c r="A97" s="61"/>
      <c r="B97" s="61"/>
      <c r="W97" s="45"/>
      <c r="AF97" s="64"/>
      <c r="AG97" s="59"/>
    </row>
    <row r="98" spans="1:33" ht="15">
      <c r="A98" s="286" t="s">
        <v>976</v>
      </c>
      <c r="B98" s="61"/>
      <c r="C98" s="45" t="s">
        <v>977</v>
      </c>
      <c r="F98" s="81">
        <f>F95+F96</f>
        <v>4455168262.7069235</v>
      </c>
      <c r="G98" s="65"/>
      <c r="H98" s="65">
        <f t="shared" ref="H98:AE98" si="30">H95+H96</f>
        <v>861440246.30449092</v>
      </c>
      <c r="I98" s="65">
        <f t="shared" si="30"/>
        <v>902413182.28087652</v>
      </c>
      <c r="J98" s="65">
        <f t="shared" si="30"/>
        <v>741780592.87900853</v>
      </c>
      <c r="K98" s="65">
        <f>K95+K96</f>
        <v>0</v>
      </c>
      <c r="L98" s="65">
        <f t="shared" si="30"/>
        <v>0</v>
      </c>
      <c r="M98" s="65">
        <f t="shared" si="30"/>
        <v>0</v>
      </c>
      <c r="N98" s="65">
        <f t="shared" si="30"/>
        <v>474554302.83047062</v>
      </c>
      <c r="O98" s="65">
        <f>O95+O96</f>
        <v>0</v>
      </c>
      <c r="P98" s="65">
        <f>P95+P96</f>
        <v>0</v>
      </c>
      <c r="Q98" s="65">
        <f t="shared" si="30"/>
        <v>0</v>
      </c>
      <c r="R98" s="65">
        <f>R95+R96</f>
        <v>165260222.08268508</v>
      </c>
      <c r="S98" s="65">
        <f t="shared" si="30"/>
        <v>0</v>
      </c>
      <c r="T98" s="65">
        <f t="shared" si="30"/>
        <v>282611978.43767041</v>
      </c>
      <c r="U98" s="65">
        <f>U95+U96</f>
        <v>449740695.41314375</v>
      </c>
      <c r="V98" s="65">
        <f>V95+V96</f>
        <v>77691094.932714656</v>
      </c>
      <c r="W98" s="65">
        <f>W95+W96</f>
        <v>118063743.64750688</v>
      </c>
      <c r="X98" s="65">
        <f t="shared" si="30"/>
        <v>107392533.06605315</v>
      </c>
      <c r="Y98" s="65">
        <f t="shared" si="30"/>
        <v>75105220.811228782</v>
      </c>
      <c r="Z98" s="65">
        <f>Z95+Z96</f>
        <v>37298656.945594586</v>
      </c>
      <c r="AA98" s="65">
        <f>AA95+AA96</f>
        <v>43265400.233376265</v>
      </c>
      <c r="AB98" s="65">
        <f t="shared" si="30"/>
        <v>118550392.84210323</v>
      </c>
      <c r="AC98" s="65">
        <f t="shared" si="30"/>
        <v>0</v>
      </c>
      <c r="AD98" s="65">
        <f t="shared" si="30"/>
        <v>0</v>
      </c>
      <c r="AE98" s="65">
        <f t="shared" si="30"/>
        <v>0</v>
      </c>
      <c r="AF98" s="64">
        <f>SUM(H98:AE98)</f>
        <v>4455168262.7069225</v>
      </c>
      <c r="AG98" s="59" t="str">
        <f>IF(ABS(AF98-F98)&lt;1,"ok","err")</f>
        <v>ok</v>
      </c>
    </row>
    <row r="99" spans="1:33">
      <c r="A99" s="61"/>
      <c r="B99" s="61"/>
      <c r="W99" s="45"/>
      <c r="AG99" s="59"/>
    </row>
    <row r="100" spans="1:33" ht="15">
      <c r="A100" s="287" t="s">
        <v>756</v>
      </c>
      <c r="B100" s="61"/>
      <c r="W100" s="45"/>
      <c r="AG100" s="59"/>
    </row>
    <row r="101" spans="1:33">
      <c r="A101" s="69" t="s">
        <v>622</v>
      </c>
      <c r="B101" s="61"/>
      <c r="C101" s="45" t="s">
        <v>2</v>
      </c>
      <c r="D101" s="45" t="s">
        <v>638</v>
      </c>
      <c r="F101" s="77">
        <f>777567688+13089605+113284845</f>
        <v>903942138</v>
      </c>
      <c r="H101" s="64">
        <f t="shared" ref="H101:Q105" si="31">IF(VLOOKUP($D101,$C$6:$AE$653,H$2,)=0,0,((VLOOKUP($D101,$C$6:$AE$653,H$2,)/VLOOKUP($D101,$C$6:$AE$653,4,))*$F101))</f>
        <v>310776486.64294338</v>
      </c>
      <c r="I101" s="64">
        <f t="shared" si="31"/>
        <v>325558040.14571124</v>
      </c>
      <c r="J101" s="64">
        <f t="shared" si="31"/>
        <v>267607611.21134531</v>
      </c>
      <c r="K101" s="64">
        <f t="shared" si="31"/>
        <v>0</v>
      </c>
      <c r="L101" s="64">
        <f t="shared" si="31"/>
        <v>0</v>
      </c>
      <c r="M101" s="64">
        <f t="shared" si="31"/>
        <v>0</v>
      </c>
      <c r="N101" s="64">
        <f t="shared" si="31"/>
        <v>0</v>
      </c>
      <c r="O101" s="64">
        <f t="shared" si="31"/>
        <v>0</v>
      </c>
      <c r="P101" s="64">
        <f t="shared" si="31"/>
        <v>0</v>
      </c>
      <c r="Q101" s="64">
        <f t="shared" si="31"/>
        <v>0</v>
      </c>
      <c r="R101" s="64">
        <f t="shared" ref="R101:AE105" si="32">IF(VLOOKUP($D101,$C$6:$AE$653,R$2,)=0,0,((VLOOKUP($D101,$C$6:$AE$653,R$2,)/VLOOKUP($D101,$C$6:$AE$653,4,))*$F101))</f>
        <v>0</v>
      </c>
      <c r="S101" s="64">
        <f t="shared" si="32"/>
        <v>0</v>
      </c>
      <c r="T101" s="64">
        <f t="shared" si="32"/>
        <v>0</v>
      </c>
      <c r="U101" s="64">
        <f t="shared" si="32"/>
        <v>0</v>
      </c>
      <c r="V101" s="64">
        <f t="shared" si="32"/>
        <v>0</v>
      </c>
      <c r="W101" s="64">
        <f t="shared" si="32"/>
        <v>0</v>
      </c>
      <c r="X101" s="64">
        <f t="shared" si="32"/>
        <v>0</v>
      </c>
      <c r="Y101" s="64">
        <f t="shared" si="32"/>
        <v>0</v>
      </c>
      <c r="Z101" s="64">
        <f t="shared" si="32"/>
        <v>0</v>
      </c>
      <c r="AA101" s="64">
        <f t="shared" si="32"/>
        <v>0</v>
      </c>
      <c r="AB101" s="64">
        <f t="shared" si="32"/>
        <v>0</v>
      </c>
      <c r="AC101" s="64">
        <f t="shared" si="32"/>
        <v>0</v>
      </c>
      <c r="AD101" s="64">
        <f t="shared" si="32"/>
        <v>0</v>
      </c>
      <c r="AE101" s="64">
        <f t="shared" si="32"/>
        <v>0</v>
      </c>
      <c r="AF101" s="64">
        <f>SUM(H101:AE101)</f>
        <v>903942137.99999988</v>
      </c>
      <c r="AG101" s="59" t="str">
        <f>IF(ABS(AF101-F101)&lt;1,"ok","err")</f>
        <v>ok</v>
      </c>
    </row>
    <row r="102" spans="1:33">
      <c r="A102" s="61" t="s">
        <v>618</v>
      </c>
      <c r="B102" s="61"/>
      <c r="C102" s="45" t="s">
        <v>3</v>
      </c>
      <c r="D102" s="45" t="s">
        <v>1170</v>
      </c>
      <c r="F102" s="80">
        <f>159969049</f>
        <v>159969049</v>
      </c>
      <c r="H102" s="64">
        <f t="shared" si="31"/>
        <v>0</v>
      </c>
      <c r="I102" s="64">
        <f t="shared" si="31"/>
        <v>0</v>
      </c>
      <c r="J102" s="64">
        <f t="shared" si="31"/>
        <v>0</v>
      </c>
      <c r="K102" s="64">
        <f t="shared" si="31"/>
        <v>0</v>
      </c>
      <c r="L102" s="64">
        <f t="shared" si="31"/>
        <v>0</v>
      </c>
      <c r="M102" s="64">
        <f t="shared" si="31"/>
        <v>0</v>
      </c>
      <c r="N102" s="64">
        <f t="shared" si="31"/>
        <v>159969049</v>
      </c>
      <c r="O102" s="64">
        <f t="shared" si="31"/>
        <v>0</v>
      </c>
      <c r="P102" s="64">
        <f t="shared" si="31"/>
        <v>0</v>
      </c>
      <c r="Q102" s="64">
        <f t="shared" si="31"/>
        <v>0</v>
      </c>
      <c r="R102" s="64">
        <f t="shared" si="32"/>
        <v>0</v>
      </c>
      <c r="S102" s="64">
        <f t="shared" si="32"/>
        <v>0</v>
      </c>
      <c r="T102" s="64">
        <f t="shared" si="32"/>
        <v>0</v>
      </c>
      <c r="U102" s="64">
        <f t="shared" si="32"/>
        <v>0</v>
      </c>
      <c r="V102" s="64">
        <f t="shared" si="32"/>
        <v>0</v>
      </c>
      <c r="W102" s="64">
        <f t="shared" si="32"/>
        <v>0</v>
      </c>
      <c r="X102" s="64">
        <f t="shared" si="32"/>
        <v>0</v>
      </c>
      <c r="Y102" s="64">
        <f t="shared" si="32"/>
        <v>0</v>
      </c>
      <c r="Z102" s="64">
        <f t="shared" si="32"/>
        <v>0</v>
      </c>
      <c r="AA102" s="64">
        <f t="shared" si="32"/>
        <v>0</v>
      </c>
      <c r="AB102" s="64">
        <f t="shared" si="32"/>
        <v>0</v>
      </c>
      <c r="AC102" s="64">
        <f t="shared" si="32"/>
        <v>0</v>
      </c>
      <c r="AD102" s="64">
        <f t="shared" si="32"/>
        <v>0</v>
      </c>
      <c r="AE102" s="64">
        <f t="shared" si="32"/>
        <v>0</v>
      </c>
      <c r="AF102" s="64">
        <f>SUM(H102:AE102)</f>
        <v>159969049</v>
      </c>
      <c r="AG102" s="59" t="str">
        <f>IF(ABS(AF102-F102)&lt;1,"ok","err")</f>
        <v>ok</v>
      </c>
    </row>
    <row r="103" spans="1:33">
      <c r="A103" s="61" t="s">
        <v>318</v>
      </c>
      <c r="B103" s="61"/>
      <c r="C103" s="45" t="s">
        <v>25</v>
      </c>
      <c r="D103" s="45" t="s">
        <v>944</v>
      </c>
      <c r="F103" s="80">
        <f>508037556</f>
        <v>508037556</v>
      </c>
      <c r="H103" s="64">
        <f t="shared" si="31"/>
        <v>0</v>
      </c>
      <c r="I103" s="64">
        <f t="shared" si="31"/>
        <v>0</v>
      </c>
      <c r="J103" s="64">
        <f t="shared" si="31"/>
        <v>0</v>
      </c>
      <c r="K103" s="64">
        <f t="shared" si="31"/>
        <v>0</v>
      </c>
      <c r="L103" s="64">
        <f t="shared" si="31"/>
        <v>0</v>
      </c>
      <c r="M103" s="64">
        <f t="shared" si="31"/>
        <v>0</v>
      </c>
      <c r="N103" s="64">
        <f t="shared" si="31"/>
        <v>0</v>
      </c>
      <c r="O103" s="64">
        <f t="shared" si="31"/>
        <v>0</v>
      </c>
      <c r="P103" s="64">
        <f t="shared" si="31"/>
        <v>0</v>
      </c>
      <c r="Q103" s="64">
        <f t="shared" si="31"/>
        <v>0</v>
      </c>
      <c r="R103" s="64">
        <f t="shared" si="32"/>
        <v>56921722.895629279</v>
      </c>
      <c r="S103" s="64">
        <f t="shared" si="32"/>
        <v>0</v>
      </c>
      <c r="T103" s="64">
        <f t="shared" si="32"/>
        <v>97342001.123330802</v>
      </c>
      <c r="U103" s="64">
        <f t="shared" si="32"/>
        <v>154907302.65620756</v>
      </c>
      <c r="V103" s="64">
        <f t="shared" si="32"/>
        <v>26759681.921553902</v>
      </c>
      <c r="W103" s="64">
        <f t="shared" si="32"/>
        <v>40665512.942137793</v>
      </c>
      <c r="X103" s="64">
        <f t="shared" si="32"/>
        <v>36989953.9720276</v>
      </c>
      <c r="Y103" s="64">
        <f t="shared" si="32"/>
        <v>25869011.387948114</v>
      </c>
      <c r="Z103" s="64">
        <f t="shared" si="32"/>
        <v>12847034.744840262</v>
      </c>
      <c r="AA103" s="64">
        <f t="shared" si="32"/>
        <v>14902201.461526221</v>
      </c>
      <c r="AB103" s="64">
        <f t="shared" si="32"/>
        <v>40833132.894798487</v>
      </c>
      <c r="AC103" s="64">
        <f t="shared" si="32"/>
        <v>0</v>
      </c>
      <c r="AD103" s="64">
        <f t="shared" si="32"/>
        <v>0</v>
      </c>
      <c r="AE103" s="64">
        <f t="shared" si="32"/>
        <v>0</v>
      </c>
      <c r="AF103" s="64">
        <f>SUM(H103:AE103)</f>
        <v>508037556</v>
      </c>
      <c r="AG103" s="59" t="str">
        <f>IF(ABS(AF103-F103)&lt;1,"ok","err")</f>
        <v>ok</v>
      </c>
    </row>
    <row r="104" spans="1:33">
      <c r="A104" s="69" t="s">
        <v>619</v>
      </c>
      <c r="B104" s="61"/>
      <c r="C104" s="45" t="s">
        <v>26</v>
      </c>
      <c r="D104" s="45" t="s">
        <v>1172</v>
      </c>
      <c r="F104" s="80">
        <f>7268272+104835731-40982991</f>
        <v>71121012</v>
      </c>
      <c r="H104" s="64">
        <f t="shared" si="31"/>
        <v>13714909.431449499</v>
      </c>
      <c r="I104" s="64">
        <f t="shared" si="31"/>
        <v>14367235.70534648</v>
      </c>
      <c r="J104" s="64">
        <f t="shared" si="31"/>
        <v>11809819.303179538</v>
      </c>
      <c r="K104" s="64">
        <f t="shared" si="31"/>
        <v>0</v>
      </c>
      <c r="L104" s="64">
        <f t="shared" si="31"/>
        <v>0</v>
      </c>
      <c r="M104" s="64">
        <f t="shared" si="31"/>
        <v>0</v>
      </c>
      <c r="N104" s="64">
        <f t="shared" si="31"/>
        <v>7651603.1394824637</v>
      </c>
      <c r="O104" s="64">
        <f t="shared" si="31"/>
        <v>0</v>
      </c>
      <c r="P104" s="64">
        <f t="shared" si="31"/>
        <v>0</v>
      </c>
      <c r="Q104" s="64">
        <f t="shared" si="31"/>
        <v>0</v>
      </c>
      <c r="R104" s="64">
        <f t="shared" si="32"/>
        <v>2641672.3371001999</v>
      </c>
      <c r="S104" s="64">
        <f t="shared" si="32"/>
        <v>0</v>
      </c>
      <c r="T104" s="64">
        <f t="shared" si="32"/>
        <v>4517531.4190151542</v>
      </c>
      <c r="U104" s="64">
        <f t="shared" si="32"/>
        <v>7189071.5077623418</v>
      </c>
      <c r="V104" s="64">
        <f t="shared" si="32"/>
        <v>1241886.3640404181</v>
      </c>
      <c r="W104" s="64">
        <f t="shared" si="32"/>
        <v>1887240.145738529</v>
      </c>
      <c r="X104" s="64">
        <f t="shared" si="32"/>
        <v>1716661.6396640732</v>
      </c>
      <c r="Y104" s="64">
        <f t="shared" si="32"/>
        <v>1200551.3588718139</v>
      </c>
      <c r="Z104" s="64">
        <f t="shared" si="32"/>
        <v>596216.25229856733</v>
      </c>
      <c r="AA104" s="64">
        <f t="shared" si="32"/>
        <v>691594.19919509767</v>
      </c>
      <c r="AB104" s="64">
        <f t="shared" si="32"/>
        <v>1895019.1968558277</v>
      </c>
      <c r="AC104" s="64">
        <f t="shared" si="32"/>
        <v>0</v>
      </c>
      <c r="AD104" s="64">
        <f t="shared" si="32"/>
        <v>0</v>
      </c>
      <c r="AE104" s="64">
        <f t="shared" si="32"/>
        <v>0</v>
      </c>
      <c r="AF104" s="64">
        <f>SUM(H104:AE104)</f>
        <v>71121012</v>
      </c>
      <c r="AG104" s="59" t="str">
        <f>IF(ABS(AF104-F104)&lt;1,"ok","err")</f>
        <v>ok</v>
      </c>
    </row>
    <row r="105" spans="1:33">
      <c r="A105" s="69" t="s">
        <v>317</v>
      </c>
      <c r="B105" s="61"/>
      <c r="C105" s="45" t="s">
        <v>978</v>
      </c>
      <c r="D105" s="45" t="s">
        <v>1172</v>
      </c>
      <c r="F105" s="80">
        <v>40982991</v>
      </c>
      <c r="H105" s="64">
        <f t="shared" si="31"/>
        <v>7903121.6512345169</v>
      </c>
      <c r="I105" s="64">
        <f t="shared" si="31"/>
        <v>8279020.1524001574</v>
      </c>
      <c r="J105" s="64">
        <f t="shared" si="31"/>
        <v>6805326.6482461365</v>
      </c>
      <c r="K105" s="64">
        <f t="shared" si="31"/>
        <v>0</v>
      </c>
      <c r="L105" s="64">
        <f t="shared" si="31"/>
        <v>0</v>
      </c>
      <c r="M105" s="64">
        <f t="shared" si="31"/>
        <v>0</v>
      </c>
      <c r="N105" s="64">
        <f t="shared" si="31"/>
        <v>4409183.3592157206</v>
      </c>
      <c r="O105" s="64">
        <f t="shared" si="31"/>
        <v>0</v>
      </c>
      <c r="P105" s="64">
        <f t="shared" si="31"/>
        <v>0</v>
      </c>
      <c r="Q105" s="64">
        <f t="shared" si="31"/>
        <v>0</v>
      </c>
      <c r="R105" s="64">
        <f t="shared" si="32"/>
        <v>1522245.4035992408</v>
      </c>
      <c r="S105" s="64">
        <f t="shared" si="32"/>
        <v>0</v>
      </c>
      <c r="T105" s="64">
        <f t="shared" si="32"/>
        <v>2603196.2184075122</v>
      </c>
      <c r="U105" s="64">
        <f t="shared" si="32"/>
        <v>4142652.7072052984</v>
      </c>
      <c r="V105" s="64">
        <f t="shared" si="32"/>
        <v>715628.4232919967</v>
      </c>
      <c r="W105" s="64">
        <f t="shared" si="32"/>
        <v>1087509.0740784288</v>
      </c>
      <c r="X105" s="64">
        <f t="shared" si="32"/>
        <v>989214.39037450647</v>
      </c>
      <c r="Y105" s="64">
        <f t="shared" si="32"/>
        <v>691809.41260623967</v>
      </c>
      <c r="Z105" s="64">
        <f t="shared" si="32"/>
        <v>343565.48950689723</v>
      </c>
      <c r="AA105" s="64">
        <f t="shared" si="32"/>
        <v>398526.37138044235</v>
      </c>
      <c r="AB105" s="64">
        <f t="shared" si="32"/>
        <v>1091991.6984529074</v>
      </c>
      <c r="AC105" s="64">
        <f t="shared" si="32"/>
        <v>0</v>
      </c>
      <c r="AD105" s="64">
        <f t="shared" si="32"/>
        <v>0</v>
      </c>
      <c r="AE105" s="64">
        <f t="shared" si="32"/>
        <v>0</v>
      </c>
      <c r="AF105" s="64">
        <f>SUM(H105:AE105)</f>
        <v>40982990.999999993</v>
      </c>
      <c r="AG105" s="59" t="str">
        <f>IF(ABS(AF105-F105)&lt;1,"ok","err")</f>
        <v>ok</v>
      </c>
    </row>
    <row r="106" spans="1:33">
      <c r="A106" s="61"/>
      <c r="B106" s="61"/>
      <c r="W106" s="45"/>
      <c r="AF106" s="64"/>
      <c r="AG106" s="59"/>
    </row>
    <row r="107" spans="1:33">
      <c r="A107" s="61" t="s">
        <v>979</v>
      </c>
      <c r="B107" s="61"/>
      <c r="C107" s="45" t="s">
        <v>980</v>
      </c>
      <c r="F107" s="81">
        <f>SUM(F101:F105)</f>
        <v>1684052746</v>
      </c>
      <c r="G107" s="65"/>
      <c r="H107" s="65">
        <f t="shared" ref="H107:M107" si="33">SUM(H101:H105)</f>
        <v>332394517.72562736</v>
      </c>
      <c r="I107" s="65">
        <f t="shared" si="33"/>
        <v>348204296.00345784</v>
      </c>
      <c r="J107" s="65">
        <f t="shared" si="33"/>
        <v>286222757.16277099</v>
      </c>
      <c r="K107" s="65">
        <f t="shared" si="33"/>
        <v>0</v>
      </c>
      <c r="L107" s="65">
        <f t="shared" si="33"/>
        <v>0</v>
      </c>
      <c r="M107" s="65">
        <f t="shared" si="33"/>
        <v>0</v>
      </c>
      <c r="N107" s="65">
        <f>SUM(N101:N105)</f>
        <v>172029835.49869817</v>
      </c>
      <c r="O107" s="65">
        <f>SUM(O101:O105)</f>
        <v>0</v>
      </c>
      <c r="P107" s="65">
        <f>SUM(P101:P105)</f>
        <v>0</v>
      </c>
      <c r="Q107" s="65">
        <f t="shared" ref="Q107:AB107" si="34">SUM(Q101:Q105)</f>
        <v>0</v>
      </c>
      <c r="R107" s="65">
        <f t="shared" si="34"/>
        <v>61085640.63632872</v>
      </c>
      <c r="S107" s="65">
        <f t="shared" si="34"/>
        <v>0</v>
      </c>
      <c r="T107" s="65">
        <f t="shared" si="34"/>
        <v>104462728.76075347</v>
      </c>
      <c r="U107" s="65">
        <f t="shared" si="34"/>
        <v>166239026.8711752</v>
      </c>
      <c r="V107" s="65">
        <f t="shared" si="34"/>
        <v>28717196.708886318</v>
      </c>
      <c r="W107" s="65">
        <f t="shared" si="34"/>
        <v>43640262.161954746</v>
      </c>
      <c r="X107" s="65">
        <f t="shared" si="34"/>
        <v>39695830.00206618</v>
      </c>
      <c r="Y107" s="65">
        <f t="shared" si="34"/>
        <v>27761372.159426168</v>
      </c>
      <c r="Z107" s="65">
        <f t="shared" si="34"/>
        <v>13786816.486645726</v>
      </c>
      <c r="AA107" s="65">
        <f t="shared" si="34"/>
        <v>15992322.032101762</v>
      </c>
      <c r="AB107" s="65">
        <f t="shared" si="34"/>
        <v>43820143.79010722</v>
      </c>
      <c r="AC107" s="65">
        <f>SUM(AC101:AC105)</f>
        <v>0</v>
      </c>
      <c r="AD107" s="65">
        <f>SUM(AD101:AD105)</f>
        <v>0</v>
      </c>
      <c r="AE107" s="65">
        <f>SUM(AE101:AE105)</f>
        <v>0</v>
      </c>
      <c r="AF107" s="64">
        <f>SUM(H107:AE107)</f>
        <v>1684052746</v>
      </c>
      <c r="AG107" s="59" t="str">
        <f>IF(ABS(AF107-F107)&lt;1,"ok","err")</f>
        <v>ok</v>
      </c>
    </row>
    <row r="108" spans="1:33">
      <c r="A108" s="61"/>
      <c r="B108" s="61"/>
      <c r="F108" s="81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4"/>
      <c r="AG108" s="59"/>
    </row>
    <row r="109" spans="1:33" ht="15">
      <c r="A109" s="60" t="s">
        <v>981</v>
      </c>
      <c r="B109" s="61"/>
      <c r="C109" s="45" t="s">
        <v>982</v>
      </c>
      <c r="F109" s="81">
        <f>F98-F107</f>
        <v>2771115516.7069235</v>
      </c>
      <c r="G109" s="65"/>
      <c r="H109" s="65">
        <f t="shared" ref="H109:M109" si="35">H98-H107</f>
        <v>529045728.57886356</v>
      </c>
      <c r="I109" s="65">
        <f t="shared" si="35"/>
        <v>554208886.27741861</v>
      </c>
      <c r="J109" s="65">
        <f t="shared" si="35"/>
        <v>455557835.71623755</v>
      </c>
      <c r="K109" s="65">
        <f t="shared" si="35"/>
        <v>0</v>
      </c>
      <c r="L109" s="65">
        <f t="shared" si="35"/>
        <v>0</v>
      </c>
      <c r="M109" s="65">
        <f t="shared" si="35"/>
        <v>0</v>
      </c>
      <c r="N109" s="65">
        <f>N98-N107</f>
        <v>302524467.33177245</v>
      </c>
      <c r="O109" s="65">
        <f>O98-O107</f>
        <v>0</v>
      </c>
      <c r="P109" s="65">
        <f>P98-P107</f>
        <v>0</v>
      </c>
      <c r="Q109" s="65">
        <f t="shared" ref="Q109:AB109" si="36">Q98-Q107</f>
        <v>0</v>
      </c>
      <c r="R109" s="65">
        <f t="shared" si="36"/>
        <v>104174581.44635636</v>
      </c>
      <c r="S109" s="65">
        <f t="shared" si="36"/>
        <v>0</v>
      </c>
      <c r="T109" s="65">
        <f t="shared" si="36"/>
        <v>178149249.67691696</v>
      </c>
      <c r="U109" s="65">
        <f t="shared" si="36"/>
        <v>283501668.54196858</v>
      </c>
      <c r="V109" s="65">
        <f t="shared" si="36"/>
        <v>48973898.223828338</v>
      </c>
      <c r="W109" s="65">
        <f t="shared" si="36"/>
        <v>74423481.485552132</v>
      </c>
      <c r="X109" s="65">
        <f t="shared" si="36"/>
        <v>67696703.063986972</v>
      </c>
      <c r="Y109" s="65">
        <f t="shared" si="36"/>
        <v>47343848.651802614</v>
      </c>
      <c r="Z109" s="65">
        <f t="shared" si="36"/>
        <v>23511840.458948858</v>
      </c>
      <c r="AA109" s="65">
        <f t="shared" si="36"/>
        <v>27273078.201274503</v>
      </c>
      <c r="AB109" s="65">
        <f t="shared" si="36"/>
        <v>74730249.051996008</v>
      </c>
      <c r="AC109" s="65">
        <f>AC98-AC107</f>
        <v>0</v>
      </c>
      <c r="AD109" s="65">
        <f>AD98-AD107</f>
        <v>0</v>
      </c>
      <c r="AE109" s="65">
        <f>AE98-AE107</f>
        <v>0</v>
      </c>
      <c r="AF109" s="64">
        <f>SUM(H109:AE109)</f>
        <v>2771115516.706924</v>
      </c>
      <c r="AG109" s="59" t="str">
        <f>IF(ABS(AF109-F109)&lt;1,"ok","err")</f>
        <v>ok</v>
      </c>
    </row>
    <row r="110" spans="1:33">
      <c r="A110" s="61"/>
      <c r="B110" s="61"/>
      <c r="W110" s="45"/>
      <c r="AG110" s="59"/>
    </row>
    <row r="111" spans="1:33" ht="15">
      <c r="A111" s="60" t="s">
        <v>983</v>
      </c>
      <c r="B111" s="61"/>
      <c r="W111" s="45"/>
      <c r="AG111" s="59"/>
    </row>
    <row r="112" spans="1:33">
      <c r="A112" s="61" t="s">
        <v>20</v>
      </c>
      <c r="B112" s="61"/>
      <c r="C112" s="45" t="s">
        <v>985</v>
      </c>
      <c r="D112" s="45" t="s">
        <v>986</v>
      </c>
      <c r="F112" s="77">
        <f>75842724</f>
        <v>75842724</v>
      </c>
      <c r="G112" s="63"/>
      <c r="H112" s="64">
        <f t="shared" ref="H112:Q115" si="37">IF(VLOOKUP($D112,$C$6:$AE$653,H$2,)=0,0,((VLOOKUP($D112,$C$6:$AE$653,H$2,)/VLOOKUP($D112,$C$6:$AE$653,4,))*$F112))</f>
        <v>3319543.3812469579</v>
      </c>
      <c r="I112" s="64">
        <f t="shared" si="37"/>
        <v>3477431.800106124</v>
      </c>
      <c r="J112" s="64">
        <f t="shared" si="37"/>
        <v>2858437.2137154462</v>
      </c>
      <c r="K112" s="64">
        <f t="shared" si="37"/>
        <v>51365920.441896409</v>
      </c>
      <c r="L112" s="64">
        <f t="shared" si="37"/>
        <v>0</v>
      </c>
      <c r="M112" s="64">
        <f t="shared" si="37"/>
        <v>0</v>
      </c>
      <c r="N112" s="64">
        <f t="shared" si="37"/>
        <v>2659627.6889876402</v>
      </c>
      <c r="O112" s="64">
        <f t="shared" si="37"/>
        <v>0</v>
      </c>
      <c r="P112" s="64">
        <f t="shared" si="37"/>
        <v>0</v>
      </c>
      <c r="Q112" s="64">
        <f t="shared" si="37"/>
        <v>0</v>
      </c>
      <c r="R112" s="64">
        <f t="shared" ref="R112:AE115" si="38">IF(VLOOKUP($D112,$C$6:$AE$653,R$2,)=0,0,((VLOOKUP($D112,$C$6:$AE$653,R$2,)/VLOOKUP($D112,$C$6:$AE$653,4,))*$F112))</f>
        <v>983238.30247743637</v>
      </c>
      <c r="S112" s="64">
        <f t="shared" si="38"/>
        <v>0</v>
      </c>
      <c r="T112" s="64">
        <f t="shared" si="38"/>
        <v>1708533.9132855448</v>
      </c>
      <c r="U112" s="64">
        <f t="shared" si="38"/>
        <v>2557455.5875878618</v>
      </c>
      <c r="V112" s="64">
        <f t="shared" si="38"/>
        <v>574566.50648511702</v>
      </c>
      <c r="W112" s="64">
        <f t="shared" si="38"/>
        <v>844068.90746601147</v>
      </c>
      <c r="X112" s="64">
        <f t="shared" si="38"/>
        <v>134471.55823711117</v>
      </c>
      <c r="Y112" s="64">
        <f t="shared" si="38"/>
        <v>94043.000811019258</v>
      </c>
      <c r="Z112" s="64">
        <f t="shared" si="38"/>
        <v>35516.05639410195</v>
      </c>
      <c r="AA112" s="64">
        <f t="shared" si="38"/>
        <v>2061649.1348741495</v>
      </c>
      <c r="AB112" s="64">
        <f t="shared" si="38"/>
        <v>156821.33138610164</v>
      </c>
      <c r="AC112" s="64">
        <f t="shared" si="38"/>
        <v>2471535.7794325519</v>
      </c>
      <c r="AD112" s="64">
        <f t="shared" si="38"/>
        <v>539863.39561039058</v>
      </c>
      <c r="AE112" s="64">
        <f t="shared" si="38"/>
        <v>0</v>
      </c>
      <c r="AF112" s="64">
        <f>SUM(H112:AE112)</f>
        <v>75842723.99999997</v>
      </c>
      <c r="AG112" s="59" t="str">
        <f>IF(ABS(AF112-F112)&lt;1,"ok","err")</f>
        <v>ok</v>
      </c>
    </row>
    <row r="113" spans="1:33">
      <c r="A113" s="61" t="s">
        <v>973</v>
      </c>
      <c r="B113" s="61"/>
      <c r="C113" s="45" t="s">
        <v>4</v>
      </c>
      <c r="D113" s="45" t="s">
        <v>969</v>
      </c>
      <c r="F113" s="80">
        <v>36896266</v>
      </c>
      <c r="G113" s="64"/>
      <c r="H113" s="64">
        <f t="shared" si="37"/>
        <v>7110524.5941414256</v>
      </c>
      <c r="I113" s="64">
        <f t="shared" si="37"/>
        <v>7448724.568201256</v>
      </c>
      <c r="J113" s="64">
        <f t="shared" si="37"/>
        <v>6122826.4778084829</v>
      </c>
      <c r="K113" s="64">
        <f t="shared" si="37"/>
        <v>0</v>
      </c>
      <c r="L113" s="64">
        <f t="shared" si="37"/>
        <v>0</v>
      </c>
      <c r="M113" s="64">
        <f t="shared" si="37"/>
        <v>0</v>
      </c>
      <c r="N113" s="64">
        <f t="shared" si="37"/>
        <v>3966644.8715868206</v>
      </c>
      <c r="O113" s="64">
        <f t="shared" si="37"/>
        <v>0</v>
      </c>
      <c r="P113" s="64">
        <f t="shared" si="37"/>
        <v>0</v>
      </c>
      <c r="Q113" s="64">
        <f t="shared" si="37"/>
        <v>0</v>
      </c>
      <c r="R113" s="64">
        <f t="shared" si="38"/>
        <v>1372243.8079645922</v>
      </c>
      <c r="S113" s="64">
        <f t="shared" si="38"/>
        <v>0</v>
      </c>
      <c r="T113" s="64">
        <f t="shared" si="38"/>
        <v>2346678.0606992096</v>
      </c>
      <c r="U113" s="64">
        <f t="shared" si="38"/>
        <v>3734436.978800585</v>
      </c>
      <c r="V113" s="64">
        <f t="shared" si="38"/>
        <v>645110.61773876823</v>
      </c>
      <c r="W113" s="64">
        <f t="shared" si="38"/>
        <v>980346.2631458299</v>
      </c>
      <c r="X113" s="64">
        <f t="shared" si="38"/>
        <v>891737.50745530752</v>
      </c>
      <c r="Y113" s="64">
        <f t="shared" si="38"/>
        <v>623638.72506752727</v>
      </c>
      <c r="Z113" s="64">
        <f t="shared" si="38"/>
        <v>309710.65144387411</v>
      </c>
      <c r="AA113" s="64">
        <f t="shared" si="38"/>
        <v>359255.70485833741</v>
      </c>
      <c r="AB113" s="64">
        <f t="shared" si="38"/>
        <v>984387.17108798225</v>
      </c>
      <c r="AC113" s="64">
        <f t="shared" si="38"/>
        <v>0</v>
      </c>
      <c r="AD113" s="64">
        <f t="shared" si="38"/>
        <v>0</v>
      </c>
      <c r="AE113" s="64">
        <f t="shared" si="38"/>
        <v>0</v>
      </c>
      <c r="AF113" s="64">
        <f>SUM(H113:AE113)</f>
        <v>36896266</v>
      </c>
      <c r="AG113" s="59" t="str">
        <f>IF(ABS(AF113-F113)&lt;1,"ok","err")</f>
        <v>ok</v>
      </c>
    </row>
    <row r="114" spans="1:33">
      <c r="A114" s="61" t="s">
        <v>987</v>
      </c>
      <c r="B114" s="61"/>
      <c r="C114" s="45" t="s">
        <v>988</v>
      </c>
      <c r="D114" s="45" t="s">
        <v>969</v>
      </c>
      <c r="F114" s="80">
        <v>13972166</v>
      </c>
      <c r="H114" s="64">
        <f t="shared" si="37"/>
        <v>2692668.9539918927</v>
      </c>
      <c r="I114" s="64">
        <f t="shared" si="37"/>
        <v>2820741.1599641619</v>
      </c>
      <c r="J114" s="64">
        <f t="shared" si="37"/>
        <v>2318639.7218931434</v>
      </c>
      <c r="K114" s="64">
        <f t="shared" si="37"/>
        <v>0</v>
      </c>
      <c r="L114" s="64">
        <f t="shared" si="37"/>
        <v>0</v>
      </c>
      <c r="M114" s="64">
        <f t="shared" si="37"/>
        <v>0</v>
      </c>
      <c r="N114" s="64">
        <f t="shared" si="37"/>
        <v>1502120.0413304626</v>
      </c>
      <c r="O114" s="64">
        <f t="shared" si="37"/>
        <v>0</v>
      </c>
      <c r="P114" s="64">
        <f t="shared" si="37"/>
        <v>0</v>
      </c>
      <c r="Q114" s="64">
        <f t="shared" si="37"/>
        <v>0</v>
      </c>
      <c r="R114" s="64">
        <f t="shared" si="38"/>
        <v>519651.99614924192</v>
      </c>
      <c r="S114" s="64">
        <f t="shared" si="38"/>
        <v>0</v>
      </c>
      <c r="T114" s="64">
        <f t="shared" si="38"/>
        <v>888658.36485045485</v>
      </c>
      <c r="U114" s="64">
        <f t="shared" si="38"/>
        <v>1414185.7440083574</v>
      </c>
      <c r="V114" s="64">
        <f t="shared" si="38"/>
        <v>244295.5240893107</v>
      </c>
      <c r="W114" s="64">
        <f t="shared" si="38"/>
        <v>371245.17494949809</v>
      </c>
      <c r="X114" s="64">
        <f t="shared" si="38"/>
        <v>337690.11971541494</v>
      </c>
      <c r="Y114" s="64">
        <f t="shared" si="38"/>
        <v>236164.38017526901</v>
      </c>
      <c r="Z114" s="64">
        <f t="shared" si="38"/>
        <v>117283.64691272414</v>
      </c>
      <c r="AA114" s="64">
        <f t="shared" si="38"/>
        <v>136045.75446002305</v>
      </c>
      <c r="AB114" s="64">
        <f t="shared" si="38"/>
        <v>372775.41751004528</v>
      </c>
      <c r="AC114" s="64">
        <f t="shared" si="38"/>
        <v>0</v>
      </c>
      <c r="AD114" s="64">
        <f t="shared" si="38"/>
        <v>0</v>
      </c>
      <c r="AE114" s="64">
        <f t="shared" si="38"/>
        <v>0</v>
      </c>
      <c r="AF114" s="64">
        <f>SUM(H114:AE114)</f>
        <v>13972165.999999998</v>
      </c>
      <c r="AG114" s="59" t="str">
        <f>IF(ABS(AF114-F114)&lt;1,"ok","err")</f>
        <v>ok</v>
      </c>
    </row>
    <row r="115" spans="1:33">
      <c r="A115" s="61" t="s">
        <v>1329</v>
      </c>
      <c r="B115" s="61"/>
      <c r="D115" s="45" t="s">
        <v>638</v>
      </c>
      <c r="F115" s="80">
        <v>36289311</v>
      </c>
      <c r="H115" s="64">
        <f t="shared" si="37"/>
        <v>12476312.477506297</v>
      </c>
      <c r="I115" s="64">
        <f t="shared" si="37"/>
        <v>13069726.9999357</v>
      </c>
      <c r="J115" s="64">
        <f t="shared" si="37"/>
        <v>10743271.522558004</v>
      </c>
      <c r="K115" s="64">
        <f t="shared" si="37"/>
        <v>0</v>
      </c>
      <c r="L115" s="64">
        <f t="shared" si="37"/>
        <v>0</v>
      </c>
      <c r="M115" s="64">
        <f t="shared" si="37"/>
        <v>0</v>
      </c>
      <c r="N115" s="64">
        <f t="shared" si="37"/>
        <v>0</v>
      </c>
      <c r="O115" s="64">
        <f t="shared" si="37"/>
        <v>0</v>
      </c>
      <c r="P115" s="64">
        <f t="shared" si="37"/>
        <v>0</v>
      </c>
      <c r="Q115" s="64">
        <f t="shared" si="37"/>
        <v>0</v>
      </c>
      <c r="R115" s="64">
        <f t="shared" si="38"/>
        <v>0</v>
      </c>
      <c r="S115" s="64">
        <f t="shared" si="38"/>
        <v>0</v>
      </c>
      <c r="T115" s="64">
        <f t="shared" si="38"/>
        <v>0</v>
      </c>
      <c r="U115" s="64">
        <f t="shared" si="38"/>
        <v>0</v>
      </c>
      <c r="V115" s="64">
        <f t="shared" si="38"/>
        <v>0</v>
      </c>
      <c r="W115" s="64">
        <f t="shared" si="38"/>
        <v>0</v>
      </c>
      <c r="X115" s="64">
        <f t="shared" si="38"/>
        <v>0</v>
      </c>
      <c r="Y115" s="64">
        <f t="shared" si="38"/>
        <v>0</v>
      </c>
      <c r="Z115" s="64">
        <f t="shared" si="38"/>
        <v>0</v>
      </c>
      <c r="AA115" s="64">
        <f t="shared" si="38"/>
        <v>0</v>
      </c>
      <c r="AB115" s="64">
        <f t="shared" si="38"/>
        <v>0</v>
      </c>
      <c r="AC115" s="64">
        <f t="shared" si="38"/>
        <v>0</v>
      </c>
      <c r="AD115" s="64">
        <f t="shared" si="38"/>
        <v>0</v>
      </c>
      <c r="AE115" s="64">
        <f t="shared" si="38"/>
        <v>0</v>
      </c>
      <c r="AF115" s="64">
        <f>SUM(H115:AE115)</f>
        <v>36289311</v>
      </c>
      <c r="AG115" s="59" t="str">
        <f>IF(ABS(AF115-F115)&lt;1,"ok","err")</f>
        <v>ok</v>
      </c>
    </row>
    <row r="116" spans="1:33">
      <c r="A116" s="69" t="s">
        <v>989</v>
      </c>
      <c r="B116" s="61"/>
      <c r="C116" s="45" t="s">
        <v>990</v>
      </c>
      <c r="F116" s="81">
        <f>SUM(F112:F115)</f>
        <v>163000467</v>
      </c>
      <c r="G116" s="65"/>
      <c r="H116" s="65">
        <f t="shared" ref="H116:M116" si="39">SUM(H112:H115)</f>
        <v>25599049.40688657</v>
      </c>
      <c r="I116" s="65">
        <f t="shared" si="39"/>
        <v>26816624.528207242</v>
      </c>
      <c r="J116" s="65">
        <f t="shared" si="39"/>
        <v>22043174.935975075</v>
      </c>
      <c r="K116" s="65">
        <f t="shared" si="39"/>
        <v>51365920.441896409</v>
      </c>
      <c r="L116" s="65">
        <f t="shared" si="39"/>
        <v>0</v>
      </c>
      <c r="M116" s="65">
        <f t="shared" si="39"/>
        <v>0</v>
      </c>
      <c r="N116" s="65">
        <f>SUM(N112:N115)</f>
        <v>8128392.6019049231</v>
      </c>
      <c r="O116" s="65">
        <f>SUM(O112:O115)</f>
        <v>0</v>
      </c>
      <c r="P116" s="65">
        <f>SUM(P112:P115)</f>
        <v>0</v>
      </c>
      <c r="Q116" s="65">
        <f t="shared" ref="Q116:AB116" si="40">SUM(Q112:Q115)</f>
        <v>0</v>
      </c>
      <c r="R116" s="65">
        <f t="shared" si="40"/>
        <v>2875134.1065912703</v>
      </c>
      <c r="S116" s="65">
        <f t="shared" si="40"/>
        <v>0</v>
      </c>
      <c r="T116" s="65">
        <f t="shared" si="40"/>
        <v>4943870.3388352096</v>
      </c>
      <c r="U116" s="65">
        <f t="shared" si="40"/>
        <v>7706078.3103968045</v>
      </c>
      <c r="V116" s="65">
        <f t="shared" si="40"/>
        <v>1463972.6483131959</v>
      </c>
      <c r="W116" s="65">
        <f t="shared" si="40"/>
        <v>2195660.3455613395</v>
      </c>
      <c r="X116" s="65">
        <f t="shared" si="40"/>
        <v>1363899.1854078337</v>
      </c>
      <c r="Y116" s="65">
        <f t="shared" si="40"/>
        <v>953846.10605381546</v>
      </c>
      <c r="Z116" s="65">
        <f t="shared" si="40"/>
        <v>462510.35475070018</v>
      </c>
      <c r="AA116" s="65">
        <f t="shared" si="40"/>
        <v>2556950.59419251</v>
      </c>
      <c r="AB116" s="65">
        <f t="shared" si="40"/>
        <v>1513983.919984129</v>
      </c>
      <c r="AC116" s="65">
        <f>SUM(AC112:AC115)</f>
        <v>2471535.7794325519</v>
      </c>
      <c r="AD116" s="65">
        <f>SUM(AD112:AD115)</f>
        <v>539863.39561039058</v>
      </c>
      <c r="AE116" s="65">
        <f>SUM(AE112:AE115)</f>
        <v>0</v>
      </c>
      <c r="AF116" s="64">
        <f>SUM(H116:AE116)</f>
        <v>163000467</v>
      </c>
      <c r="AG116" s="59" t="str">
        <f>IF(ABS(AF116-F116)&lt;1,"ok","err")</f>
        <v>ok</v>
      </c>
    </row>
    <row r="117" spans="1:33">
      <c r="A117" s="61"/>
      <c r="B117" s="61"/>
      <c r="W117" s="45"/>
      <c r="AG117" s="59"/>
    </row>
    <row r="118" spans="1:33" ht="15">
      <c r="A118" s="60" t="s">
        <v>44</v>
      </c>
      <c r="B118" s="61"/>
      <c r="I118" s="67"/>
      <c r="W118" s="45"/>
      <c r="AG118" s="59"/>
    </row>
    <row r="119" spans="1:33">
      <c r="A119" s="61" t="s">
        <v>142</v>
      </c>
      <c r="B119" s="61"/>
      <c r="C119" s="45" t="s">
        <v>143</v>
      </c>
      <c r="D119" s="45" t="s">
        <v>99</v>
      </c>
      <c r="F119" s="77">
        <v>0</v>
      </c>
      <c r="H119" s="64">
        <f t="shared" ref="H119:Q120" si="41">IF(VLOOKUP($D119,$C$6:$AE$653,H$2,)=0,0,((VLOOKUP($D119,$C$6:$AE$653,H$2,)/VLOOKUP($D119,$C$6:$AE$653,4,))*$F119))</f>
        <v>0</v>
      </c>
      <c r="I119" s="64">
        <f t="shared" si="41"/>
        <v>0</v>
      </c>
      <c r="J119" s="64">
        <f t="shared" si="41"/>
        <v>0</v>
      </c>
      <c r="K119" s="64">
        <f t="shared" si="41"/>
        <v>0</v>
      </c>
      <c r="L119" s="64">
        <f t="shared" si="41"/>
        <v>0</v>
      </c>
      <c r="M119" s="64">
        <f t="shared" si="41"/>
        <v>0</v>
      </c>
      <c r="N119" s="64">
        <f t="shared" si="41"/>
        <v>0</v>
      </c>
      <c r="O119" s="64">
        <f t="shared" si="41"/>
        <v>0</v>
      </c>
      <c r="P119" s="64">
        <f t="shared" si="41"/>
        <v>0</v>
      </c>
      <c r="Q119" s="64">
        <f t="shared" si="41"/>
        <v>0</v>
      </c>
      <c r="R119" s="64">
        <f t="shared" ref="R119:AE120" si="42">IF(VLOOKUP($D119,$C$6:$AE$653,R$2,)=0,0,((VLOOKUP($D119,$C$6:$AE$653,R$2,)/VLOOKUP($D119,$C$6:$AE$653,4,))*$F119))</f>
        <v>0</v>
      </c>
      <c r="S119" s="64">
        <f t="shared" si="42"/>
        <v>0</v>
      </c>
      <c r="T119" s="64">
        <f t="shared" si="42"/>
        <v>0</v>
      </c>
      <c r="U119" s="64">
        <f t="shared" si="42"/>
        <v>0</v>
      </c>
      <c r="V119" s="64">
        <f t="shared" si="42"/>
        <v>0</v>
      </c>
      <c r="W119" s="64">
        <f t="shared" si="42"/>
        <v>0</v>
      </c>
      <c r="X119" s="64">
        <f t="shared" si="42"/>
        <v>0</v>
      </c>
      <c r="Y119" s="64">
        <f t="shared" si="42"/>
        <v>0</v>
      </c>
      <c r="Z119" s="64">
        <f t="shared" si="42"/>
        <v>0</v>
      </c>
      <c r="AA119" s="64">
        <f t="shared" si="42"/>
        <v>0</v>
      </c>
      <c r="AB119" s="64">
        <f t="shared" si="42"/>
        <v>0</v>
      </c>
      <c r="AC119" s="64">
        <f t="shared" si="42"/>
        <v>0</v>
      </c>
      <c r="AD119" s="64">
        <f t="shared" si="42"/>
        <v>0</v>
      </c>
      <c r="AE119" s="64">
        <f t="shared" si="42"/>
        <v>0</v>
      </c>
      <c r="AF119" s="64">
        <f>SUM(H119:AE119)</f>
        <v>0</v>
      </c>
      <c r="AG119" s="59" t="str">
        <f>IF(ABS(AF119-F119)&lt;1,"ok","err")</f>
        <v>ok</v>
      </c>
    </row>
    <row r="120" spans="1:33">
      <c r="A120" s="61" t="s">
        <v>158</v>
      </c>
      <c r="B120" s="61"/>
      <c r="C120" s="45" t="s">
        <v>5</v>
      </c>
      <c r="D120" s="45" t="s">
        <v>18</v>
      </c>
      <c r="F120" s="80">
        <v>0</v>
      </c>
      <c r="H120" s="64">
        <f t="shared" si="41"/>
        <v>0</v>
      </c>
      <c r="I120" s="64">
        <f t="shared" si="41"/>
        <v>0</v>
      </c>
      <c r="J120" s="64">
        <f t="shared" si="41"/>
        <v>0</v>
      </c>
      <c r="K120" s="64">
        <f t="shared" si="41"/>
        <v>0</v>
      </c>
      <c r="L120" s="64">
        <f t="shared" si="41"/>
        <v>0</v>
      </c>
      <c r="M120" s="64">
        <f t="shared" si="41"/>
        <v>0</v>
      </c>
      <c r="N120" s="64">
        <f t="shared" si="41"/>
        <v>0</v>
      </c>
      <c r="O120" s="64">
        <f t="shared" si="41"/>
        <v>0</v>
      </c>
      <c r="P120" s="64">
        <f t="shared" si="41"/>
        <v>0</v>
      </c>
      <c r="Q120" s="64">
        <f t="shared" si="41"/>
        <v>0</v>
      </c>
      <c r="R120" s="64">
        <f t="shared" si="42"/>
        <v>0</v>
      </c>
      <c r="S120" s="64">
        <f t="shared" si="42"/>
        <v>0</v>
      </c>
      <c r="T120" s="64">
        <f t="shared" si="42"/>
        <v>0</v>
      </c>
      <c r="U120" s="64">
        <f t="shared" si="42"/>
        <v>0</v>
      </c>
      <c r="V120" s="64">
        <f t="shared" si="42"/>
        <v>0</v>
      </c>
      <c r="W120" s="64">
        <f t="shared" si="42"/>
        <v>0</v>
      </c>
      <c r="X120" s="64">
        <f t="shared" si="42"/>
        <v>0</v>
      </c>
      <c r="Y120" s="64">
        <f t="shared" si="42"/>
        <v>0</v>
      </c>
      <c r="Z120" s="64">
        <f t="shared" si="42"/>
        <v>0</v>
      </c>
      <c r="AA120" s="64">
        <f t="shared" si="42"/>
        <v>0</v>
      </c>
      <c r="AB120" s="64">
        <f t="shared" si="42"/>
        <v>0</v>
      </c>
      <c r="AC120" s="64">
        <f t="shared" si="42"/>
        <v>0</v>
      </c>
      <c r="AD120" s="64">
        <f t="shared" si="42"/>
        <v>0</v>
      </c>
      <c r="AE120" s="64">
        <f t="shared" si="42"/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/>
      <c r="B121" s="61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</row>
    <row r="122" spans="1:33">
      <c r="A122" s="61" t="s">
        <v>1151</v>
      </c>
      <c r="B122" s="61"/>
      <c r="F122" s="81">
        <f t="shared" ref="F122:M122" si="43">SUM(F119:F120)</f>
        <v>0</v>
      </c>
      <c r="G122" s="65"/>
      <c r="H122" s="65">
        <f t="shared" si="43"/>
        <v>0</v>
      </c>
      <c r="I122" s="65">
        <f t="shared" si="43"/>
        <v>0</v>
      </c>
      <c r="J122" s="65">
        <f t="shared" si="43"/>
        <v>0</v>
      </c>
      <c r="K122" s="65">
        <f t="shared" si="43"/>
        <v>0</v>
      </c>
      <c r="L122" s="65">
        <f t="shared" si="43"/>
        <v>0</v>
      </c>
      <c r="M122" s="65">
        <f t="shared" si="43"/>
        <v>0</v>
      </c>
      <c r="N122" s="65">
        <f>SUM(N119:N120)</f>
        <v>0</v>
      </c>
      <c r="O122" s="65">
        <f>SUM(O119:O120)</f>
        <v>0</v>
      </c>
      <c r="P122" s="65">
        <f>SUM(P119:P120)</f>
        <v>0</v>
      </c>
      <c r="Q122" s="65">
        <f t="shared" ref="Q122:AB122" si="44">SUM(Q119:Q120)</f>
        <v>0</v>
      </c>
      <c r="R122" s="65">
        <f t="shared" si="44"/>
        <v>0</v>
      </c>
      <c r="S122" s="65">
        <f t="shared" si="44"/>
        <v>0</v>
      </c>
      <c r="T122" s="65">
        <f t="shared" si="44"/>
        <v>0</v>
      </c>
      <c r="U122" s="65">
        <f t="shared" si="44"/>
        <v>0</v>
      </c>
      <c r="V122" s="65">
        <f t="shared" si="44"/>
        <v>0</v>
      </c>
      <c r="W122" s="65">
        <f t="shared" si="44"/>
        <v>0</v>
      </c>
      <c r="X122" s="65">
        <f t="shared" si="44"/>
        <v>0</v>
      </c>
      <c r="Y122" s="65">
        <f t="shared" si="44"/>
        <v>0</v>
      </c>
      <c r="Z122" s="65">
        <f t="shared" si="44"/>
        <v>0</v>
      </c>
      <c r="AA122" s="65">
        <f t="shared" si="44"/>
        <v>0</v>
      </c>
      <c r="AB122" s="65">
        <f t="shared" si="44"/>
        <v>0</v>
      </c>
      <c r="AC122" s="65">
        <f>SUM(AC119:AC120)</f>
        <v>0</v>
      </c>
      <c r="AD122" s="65">
        <f>SUM(AD119:AD120)</f>
        <v>0</v>
      </c>
      <c r="AE122" s="65">
        <f>SUM(AE119:AE120)</f>
        <v>0</v>
      </c>
      <c r="AF122" s="64">
        <f>SUM(H122:AE122)</f>
        <v>0</v>
      </c>
      <c r="AG122" s="59" t="str">
        <f>IF(ABS(AF122-F122)&lt;1,"ok","err")</f>
        <v>ok</v>
      </c>
    </row>
    <row r="123" spans="1:33">
      <c r="A123" s="61" t="s">
        <v>620</v>
      </c>
      <c r="B123" s="61"/>
      <c r="C123" s="45" t="s">
        <v>991</v>
      </c>
      <c r="D123" s="45" t="s">
        <v>894</v>
      </c>
      <c r="F123" s="77">
        <v>6724404</v>
      </c>
      <c r="H123" s="64">
        <f t="shared" ref="H123:AE123" si="45">IF(VLOOKUP($D123,$C$6:$AE$653,H$2,)=0,0,((VLOOKUP($D123,$C$6:$AE$653,H$2,)/VLOOKUP($D123,$C$6:$AE$653,4,))*$F123))</f>
        <v>0</v>
      </c>
      <c r="I123" s="64">
        <f t="shared" si="45"/>
        <v>0</v>
      </c>
      <c r="J123" s="64">
        <f t="shared" si="45"/>
        <v>0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0</v>
      </c>
      <c r="O123" s="64">
        <f t="shared" si="45"/>
        <v>0</v>
      </c>
      <c r="P123" s="64">
        <f t="shared" si="45"/>
        <v>0</v>
      </c>
      <c r="Q123" s="64">
        <f t="shared" si="45"/>
        <v>0</v>
      </c>
      <c r="R123" s="64">
        <f t="shared" si="45"/>
        <v>0</v>
      </c>
      <c r="S123" s="64">
        <f t="shared" si="45"/>
        <v>0</v>
      </c>
      <c r="T123" s="64">
        <f t="shared" si="45"/>
        <v>2047604.4992636524</v>
      </c>
      <c r="U123" s="64">
        <f t="shared" si="45"/>
        <v>3258499.7866005809</v>
      </c>
      <c r="V123" s="64">
        <f t="shared" si="45"/>
        <v>562894.17177705024</v>
      </c>
      <c r="W123" s="64">
        <f t="shared" si="45"/>
        <v>855405.54235871695</v>
      </c>
      <c r="X123" s="64">
        <f t="shared" si="45"/>
        <v>0</v>
      </c>
      <c r="Y123" s="64">
        <f t="shared" si="45"/>
        <v>0</v>
      </c>
      <c r="Z123" s="64">
        <f t="shared" si="45"/>
        <v>0</v>
      </c>
      <c r="AA123" s="64">
        <f t="shared" si="45"/>
        <v>0</v>
      </c>
      <c r="AB123" s="64">
        <f t="shared" si="45"/>
        <v>0</v>
      </c>
      <c r="AC123" s="64">
        <f t="shared" si="45"/>
        <v>0</v>
      </c>
      <c r="AD123" s="64">
        <f t="shared" si="45"/>
        <v>0</v>
      </c>
      <c r="AE123" s="64">
        <f t="shared" si="45"/>
        <v>0</v>
      </c>
      <c r="AF123" s="64">
        <f>SUM(H123:AE123)</f>
        <v>6724404</v>
      </c>
      <c r="AG123" s="59" t="str">
        <f>IF(ABS(AF123-F123)&lt;1,"ok","err")</f>
        <v>ok</v>
      </c>
    </row>
    <row r="124" spans="1:33">
      <c r="A124" s="61" t="s">
        <v>713</v>
      </c>
      <c r="B124" s="61"/>
      <c r="F124" s="7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</row>
    <row r="125" spans="1:33">
      <c r="A125" s="69" t="s">
        <v>1174</v>
      </c>
      <c r="B125" s="61"/>
      <c r="C125" s="45" t="s">
        <v>621</v>
      </c>
      <c r="D125" s="45" t="s">
        <v>969</v>
      </c>
      <c r="F125" s="77">
        <v>546457652.46541476</v>
      </c>
      <c r="H125" s="64">
        <f t="shared" ref="H125:Q128" si="46">IF(VLOOKUP($D125,$C$6:$AE$653,H$2,)=0,0,((VLOOKUP($D125,$C$6:$AE$653,H$2,)/VLOOKUP($D125,$C$6:$AE$653,4,))*$F125))</f>
        <v>105311485.38207415</v>
      </c>
      <c r="I125" s="64">
        <f t="shared" si="46"/>
        <v>110320446.55686076</v>
      </c>
      <c r="J125" s="64">
        <f t="shared" si="46"/>
        <v>90683035.06691727</v>
      </c>
      <c r="K125" s="64">
        <f t="shared" si="46"/>
        <v>0</v>
      </c>
      <c r="L125" s="64">
        <f t="shared" si="46"/>
        <v>0</v>
      </c>
      <c r="M125" s="64">
        <f t="shared" si="46"/>
        <v>0</v>
      </c>
      <c r="N125" s="64">
        <f t="shared" si="46"/>
        <v>58748585.688625254</v>
      </c>
      <c r="O125" s="64">
        <f t="shared" si="46"/>
        <v>0</v>
      </c>
      <c r="P125" s="64">
        <f t="shared" si="46"/>
        <v>0</v>
      </c>
      <c r="Q125" s="64">
        <f t="shared" si="46"/>
        <v>0</v>
      </c>
      <c r="R125" s="64">
        <f t="shared" ref="R125:AE128" si="47">IF(VLOOKUP($D125,$C$6:$AE$653,R$2,)=0,0,((VLOOKUP($D125,$C$6:$AE$653,R$2,)/VLOOKUP($D125,$C$6:$AE$653,4,))*$F125))</f>
        <v>20323821.654758576</v>
      </c>
      <c r="S125" s="64">
        <f t="shared" si="47"/>
        <v>0</v>
      </c>
      <c r="T125" s="64">
        <f t="shared" si="47"/>
        <v>34755825.539142154</v>
      </c>
      <c r="U125" s="64">
        <f t="shared" si="47"/>
        <v>55309436.047414765</v>
      </c>
      <c r="V125" s="64">
        <f t="shared" si="47"/>
        <v>9554507.0536417123</v>
      </c>
      <c r="W125" s="64">
        <f t="shared" si="47"/>
        <v>14519564.596642707</v>
      </c>
      <c r="X125" s="64">
        <f t="shared" si="47"/>
        <v>13207211.400183087</v>
      </c>
      <c r="Y125" s="64">
        <f t="shared" si="47"/>
        <v>9236494.3836572822</v>
      </c>
      <c r="Z125" s="64">
        <f t="shared" si="47"/>
        <v>4587015.8116150228</v>
      </c>
      <c r="AA125" s="64">
        <f t="shared" si="47"/>
        <v>5320810.2172641251</v>
      </c>
      <c r="AB125" s="64">
        <f t="shared" si="47"/>
        <v>14579413.066617891</v>
      </c>
      <c r="AC125" s="64">
        <f t="shared" si="47"/>
        <v>0</v>
      </c>
      <c r="AD125" s="64">
        <f t="shared" si="47"/>
        <v>0</v>
      </c>
      <c r="AE125" s="64">
        <f t="shared" si="47"/>
        <v>0</v>
      </c>
      <c r="AF125" s="64">
        <f>SUM(H125:AE125)</f>
        <v>546457652.46541488</v>
      </c>
      <c r="AG125" s="59" t="str">
        <f>IF(ABS(AF125-F125)&lt;1,"ok","err")</f>
        <v>ok</v>
      </c>
    </row>
    <row r="126" spans="1:33" s="61" customFormat="1">
      <c r="A126" s="69" t="s">
        <v>1175</v>
      </c>
      <c r="C126" s="61" t="s">
        <v>621</v>
      </c>
      <c r="D126" s="61" t="s">
        <v>969</v>
      </c>
      <c r="F126" s="77">
        <v>0</v>
      </c>
      <c r="H126" s="80">
        <f t="shared" si="46"/>
        <v>0</v>
      </c>
      <c r="I126" s="80">
        <f t="shared" si="46"/>
        <v>0</v>
      </c>
      <c r="J126" s="80">
        <f t="shared" si="46"/>
        <v>0</v>
      </c>
      <c r="K126" s="80">
        <f t="shared" si="46"/>
        <v>0</v>
      </c>
      <c r="L126" s="80">
        <f t="shared" si="46"/>
        <v>0</v>
      </c>
      <c r="M126" s="80">
        <f t="shared" si="46"/>
        <v>0</v>
      </c>
      <c r="N126" s="80">
        <f t="shared" si="46"/>
        <v>0</v>
      </c>
      <c r="O126" s="80">
        <f t="shared" si="46"/>
        <v>0</v>
      </c>
      <c r="P126" s="80">
        <f t="shared" si="46"/>
        <v>0</v>
      </c>
      <c r="Q126" s="80">
        <f t="shared" si="46"/>
        <v>0</v>
      </c>
      <c r="R126" s="80">
        <f t="shared" si="47"/>
        <v>0</v>
      </c>
      <c r="S126" s="80">
        <f t="shared" si="47"/>
        <v>0</v>
      </c>
      <c r="T126" s="80">
        <f t="shared" si="47"/>
        <v>0</v>
      </c>
      <c r="U126" s="80">
        <f t="shared" si="47"/>
        <v>0</v>
      </c>
      <c r="V126" s="80">
        <f t="shared" si="47"/>
        <v>0</v>
      </c>
      <c r="W126" s="80">
        <f t="shared" si="47"/>
        <v>0</v>
      </c>
      <c r="X126" s="80">
        <f t="shared" si="47"/>
        <v>0</v>
      </c>
      <c r="Y126" s="80">
        <f t="shared" si="47"/>
        <v>0</v>
      </c>
      <c r="Z126" s="80">
        <f t="shared" si="47"/>
        <v>0</v>
      </c>
      <c r="AA126" s="80">
        <f t="shared" si="47"/>
        <v>0</v>
      </c>
      <c r="AB126" s="80">
        <f t="shared" si="47"/>
        <v>0</v>
      </c>
      <c r="AC126" s="80">
        <f t="shared" si="47"/>
        <v>0</v>
      </c>
      <c r="AD126" s="80">
        <f t="shared" si="47"/>
        <v>0</v>
      </c>
      <c r="AE126" s="80">
        <f t="shared" si="47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 t="s">
        <v>1176</v>
      </c>
      <c r="C127" s="61" t="s">
        <v>621</v>
      </c>
      <c r="D127" s="61" t="s">
        <v>969</v>
      </c>
      <c r="F127" s="77">
        <v>0</v>
      </c>
      <c r="H127" s="80">
        <f t="shared" si="46"/>
        <v>0</v>
      </c>
      <c r="I127" s="80">
        <f t="shared" si="46"/>
        <v>0</v>
      </c>
      <c r="J127" s="80">
        <f t="shared" si="46"/>
        <v>0</v>
      </c>
      <c r="K127" s="80">
        <f t="shared" si="46"/>
        <v>0</v>
      </c>
      <c r="L127" s="80">
        <f t="shared" si="46"/>
        <v>0</v>
      </c>
      <c r="M127" s="80">
        <f t="shared" si="46"/>
        <v>0</v>
      </c>
      <c r="N127" s="80">
        <f t="shared" si="46"/>
        <v>0</v>
      </c>
      <c r="O127" s="80">
        <f t="shared" si="46"/>
        <v>0</v>
      </c>
      <c r="P127" s="80">
        <f t="shared" si="46"/>
        <v>0</v>
      </c>
      <c r="Q127" s="80">
        <f t="shared" si="46"/>
        <v>0</v>
      </c>
      <c r="R127" s="80">
        <f t="shared" si="47"/>
        <v>0</v>
      </c>
      <c r="S127" s="80">
        <f t="shared" si="47"/>
        <v>0</v>
      </c>
      <c r="T127" s="80">
        <f t="shared" si="47"/>
        <v>0</v>
      </c>
      <c r="U127" s="80">
        <f t="shared" si="47"/>
        <v>0</v>
      </c>
      <c r="V127" s="80">
        <f t="shared" si="47"/>
        <v>0</v>
      </c>
      <c r="W127" s="80">
        <f t="shared" si="47"/>
        <v>0</v>
      </c>
      <c r="X127" s="80">
        <f t="shared" si="47"/>
        <v>0</v>
      </c>
      <c r="Y127" s="80">
        <f t="shared" si="47"/>
        <v>0</v>
      </c>
      <c r="Z127" s="80">
        <f t="shared" si="47"/>
        <v>0</v>
      </c>
      <c r="AA127" s="80">
        <f t="shared" si="47"/>
        <v>0</v>
      </c>
      <c r="AB127" s="80">
        <f t="shared" si="47"/>
        <v>0</v>
      </c>
      <c r="AC127" s="80">
        <f t="shared" si="47"/>
        <v>0</v>
      </c>
      <c r="AD127" s="80">
        <f t="shared" si="47"/>
        <v>0</v>
      </c>
      <c r="AE127" s="80">
        <f t="shared" si="47"/>
        <v>0</v>
      </c>
      <c r="AF127" s="80">
        <f>SUM(H127:AE127)</f>
        <v>0</v>
      </c>
      <c r="AG127" s="94" t="str">
        <f>IF(ABS(AF127-F127)&lt;1,"ok","err")</f>
        <v>ok</v>
      </c>
    </row>
    <row r="128" spans="1:33" s="61" customFormat="1">
      <c r="A128" s="69" t="s">
        <v>1177</v>
      </c>
      <c r="C128" s="61" t="s">
        <v>621</v>
      </c>
      <c r="D128" s="61" t="s">
        <v>969</v>
      </c>
      <c r="F128" s="77">
        <v>0</v>
      </c>
      <c r="H128" s="80">
        <f t="shared" si="46"/>
        <v>0</v>
      </c>
      <c r="I128" s="80">
        <f t="shared" si="46"/>
        <v>0</v>
      </c>
      <c r="J128" s="80">
        <f t="shared" si="46"/>
        <v>0</v>
      </c>
      <c r="K128" s="80">
        <f t="shared" si="46"/>
        <v>0</v>
      </c>
      <c r="L128" s="80">
        <f t="shared" si="46"/>
        <v>0</v>
      </c>
      <c r="M128" s="80">
        <f t="shared" si="46"/>
        <v>0</v>
      </c>
      <c r="N128" s="80">
        <f t="shared" si="46"/>
        <v>0</v>
      </c>
      <c r="O128" s="80">
        <f t="shared" si="46"/>
        <v>0</v>
      </c>
      <c r="P128" s="80">
        <f t="shared" si="46"/>
        <v>0</v>
      </c>
      <c r="Q128" s="80">
        <f t="shared" si="46"/>
        <v>0</v>
      </c>
      <c r="R128" s="80">
        <f t="shared" si="47"/>
        <v>0</v>
      </c>
      <c r="S128" s="80">
        <f t="shared" si="47"/>
        <v>0</v>
      </c>
      <c r="T128" s="80">
        <f t="shared" si="47"/>
        <v>0</v>
      </c>
      <c r="U128" s="80">
        <f t="shared" si="47"/>
        <v>0</v>
      </c>
      <c r="V128" s="80">
        <f t="shared" si="47"/>
        <v>0</v>
      </c>
      <c r="W128" s="80">
        <f t="shared" si="47"/>
        <v>0</v>
      </c>
      <c r="X128" s="80">
        <f t="shared" si="47"/>
        <v>0</v>
      </c>
      <c r="Y128" s="80">
        <f t="shared" si="47"/>
        <v>0</v>
      </c>
      <c r="Z128" s="80">
        <f t="shared" si="47"/>
        <v>0</v>
      </c>
      <c r="AA128" s="80">
        <f t="shared" si="47"/>
        <v>0</v>
      </c>
      <c r="AB128" s="80">
        <f t="shared" si="47"/>
        <v>0</v>
      </c>
      <c r="AC128" s="80">
        <f t="shared" si="47"/>
        <v>0</v>
      </c>
      <c r="AD128" s="80">
        <f t="shared" si="47"/>
        <v>0</v>
      </c>
      <c r="AE128" s="80">
        <f t="shared" si="47"/>
        <v>0</v>
      </c>
      <c r="AF128" s="80">
        <f>SUM(H128:AE128)</f>
        <v>0</v>
      </c>
      <c r="AG128" s="94" t="str">
        <f>IF(ABS(AF128-F128)&lt;1,"ok","err")</f>
        <v>ok</v>
      </c>
    </row>
    <row r="129" spans="1:33" s="61" customFormat="1">
      <c r="A129" s="69"/>
      <c r="F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94"/>
    </row>
    <row r="130" spans="1:33">
      <c r="A130" s="61" t="s">
        <v>718</v>
      </c>
      <c r="B130" s="61"/>
      <c r="F130" s="77">
        <f>SUM(F125:F128)</f>
        <v>546457652.46541476</v>
      </c>
      <c r="G130" s="77"/>
      <c r="H130" s="77">
        <f t="shared" ref="H130:AE130" si="48">SUM(H125:H128)</f>
        <v>105311485.38207415</v>
      </c>
      <c r="I130" s="77">
        <f t="shared" si="48"/>
        <v>110320446.55686076</v>
      </c>
      <c r="J130" s="77">
        <f t="shared" si="48"/>
        <v>90683035.06691727</v>
      </c>
      <c r="K130" s="77">
        <f t="shared" si="48"/>
        <v>0</v>
      </c>
      <c r="L130" s="77">
        <f t="shared" si="48"/>
        <v>0</v>
      </c>
      <c r="M130" s="77">
        <f t="shared" si="48"/>
        <v>0</v>
      </c>
      <c r="N130" s="77">
        <f t="shared" si="48"/>
        <v>58748585.688625254</v>
      </c>
      <c r="O130" s="77">
        <f t="shared" si="48"/>
        <v>0</v>
      </c>
      <c r="P130" s="77">
        <f t="shared" si="48"/>
        <v>0</v>
      </c>
      <c r="Q130" s="77">
        <f t="shared" si="48"/>
        <v>0</v>
      </c>
      <c r="R130" s="77">
        <f t="shared" si="48"/>
        <v>20323821.654758576</v>
      </c>
      <c r="S130" s="77">
        <f t="shared" si="48"/>
        <v>0</v>
      </c>
      <c r="T130" s="77">
        <f t="shared" si="48"/>
        <v>34755825.539142154</v>
      </c>
      <c r="U130" s="77">
        <f t="shared" si="48"/>
        <v>55309436.047414765</v>
      </c>
      <c r="V130" s="77">
        <f t="shared" si="48"/>
        <v>9554507.0536417123</v>
      </c>
      <c r="W130" s="77">
        <f t="shared" si="48"/>
        <v>14519564.596642707</v>
      </c>
      <c r="X130" s="77">
        <f t="shared" si="48"/>
        <v>13207211.400183087</v>
      </c>
      <c r="Y130" s="77">
        <f t="shared" si="48"/>
        <v>9236494.3836572822</v>
      </c>
      <c r="Z130" s="77">
        <f t="shared" si="48"/>
        <v>4587015.8116150228</v>
      </c>
      <c r="AA130" s="77">
        <f t="shared" si="48"/>
        <v>5320810.2172641251</v>
      </c>
      <c r="AB130" s="77">
        <f t="shared" si="48"/>
        <v>14579413.066617891</v>
      </c>
      <c r="AC130" s="77">
        <f t="shared" si="48"/>
        <v>0</v>
      </c>
      <c r="AD130" s="77">
        <f t="shared" si="48"/>
        <v>0</v>
      </c>
      <c r="AE130" s="77">
        <f t="shared" si="48"/>
        <v>0</v>
      </c>
      <c r="AF130" s="64">
        <f>SUM(H130:AE130)</f>
        <v>546457652.46541488</v>
      </c>
      <c r="AG130" s="59" t="str">
        <f>IF(ABS(AF130-F130)&lt;1,"ok","err")</f>
        <v>ok</v>
      </c>
    </row>
    <row r="131" spans="1:33">
      <c r="A131" s="61"/>
      <c r="B131" s="61"/>
      <c r="F131" s="77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59"/>
    </row>
    <row r="132" spans="1:33">
      <c r="A132" s="61" t="s">
        <v>719</v>
      </c>
      <c r="B132" s="61"/>
      <c r="F132" s="77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59"/>
    </row>
    <row r="133" spans="1:33">
      <c r="A133" s="69" t="s">
        <v>715</v>
      </c>
      <c r="B133" s="61"/>
      <c r="C133" s="45" t="s">
        <v>621</v>
      </c>
      <c r="D133" s="45" t="s">
        <v>638</v>
      </c>
      <c r="F133" s="77">
        <v>0</v>
      </c>
      <c r="H133" s="64">
        <f t="shared" ref="H133:Q136" si="49">IF(VLOOKUP($D133,$C$6:$AE$653,H$2,)=0,0,((VLOOKUP($D133,$C$6:$AE$653,H$2,)/VLOOKUP($D133,$C$6:$AE$653,4,))*$F133))</f>
        <v>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4">
        <f t="shared" si="49"/>
        <v>0</v>
      </c>
      <c r="R133" s="64">
        <f t="shared" ref="R133:AE136" si="50">IF(VLOOKUP($D133,$C$6:$AE$653,R$2,)=0,0,((VLOOKUP($D133,$C$6:$AE$653,R$2,)/VLOOKUP($D133,$C$6:$AE$653,4,))*$F133))</f>
        <v>0</v>
      </c>
      <c r="S133" s="64">
        <f t="shared" si="50"/>
        <v>0</v>
      </c>
      <c r="T133" s="64">
        <f t="shared" si="50"/>
        <v>0</v>
      </c>
      <c r="U133" s="64">
        <f t="shared" si="50"/>
        <v>0</v>
      </c>
      <c r="V133" s="64">
        <f t="shared" si="50"/>
        <v>0</v>
      </c>
      <c r="W133" s="64">
        <f t="shared" si="50"/>
        <v>0</v>
      </c>
      <c r="X133" s="64">
        <f t="shared" si="50"/>
        <v>0</v>
      </c>
      <c r="Y133" s="64">
        <f t="shared" si="50"/>
        <v>0</v>
      </c>
      <c r="Z133" s="64">
        <f t="shared" si="50"/>
        <v>0</v>
      </c>
      <c r="AA133" s="64">
        <f t="shared" si="50"/>
        <v>0</v>
      </c>
      <c r="AB133" s="64">
        <f t="shared" si="50"/>
        <v>0</v>
      </c>
      <c r="AC133" s="64">
        <f t="shared" si="50"/>
        <v>0</v>
      </c>
      <c r="AD133" s="64">
        <f t="shared" si="50"/>
        <v>0</v>
      </c>
      <c r="AE133" s="64">
        <f t="shared" si="50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714</v>
      </c>
      <c r="B134" s="61"/>
      <c r="C134" s="45" t="s">
        <v>621</v>
      </c>
      <c r="D134" s="45" t="s">
        <v>1170</v>
      </c>
      <c r="F134" s="80">
        <v>0</v>
      </c>
      <c r="H134" s="64">
        <f t="shared" si="49"/>
        <v>0</v>
      </c>
      <c r="I134" s="64">
        <f t="shared" si="49"/>
        <v>0</v>
      </c>
      <c r="J134" s="64">
        <f t="shared" si="49"/>
        <v>0</v>
      </c>
      <c r="K134" s="64">
        <f t="shared" si="49"/>
        <v>0</v>
      </c>
      <c r="L134" s="64">
        <f t="shared" si="49"/>
        <v>0</v>
      </c>
      <c r="M134" s="64">
        <f t="shared" si="49"/>
        <v>0</v>
      </c>
      <c r="N134" s="64">
        <f t="shared" si="49"/>
        <v>0</v>
      </c>
      <c r="O134" s="64">
        <f t="shared" si="49"/>
        <v>0</v>
      </c>
      <c r="P134" s="64">
        <f t="shared" si="49"/>
        <v>0</v>
      </c>
      <c r="Q134" s="64">
        <f t="shared" si="49"/>
        <v>0</v>
      </c>
      <c r="R134" s="64">
        <f t="shared" si="50"/>
        <v>0</v>
      </c>
      <c r="S134" s="64">
        <f t="shared" si="50"/>
        <v>0</v>
      </c>
      <c r="T134" s="64">
        <f t="shared" si="50"/>
        <v>0</v>
      </c>
      <c r="U134" s="64">
        <f t="shared" si="50"/>
        <v>0</v>
      </c>
      <c r="V134" s="64">
        <f t="shared" si="50"/>
        <v>0</v>
      </c>
      <c r="W134" s="64">
        <f t="shared" si="50"/>
        <v>0</v>
      </c>
      <c r="X134" s="64">
        <f t="shared" si="50"/>
        <v>0</v>
      </c>
      <c r="Y134" s="64">
        <f t="shared" si="50"/>
        <v>0</v>
      </c>
      <c r="Z134" s="64">
        <f t="shared" si="50"/>
        <v>0</v>
      </c>
      <c r="AA134" s="64">
        <f t="shared" si="50"/>
        <v>0</v>
      </c>
      <c r="AB134" s="64">
        <f t="shared" si="50"/>
        <v>0</v>
      </c>
      <c r="AC134" s="64">
        <f t="shared" si="50"/>
        <v>0</v>
      </c>
      <c r="AD134" s="64">
        <f t="shared" si="50"/>
        <v>0</v>
      </c>
      <c r="AE134" s="64">
        <f t="shared" si="50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 t="s">
        <v>716</v>
      </c>
      <c r="B135" s="61"/>
      <c r="C135" s="45" t="s">
        <v>621</v>
      </c>
      <c r="D135" s="45" t="s">
        <v>944</v>
      </c>
      <c r="F135" s="80">
        <v>0</v>
      </c>
      <c r="H135" s="64">
        <f t="shared" si="49"/>
        <v>0</v>
      </c>
      <c r="I135" s="64">
        <f t="shared" si="49"/>
        <v>0</v>
      </c>
      <c r="J135" s="64">
        <f t="shared" si="49"/>
        <v>0</v>
      </c>
      <c r="K135" s="64">
        <f t="shared" si="49"/>
        <v>0</v>
      </c>
      <c r="L135" s="64">
        <f t="shared" si="49"/>
        <v>0</v>
      </c>
      <c r="M135" s="64">
        <f t="shared" si="49"/>
        <v>0</v>
      </c>
      <c r="N135" s="64">
        <f t="shared" si="49"/>
        <v>0</v>
      </c>
      <c r="O135" s="64">
        <f t="shared" si="49"/>
        <v>0</v>
      </c>
      <c r="P135" s="64">
        <f t="shared" si="49"/>
        <v>0</v>
      </c>
      <c r="Q135" s="64">
        <f t="shared" si="49"/>
        <v>0</v>
      </c>
      <c r="R135" s="64">
        <f t="shared" si="50"/>
        <v>0</v>
      </c>
      <c r="S135" s="64">
        <f t="shared" si="50"/>
        <v>0</v>
      </c>
      <c r="T135" s="64">
        <f t="shared" si="50"/>
        <v>0</v>
      </c>
      <c r="U135" s="64">
        <f t="shared" si="50"/>
        <v>0</v>
      </c>
      <c r="V135" s="64">
        <f t="shared" si="50"/>
        <v>0</v>
      </c>
      <c r="W135" s="64">
        <f t="shared" si="50"/>
        <v>0</v>
      </c>
      <c r="X135" s="64">
        <f t="shared" si="50"/>
        <v>0</v>
      </c>
      <c r="Y135" s="64">
        <f t="shared" si="50"/>
        <v>0</v>
      </c>
      <c r="Z135" s="64">
        <f t="shared" si="50"/>
        <v>0</v>
      </c>
      <c r="AA135" s="64">
        <f t="shared" si="50"/>
        <v>0</v>
      </c>
      <c r="AB135" s="64">
        <f t="shared" si="50"/>
        <v>0</v>
      </c>
      <c r="AC135" s="64">
        <f t="shared" si="50"/>
        <v>0</v>
      </c>
      <c r="AD135" s="64">
        <f t="shared" si="50"/>
        <v>0</v>
      </c>
      <c r="AE135" s="64">
        <f t="shared" si="50"/>
        <v>0</v>
      </c>
      <c r="AF135" s="64">
        <f>SUM(H135:AE135)</f>
        <v>0</v>
      </c>
      <c r="AG135" s="59" t="str">
        <f>IF(ABS(AF135-F135)&lt;1,"ok","err")</f>
        <v>ok</v>
      </c>
    </row>
    <row r="136" spans="1:33">
      <c r="A136" s="69" t="s">
        <v>717</v>
      </c>
      <c r="B136" s="61"/>
      <c r="C136" s="45" t="s">
        <v>621</v>
      </c>
      <c r="D136" s="45" t="s">
        <v>1172</v>
      </c>
      <c r="F136" s="80">
        <v>0</v>
      </c>
      <c r="H136" s="64">
        <f t="shared" si="49"/>
        <v>0</v>
      </c>
      <c r="I136" s="64">
        <f t="shared" si="49"/>
        <v>0</v>
      </c>
      <c r="J136" s="64">
        <f t="shared" si="49"/>
        <v>0</v>
      </c>
      <c r="K136" s="64">
        <f t="shared" si="49"/>
        <v>0</v>
      </c>
      <c r="L136" s="64">
        <f t="shared" si="49"/>
        <v>0</v>
      </c>
      <c r="M136" s="64">
        <f t="shared" si="49"/>
        <v>0</v>
      </c>
      <c r="N136" s="64">
        <f t="shared" si="49"/>
        <v>0</v>
      </c>
      <c r="O136" s="64">
        <f t="shared" si="49"/>
        <v>0</v>
      </c>
      <c r="P136" s="64">
        <f t="shared" si="49"/>
        <v>0</v>
      </c>
      <c r="Q136" s="64">
        <f t="shared" si="49"/>
        <v>0</v>
      </c>
      <c r="R136" s="64">
        <f t="shared" si="50"/>
        <v>0</v>
      </c>
      <c r="S136" s="64">
        <f t="shared" si="50"/>
        <v>0</v>
      </c>
      <c r="T136" s="64">
        <f t="shared" si="50"/>
        <v>0</v>
      </c>
      <c r="U136" s="64">
        <f t="shared" si="50"/>
        <v>0</v>
      </c>
      <c r="V136" s="64">
        <f t="shared" si="50"/>
        <v>0</v>
      </c>
      <c r="W136" s="64">
        <f t="shared" si="50"/>
        <v>0</v>
      </c>
      <c r="X136" s="64">
        <f t="shared" si="50"/>
        <v>0</v>
      </c>
      <c r="Y136" s="64">
        <f t="shared" si="50"/>
        <v>0</v>
      </c>
      <c r="Z136" s="64">
        <f t="shared" si="50"/>
        <v>0</v>
      </c>
      <c r="AA136" s="64">
        <f t="shared" si="50"/>
        <v>0</v>
      </c>
      <c r="AB136" s="64">
        <f t="shared" si="50"/>
        <v>0</v>
      </c>
      <c r="AC136" s="64">
        <f t="shared" si="50"/>
        <v>0</v>
      </c>
      <c r="AD136" s="64">
        <f t="shared" si="50"/>
        <v>0</v>
      </c>
      <c r="AE136" s="64">
        <f t="shared" si="50"/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>
      <c r="A138" s="61" t="s">
        <v>720</v>
      </c>
      <c r="B138" s="61"/>
      <c r="F138" s="77">
        <f>SUM(F133:F136)</f>
        <v>0</v>
      </c>
      <c r="H138" s="63">
        <f t="shared" ref="H138:M138" si="51">SUM(H133:H136)</f>
        <v>0</v>
      </c>
      <c r="I138" s="63">
        <f t="shared" si="51"/>
        <v>0</v>
      </c>
      <c r="J138" s="63">
        <f t="shared" si="51"/>
        <v>0</v>
      </c>
      <c r="K138" s="63">
        <f t="shared" si="51"/>
        <v>0</v>
      </c>
      <c r="L138" s="63">
        <f t="shared" si="51"/>
        <v>0</v>
      </c>
      <c r="M138" s="63">
        <f t="shared" si="51"/>
        <v>0</v>
      </c>
      <c r="N138" s="63">
        <f>SUM(N133:N136)</f>
        <v>0</v>
      </c>
      <c r="O138" s="63">
        <f>SUM(O133:O136)</f>
        <v>0</v>
      </c>
      <c r="P138" s="63">
        <f>SUM(P133:P136)</f>
        <v>0</v>
      </c>
      <c r="Q138" s="63">
        <f t="shared" ref="Q138:AB138" si="52">SUM(Q133:Q136)</f>
        <v>0</v>
      </c>
      <c r="R138" s="63">
        <f t="shared" si="52"/>
        <v>0</v>
      </c>
      <c r="S138" s="63">
        <f t="shared" si="52"/>
        <v>0</v>
      </c>
      <c r="T138" s="63">
        <f t="shared" si="52"/>
        <v>0</v>
      </c>
      <c r="U138" s="63">
        <f t="shared" si="52"/>
        <v>0</v>
      </c>
      <c r="V138" s="63">
        <f t="shared" si="52"/>
        <v>0</v>
      </c>
      <c r="W138" s="63">
        <f t="shared" si="52"/>
        <v>0</v>
      </c>
      <c r="X138" s="63">
        <f t="shared" si="52"/>
        <v>0</v>
      </c>
      <c r="Y138" s="63">
        <f t="shared" si="52"/>
        <v>0</v>
      </c>
      <c r="Z138" s="63">
        <f t="shared" si="52"/>
        <v>0</v>
      </c>
      <c r="AA138" s="63">
        <f t="shared" si="52"/>
        <v>0</v>
      </c>
      <c r="AB138" s="63">
        <f t="shared" si="52"/>
        <v>0</v>
      </c>
      <c r="AC138" s="63">
        <f>SUM(AC133:AC136)</f>
        <v>0</v>
      </c>
      <c r="AD138" s="63">
        <f>SUM(AD133:AD136)</f>
        <v>0</v>
      </c>
      <c r="AE138" s="63">
        <f>SUM(AE133:AE136)</f>
        <v>0</v>
      </c>
      <c r="AF138" s="64">
        <f>SUM(H138:AE138)</f>
        <v>0</v>
      </c>
      <c r="AG138" s="59" t="str">
        <f>IF(ABS(AF138-F138)&lt;1,"ok","err")</f>
        <v>ok</v>
      </c>
    </row>
    <row r="139" spans="1:33">
      <c r="A139" s="69"/>
      <c r="B139" s="61"/>
      <c r="F139" s="7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</row>
    <row r="140" spans="1:33" ht="15">
      <c r="A140" s="66" t="s">
        <v>992</v>
      </c>
      <c r="B140" s="61"/>
      <c r="C140" s="45" t="s">
        <v>993</v>
      </c>
      <c r="F140" s="81">
        <f>F109+F116+F122-F123-F130-F138</f>
        <v>2380933927.2415085</v>
      </c>
      <c r="G140" s="65"/>
      <c r="H140" s="65">
        <f t="shared" ref="H140:M140" si="53">H98-H107+H116+H122-H123-H130-H138</f>
        <v>449333292.60367596</v>
      </c>
      <c r="I140" s="65">
        <f t="shared" si="53"/>
        <v>470705064.24876517</v>
      </c>
      <c r="J140" s="65">
        <f t="shared" si="53"/>
        <v>386917975.58529532</v>
      </c>
      <c r="K140" s="65">
        <f t="shared" si="53"/>
        <v>51365920.441896409</v>
      </c>
      <c r="L140" s="65">
        <f t="shared" si="53"/>
        <v>0</v>
      </c>
      <c r="M140" s="65">
        <f t="shared" si="53"/>
        <v>0</v>
      </c>
      <c r="N140" s="65">
        <f>N98-N107+N116+N122-N123-N130-N138</f>
        <v>251904274.24505213</v>
      </c>
      <c r="O140" s="65">
        <f>O98-O107+O116+O122-O123-O130-O138</f>
        <v>0</v>
      </c>
      <c r="P140" s="65">
        <f>P98-P107+P116+P122-P123-P130-P138</f>
        <v>0</v>
      </c>
      <c r="Q140" s="65">
        <f t="shared" ref="Q140:AB140" si="54">Q98-Q107+Q116+Q122-Q123-Q130-Q138</f>
        <v>0</v>
      </c>
      <c r="R140" s="65">
        <f t="shared" si="54"/>
        <v>86725893.898189053</v>
      </c>
      <c r="S140" s="65">
        <f t="shared" si="54"/>
        <v>0</v>
      </c>
      <c r="T140" s="65">
        <f t="shared" si="54"/>
        <v>146289689.97734636</v>
      </c>
      <c r="U140" s="65">
        <f t="shared" si="54"/>
        <v>232639811.01835001</v>
      </c>
      <c r="V140" s="65">
        <f t="shared" si="54"/>
        <v>40320469.646722771</v>
      </c>
      <c r="W140" s="65">
        <f t="shared" si="54"/>
        <v>61244171.692112058</v>
      </c>
      <c r="X140" s="65">
        <f t="shared" si="54"/>
        <v>55853390.849211715</v>
      </c>
      <c r="Y140" s="65">
        <f t="shared" si="54"/>
        <v>39061200.374199145</v>
      </c>
      <c r="Z140" s="65">
        <f t="shared" si="54"/>
        <v>19387335.002084535</v>
      </c>
      <c r="AA140" s="65">
        <f t="shared" si="54"/>
        <v>24509218.578202888</v>
      </c>
      <c r="AB140" s="65">
        <f t="shared" si="54"/>
        <v>61664819.905362248</v>
      </c>
      <c r="AC140" s="65">
        <f>AC98-AC107+AC116+AC122-AC123-AC130-AC138</f>
        <v>2471535.7794325519</v>
      </c>
      <c r="AD140" s="65">
        <f>AD98-AD107+AD116+AD122-AD123-AD130-AD138</f>
        <v>539863.39561039058</v>
      </c>
      <c r="AE140" s="65">
        <f>AE98-AE107+AE116+AE122-AE123-AE130-AE138</f>
        <v>0</v>
      </c>
      <c r="AF140" s="64">
        <f>SUM(H140:AE140)</f>
        <v>2380933927.2415085</v>
      </c>
      <c r="AG140" s="59" t="str">
        <f>IF(ABS(AF140-F140)&lt;1,"ok","err")</f>
        <v>ok</v>
      </c>
    </row>
    <row r="141" spans="1:33">
      <c r="A141" s="61"/>
      <c r="W141" s="45"/>
      <c r="AG141" s="59"/>
    </row>
    <row r="142" spans="1:33">
      <c r="A142" s="61"/>
      <c r="W142" s="45"/>
      <c r="AG142" s="59"/>
    </row>
    <row r="143" spans="1:33" ht="15">
      <c r="A143" s="60" t="s">
        <v>984</v>
      </c>
      <c r="W143" s="45"/>
      <c r="AG143" s="59"/>
    </row>
    <row r="144" spans="1:33" ht="15">
      <c r="A144" s="60"/>
      <c r="W144" s="45"/>
      <c r="AG144" s="59"/>
    </row>
    <row r="145" spans="1:33" ht="15">
      <c r="A145" s="66" t="s">
        <v>217</v>
      </c>
      <c r="W145" s="45"/>
      <c r="AG145" s="59"/>
    </row>
    <row r="146" spans="1:33">
      <c r="A146" s="61">
        <v>500</v>
      </c>
      <c r="B146" s="45" t="s">
        <v>209</v>
      </c>
      <c r="C146" s="45" t="s">
        <v>210</v>
      </c>
      <c r="D146" s="45" t="s">
        <v>651</v>
      </c>
      <c r="F146" s="77">
        <v>4922985</v>
      </c>
      <c r="H146" s="64">
        <f t="shared" ref="H146:Q153" si="55">IF(VLOOKUP($D146,$C$6:$AE$653,H$2,)=0,0,((VLOOKUP($D146,$C$6:$AE$653,H$2,)/VLOOKUP($D146,$C$6:$AE$653,4,))*$F146))</f>
        <v>1431481.1577938998</v>
      </c>
      <c r="I146" s="64">
        <f t="shared" si="55"/>
        <v>1499567.1174194273</v>
      </c>
      <c r="J146" s="64">
        <f t="shared" si="55"/>
        <v>1232639.1139475054</v>
      </c>
      <c r="K146" s="64">
        <f t="shared" si="55"/>
        <v>759297.61083916796</v>
      </c>
      <c r="L146" s="64">
        <f t="shared" si="55"/>
        <v>0</v>
      </c>
      <c r="M146" s="64">
        <f t="shared" si="55"/>
        <v>0</v>
      </c>
      <c r="N146" s="64">
        <f t="shared" si="55"/>
        <v>0</v>
      </c>
      <c r="O146" s="64">
        <f t="shared" si="55"/>
        <v>0</v>
      </c>
      <c r="P146" s="64">
        <f t="shared" si="55"/>
        <v>0</v>
      </c>
      <c r="Q146" s="64">
        <f t="shared" si="55"/>
        <v>0</v>
      </c>
      <c r="R146" s="64">
        <f t="shared" ref="R146:AE153" si="56">IF(VLOOKUP($D146,$C$6:$AE$653,R$2,)=0,0,((VLOOKUP($D146,$C$6:$AE$653,R$2,)/VLOOKUP($D146,$C$6:$AE$653,4,))*$F146))</f>
        <v>0</v>
      </c>
      <c r="S146" s="64">
        <f t="shared" si="56"/>
        <v>0</v>
      </c>
      <c r="T146" s="64">
        <f t="shared" si="56"/>
        <v>0</v>
      </c>
      <c r="U146" s="64">
        <f t="shared" si="56"/>
        <v>0</v>
      </c>
      <c r="V146" s="64">
        <f t="shared" si="56"/>
        <v>0</v>
      </c>
      <c r="W146" s="64">
        <f t="shared" si="56"/>
        <v>0</v>
      </c>
      <c r="X146" s="64">
        <f t="shared" si="56"/>
        <v>0</v>
      </c>
      <c r="Y146" s="64">
        <f t="shared" si="56"/>
        <v>0</v>
      </c>
      <c r="Z146" s="64">
        <f t="shared" si="56"/>
        <v>0</v>
      </c>
      <c r="AA146" s="64">
        <f t="shared" si="56"/>
        <v>0</v>
      </c>
      <c r="AB146" s="64">
        <f t="shared" si="56"/>
        <v>0</v>
      </c>
      <c r="AC146" s="64">
        <f t="shared" si="56"/>
        <v>0</v>
      </c>
      <c r="AD146" s="64">
        <f t="shared" si="56"/>
        <v>0</v>
      </c>
      <c r="AE146" s="64">
        <f t="shared" si="56"/>
        <v>0</v>
      </c>
      <c r="AF146" s="64">
        <f t="shared" ref="AF146:AF153" si="57">SUM(H146:AE146)</f>
        <v>4922985</v>
      </c>
      <c r="AG146" s="59" t="str">
        <f t="shared" ref="AG146:AG153" si="58">IF(ABS(AF146-F146)&lt;1,"ok","err")</f>
        <v>ok</v>
      </c>
    </row>
    <row r="147" spans="1:33">
      <c r="A147" s="288">
        <v>501</v>
      </c>
      <c r="B147" s="45" t="s">
        <v>211</v>
      </c>
      <c r="C147" s="45" t="s">
        <v>212</v>
      </c>
      <c r="D147" s="45" t="s">
        <v>939</v>
      </c>
      <c r="F147" s="80">
        <v>293912722.25944227</v>
      </c>
      <c r="H147" s="64">
        <f t="shared" si="55"/>
        <v>0</v>
      </c>
      <c r="I147" s="64">
        <f t="shared" si="55"/>
        <v>0</v>
      </c>
      <c r="J147" s="64">
        <f t="shared" si="55"/>
        <v>0</v>
      </c>
      <c r="K147" s="64">
        <f t="shared" si="55"/>
        <v>293912722.25944227</v>
      </c>
      <c r="L147" s="64">
        <f t="shared" si="55"/>
        <v>0</v>
      </c>
      <c r="M147" s="64">
        <f t="shared" si="55"/>
        <v>0</v>
      </c>
      <c r="N147" s="64">
        <f t="shared" si="55"/>
        <v>0</v>
      </c>
      <c r="O147" s="64">
        <f t="shared" si="55"/>
        <v>0</v>
      </c>
      <c r="P147" s="64">
        <f t="shared" si="55"/>
        <v>0</v>
      </c>
      <c r="Q147" s="64">
        <f t="shared" si="55"/>
        <v>0</v>
      </c>
      <c r="R147" s="64">
        <f t="shared" si="56"/>
        <v>0</v>
      </c>
      <c r="S147" s="64">
        <f t="shared" si="56"/>
        <v>0</v>
      </c>
      <c r="T147" s="64">
        <f t="shared" si="56"/>
        <v>0</v>
      </c>
      <c r="U147" s="64">
        <f t="shared" si="56"/>
        <v>0</v>
      </c>
      <c r="V147" s="64">
        <f t="shared" si="56"/>
        <v>0</v>
      </c>
      <c r="W147" s="64">
        <f t="shared" si="56"/>
        <v>0</v>
      </c>
      <c r="X147" s="64">
        <f t="shared" si="56"/>
        <v>0</v>
      </c>
      <c r="Y147" s="64">
        <f t="shared" si="56"/>
        <v>0</v>
      </c>
      <c r="Z147" s="64">
        <f t="shared" si="56"/>
        <v>0</v>
      </c>
      <c r="AA147" s="64">
        <f t="shared" si="56"/>
        <v>0</v>
      </c>
      <c r="AB147" s="64">
        <f t="shared" si="56"/>
        <v>0</v>
      </c>
      <c r="AC147" s="64">
        <f t="shared" si="56"/>
        <v>0</v>
      </c>
      <c r="AD147" s="64">
        <f t="shared" si="56"/>
        <v>0</v>
      </c>
      <c r="AE147" s="64">
        <f t="shared" si="56"/>
        <v>0</v>
      </c>
      <c r="AF147" s="64">
        <f t="shared" si="57"/>
        <v>293912722.25944227</v>
      </c>
      <c r="AG147" s="59" t="str">
        <f t="shared" si="58"/>
        <v>ok</v>
      </c>
    </row>
    <row r="148" spans="1:33">
      <c r="A148" s="61">
        <v>502</v>
      </c>
      <c r="B148" s="45" t="s">
        <v>213</v>
      </c>
      <c r="C148" s="45" t="s">
        <v>214</v>
      </c>
      <c r="D148" s="45" t="s">
        <v>646</v>
      </c>
      <c r="F148" s="80">
        <v>18526106.452221252</v>
      </c>
      <c r="H148" s="64">
        <f t="shared" si="55"/>
        <v>6369299.5739009185</v>
      </c>
      <c r="I148" s="64">
        <f t="shared" si="55"/>
        <v>6672244.4441637117</v>
      </c>
      <c r="J148" s="64">
        <f t="shared" si="55"/>
        <v>5484562.4341566218</v>
      </c>
      <c r="K148" s="64">
        <f t="shared" si="55"/>
        <v>0</v>
      </c>
      <c r="L148" s="64">
        <f t="shared" si="55"/>
        <v>0</v>
      </c>
      <c r="M148" s="64">
        <f t="shared" si="55"/>
        <v>0</v>
      </c>
      <c r="N148" s="64">
        <f t="shared" si="55"/>
        <v>0</v>
      </c>
      <c r="O148" s="64">
        <f t="shared" si="55"/>
        <v>0</v>
      </c>
      <c r="P148" s="64">
        <f t="shared" si="55"/>
        <v>0</v>
      </c>
      <c r="Q148" s="64">
        <f t="shared" si="55"/>
        <v>0</v>
      </c>
      <c r="R148" s="64">
        <f t="shared" si="56"/>
        <v>0</v>
      </c>
      <c r="S148" s="64">
        <f t="shared" si="56"/>
        <v>0</v>
      </c>
      <c r="T148" s="64">
        <f t="shared" si="56"/>
        <v>0</v>
      </c>
      <c r="U148" s="64">
        <f t="shared" si="56"/>
        <v>0</v>
      </c>
      <c r="V148" s="64">
        <f t="shared" si="56"/>
        <v>0</v>
      </c>
      <c r="W148" s="64">
        <f t="shared" si="56"/>
        <v>0</v>
      </c>
      <c r="X148" s="64">
        <f t="shared" si="56"/>
        <v>0</v>
      </c>
      <c r="Y148" s="64">
        <f t="shared" si="56"/>
        <v>0</v>
      </c>
      <c r="Z148" s="64">
        <f t="shared" si="56"/>
        <v>0</v>
      </c>
      <c r="AA148" s="64">
        <f t="shared" si="56"/>
        <v>0</v>
      </c>
      <c r="AB148" s="64">
        <f t="shared" si="56"/>
        <v>0</v>
      </c>
      <c r="AC148" s="64">
        <f t="shared" si="56"/>
        <v>0</v>
      </c>
      <c r="AD148" s="64">
        <f t="shared" si="56"/>
        <v>0</v>
      </c>
      <c r="AE148" s="64">
        <f t="shared" si="56"/>
        <v>0</v>
      </c>
      <c r="AF148" s="64">
        <f t="shared" si="57"/>
        <v>18526106.452221252</v>
      </c>
      <c r="AG148" s="59" t="str">
        <f t="shared" si="58"/>
        <v>ok</v>
      </c>
    </row>
    <row r="149" spans="1:33">
      <c r="A149" s="61">
        <v>504</v>
      </c>
      <c r="B149" s="61" t="s">
        <v>1300</v>
      </c>
      <c r="C149" s="45" t="s">
        <v>1298</v>
      </c>
      <c r="D149" s="45" t="s">
        <v>646</v>
      </c>
      <c r="F149" s="80">
        <v>0</v>
      </c>
      <c r="H149" s="64">
        <f t="shared" si="55"/>
        <v>0</v>
      </c>
      <c r="I149" s="64">
        <f t="shared" si="55"/>
        <v>0</v>
      </c>
      <c r="J149" s="64">
        <f t="shared" si="55"/>
        <v>0</v>
      </c>
      <c r="K149" s="64">
        <f t="shared" si="55"/>
        <v>0</v>
      </c>
      <c r="L149" s="64">
        <f t="shared" si="55"/>
        <v>0</v>
      </c>
      <c r="M149" s="64">
        <f t="shared" si="55"/>
        <v>0</v>
      </c>
      <c r="N149" s="64">
        <f t="shared" si="55"/>
        <v>0</v>
      </c>
      <c r="O149" s="64">
        <f t="shared" si="55"/>
        <v>0</v>
      </c>
      <c r="P149" s="64">
        <f t="shared" si="55"/>
        <v>0</v>
      </c>
      <c r="Q149" s="64">
        <f t="shared" si="55"/>
        <v>0</v>
      </c>
      <c r="R149" s="64">
        <f t="shared" si="56"/>
        <v>0</v>
      </c>
      <c r="S149" s="64">
        <f t="shared" si="56"/>
        <v>0</v>
      </c>
      <c r="T149" s="64">
        <f t="shared" si="56"/>
        <v>0</v>
      </c>
      <c r="U149" s="64">
        <f t="shared" si="56"/>
        <v>0</v>
      </c>
      <c r="V149" s="64">
        <f t="shared" si="56"/>
        <v>0</v>
      </c>
      <c r="W149" s="64">
        <f t="shared" si="56"/>
        <v>0</v>
      </c>
      <c r="X149" s="64">
        <f t="shared" si="56"/>
        <v>0</v>
      </c>
      <c r="Y149" s="64">
        <f t="shared" si="56"/>
        <v>0</v>
      </c>
      <c r="Z149" s="64">
        <f t="shared" si="56"/>
        <v>0</v>
      </c>
      <c r="AA149" s="64">
        <f t="shared" si="56"/>
        <v>0</v>
      </c>
      <c r="AB149" s="64">
        <f t="shared" si="56"/>
        <v>0</v>
      </c>
      <c r="AC149" s="64">
        <f t="shared" si="56"/>
        <v>0</v>
      </c>
      <c r="AD149" s="64">
        <f t="shared" si="56"/>
        <v>0</v>
      </c>
      <c r="AE149" s="64">
        <f t="shared" si="56"/>
        <v>0</v>
      </c>
      <c r="AF149" s="64">
        <f>SUM(H149:AE149)</f>
        <v>0</v>
      </c>
      <c r="AG149" s="59" t="str">
        <f>IF(ABS(AF149-F149)&lt;1,"ok","err")</f>
        <v>ok</v>
      </c>
    </row>
    <row r="150" spans="1:33">
      <c r="A150" s="61">
        <v>505</v>
      </c>
      <c r="B150" s="45" t="s">
        <v>215</v>
      </c>
      <c r="C150" s="45" t="s">
        <v>216</v>
      </c>
      <c r="D150" s="45" t="s">
        <v>646</v>
      </c>
      <c r="F150" s="80">
        <v>2617219</v>
      </c>
      <c r="H150" s="64">
        <f t="shared" si="55"/>
        <v>899803.30753776373</v>
      </c>
      <c r="I150" s="64">
        <f t="shared" si="55"/>
        <v>942600.91708670661</v>
      </c>
      <c r="J150" s="64">
        <f t="shared" si="55"/>
        <v>774814.77537552966</v>
      </c>
      <c r="K150" s="64">
        <f t="shared" si="55"/>
        <v>0</v>
      </c>
      <c r="L150" s="64">
        <f t="shared" si="55"/>
        <v>0</v>
      </c>
      <c r="M150" s="64">
        <f t="shared" si="55"/>
        <v>0</v>
      </c>
      <c r="N150" s="64">
        <f t="shared" si="55"/>
        <v>0</v>
      </c>
      <c r="O150" s="64">
        <f t="shared" si="55"/>
        <v>0</v>
      </c>
      <c r="P150" s="64">
        <f t="shared" si="55"/>
        <v>0</v>
      </c>
      <c r="Q150" s="64">
        <f t="shared" si="55"/>
        <v>0</v>
      </c>
      <c r="R150" s="64">
        <f t="shared" si="56"/>
        <v>0</v>
      </c>
      <c r="S150" s="64">
        <f t="shared" si="56"/>
        <v>0</v>
      </c>
      <c r="T150" s="64">
        <f t="shared" si="56"/>
        <v>0</v>
      </c>
      <c r="U150" s="64">
        <f t="shared" si="56"/>
        <v>0</v>
      </c>
      <c r="V150" s="64">
        <f t="shared" si="56"/>
        <v>0</v>
      </c>
      <c r="W150" s="64">
        <f t="shared" si="56"/>
        <v>0</v>
      </c>
      <c r="X150" s="64">
        <f t="shared" si="56"/>
        <v>0</v>
      </c>
      <c r="Y150" s="64">
        <f t="shared" si="56"/>
        <v>0</v>
      </c>
      <c r="Z150" s="64">
        <f t="shared" si="56"/>
        <v>0</v>
      </c>
      <c r="AA150" s="64">
        <f t="shared" si="56"/>
        <v>0</v>
      </c>
      <c r="AB150" s="64">
        <f t="shared" si="56"/>
        <v>0</v>
      </c>
      <c r="AC150" s="64">
        <f t="shared" si="56"/>
        <v>0</v>
      </c>
      <c r="AD150" s="64">
        <f t="shared" si="56"/>
        <v>0</v>
      </c>
      <c r="AE150" s="64">
        <f t="shared" si="56"/>
        <v>0</v>
      </c>
      <c r="AF150" s="64">
        <f t="shared" si="57"/>
        <v>2617219</v>
      </c>
      <c r="AG150" s="59" t="str">
        <f t="shared" si="58"/>
        <v>ok</v>
      </c>
    </row>
    <row r="151" spans="1:33">
      <c r="A151" s="61">
        <v>506</v>
      </c>
      <c r="B151" s="45" t="s">
        <v>218</v>
      </c>
      <c r="C151" s="45" t="s">
        <v>219</v>
      </c>
      <c r="D151" s="45" t="s">
        <v>646</v>
      </c>
      <c r="F151" s="80">
        <v>9946164.9999999795</v>
      </c>
      <c r="H151" s="64">
        <f t="shared" si="55"/>
        <v>3419504.5062397621</v>
      </c>
      <c r="I151" s="64">
        <f t="shared" si="55"/>
        <v>3582147.4055077867</v>
      </c>
      <c r="J151" s="64">
        <f t="shared" si="55"/>
        <v>2944513.0882524308</v>
      </c>
      <c r="K151" s="64">
        <f t="shared" si="55"/>
        <v>0</v>
      </c>
      <c r="L151" s="64">
        <f t="shared" si="55"/>
        <v>0</v>
      </c>
      <c r="M151" s="64">
        <f t="shared" si="55"/>
        <v>0</v>
      </c>
      <c r="N151" s="64">
        <f t="shared" si="55"/>
        <v>0</v>
      </c>
      <c r="O151" s="64">
        <f t="shared" si="55"/>
        <v>0</v>
      </c>
      <c r="P151" s="64">
        <f t="shared" si="55"/>
        <v>0</v>
      </c>
      <c r="Q151" s="64">
        <f t="shared" si="55"/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64">
        <f t="shared" si="56"/>
        <v>0</v>
      </c>
      <c r="X151" s="64">
        <f t="shared" si="56"/>
        <v>0</v>
      </c>
      <c r="Y151" s="64">
        <f t="shared" si="56"/>
        <v>0</v>
      </c>
      <c r="Z151" s="64">
        <f t="shared" si="56"/>
        <v>0</v>
      </c>
      <c r="AA151" s="64">
        <f t="shared" si="56"/>
        <v>0</v>
      </c>
      <c r="AB151" s="64">
        <f t="shared" si="56"/>
        <v>0</v>
      </c>
      <c r="AC151" s="64">
        <f t="shared" si="56"/>
        <v>0</v>
      </c>
      <c r="AD151" s="64">
        <f t="shared" si="56"/>
        <v>0</v>
      </c>
      <c r="AE151" s="64">
        <f t="shared" si="56"/>
        <v>0</v>
      </c>
      <c r="AF151" s="64">
        <f t="shared" si="57"/>
        <v>9946164.9999999795</v>
      </c>
      <c r="AG151" s="59" t="str">
        <f t="shared" si="58"/>
        <v>ok</v>
      </c>
    </row>
    <row r="152" spans="1:33">
      <c r="A152" s="61">
        <v>507</v>
      </c>
      <c r="B152" s="45" t="s">
        <v>1013</v>
      </c>
      <c r="C152" s="45" t="s">
        <v>343</v>
      </c>
      <c r="D152" s="45" t="s">
        <v>646</v>
      </c>
      <c r="F152" s="80"/>
      <c r="H152" s="64">
        <f t="shared" si="55"/>
        <v>0</v>
      </c>
      <c r="I152" s="64">
        <f t="shared" si="55"/>
        <v>0</v>
      </c>
      <c r="J152" s="64">
        <f t="shared" si="55"/>
        <v>0</v>
      </c>
      <c r="K152" s="64">
        <f t="shared" si="55"/>
        <v>0</v>
      </c>
      <c r="L152" s="64">
        <f t="shared" si="55"/>
        <v>0</v>
      </c>
      <c r="M152" s="64">
        <f t="shared" si="55"/>
        <v>0</v>
      </c>
      <c r="N152" s="64">
        <f t="shared" si="55"/>
        <v>0</v>
      </c>
      <c r="O152" s="64">
        <f t="shared" si="55"/>
        <v>0</v>
      </c>
      <c r="P152" s="64">
        <f t="shared" si="55"/>
        <v>0</v>
      </c>
      <c r="Q152" s="64">
        <f t="shared" si="55"/>
        <v>0</v>
      </c>
      <c r="R152" s="64">
        <f t="shared" si="56"/>
        <v>0</v>
      </c>
      <c r="S152" s="64">
        <f t="shared" si="56"/>
        <v>0</v>
      </c>
      <c r="T152" s="64">
        <f t="shared" si="56"/>
        <v>0</v>
      </c>
      <c r="U152" s="64">
        <f t="shared" si="56"/>
        <v>0</v>
      </c>
      <c r="V152" s="64">
        <f t="shared" si="56"/>
        <v>0</v>
      </c>
      <c r="W152" s="64">
        <f t="shared" si="56"/>
        <v>0</v>
      </c>
      <c r="X152" s="64">
        <f t="shared" si="56"/>
        <v>0</v>
      </c>
      <c r="Y152" s="64">
        <f t="shared" si="56"/>
        <v>0</v>
      </c>
      <c r="Z152" s="64">
        <f t="shared" si="56"/>
        <v>0</v>
      </c>
      <c r="AA152" s="64">
        <f t="shared" si="56"/>
        <v>0</v>
      </c>
      <c r="AB152" s="64">
        <f t="shared" si="56"/>
        <v>0</v>
      </c>
      <c r="AC152" s="64">
        <f t="shared" si="56"/>
        <v>0</v>
      </c>
      <c r="AD152" s="64">
        <f t="shared" si="56"/>
        <v>0</v>
      </c>
      <c r="AE152" s="64">
        <f t="shared" si="56"/>
        <v>0</v>
      </c>
      <c r="AF152" s="64">
        <f>SUM(H152:AE152)</f>
        <v>0</v>
      </c>
      <c r="AG152" s="59" t="str">
        <f t="shared" si="58"/>
        <v>ok</v>
      </c>
    </row>
    <row r="153" spans="1:33">
      <c r="A153" s="61">
        <v>509</v>
      </c>
      <c r="B153" s="45" t="s">
        <v>595</v>
      </c>
      <c r="C153" s="45" t="s">
        <v>594</v>
      </c>
      <c r="D153" s="45" t="s">
        <v>646</v>
      </c>
      <c r="F153" s="80">
        <v>0</v>
      </c>
      <c r="H153" s="64">
        <f t="shared" si="55"/>
        <v>0</v>
      </c>
      <c r="I153" s="64">
        <f t="shared" si="55"/>
        <v>0</v>
      </c>
      <c r="J153" s="64">
        <f t="shared" si="55"/>
        <v>0</v>
      </c>
      <c r="K153" s="64">
        <f t="shared" si="55"/>
        <v>0</v>
      </c>
      <c r="L153" s="64">
        <f t="shared" si="55"/>
        <v>0</v>
      </c>
      <c r="M153" s="64">
        <f t="shared" si="55"/>
        <v>0</v>
      </c>
      <c r="N153" s="64">
        <f t="shared" si="55"/>
        <v>0</v>
      </c>
      <c r="O153" s="64">
        <f t="shared" si="55"/>
        <v>0</v>
      </c>
      <c r="P153" s="64">
        <f t="shared" si="55"/>
        <v>0</v>
      </c>
      <c r="Q153" s="64">
        <f t="shared" si="55"/>
        <v>0</v>
      </c>
      <c r="R153" s="64">
        <f t="shared" si="56"/>
        <v>0</v>
      </c>
      <c r="S153" s="64">
        <f t="shared" si="56"/>
        <v>0</v>
      </c>
      <c r="T153" s="64">
        <f t="shared" si="56"/>
        <v>0</v>
      </c>
      <c r="U153" s="64">
        <f t="shared" si="56"/>
        <v>0</v>
      </c>
      <c r="V153" s="64">
        <f t="shared" si="56"/>
        <v>0</v>
      </c>
      <c r="W153" s="64">
        <f t="shared" si="56"/>
        <v>0</v>
      </c>
      <c r="X153" s="64">
        <f t="shared" si="56"/>
        <v>0</v>
      </c>
      <c r="Y153" s="64">
        <f t="shared" si="56"/>
        <v>0</v>
      </c>
      <c r="Z153" s="64">
        <f t="shared" si="56"/>
        <v>0</v>
      </c>
      <c r="AA153" s="64">
        <f t="shared" si="56"/>
        <v>0</v>
      </c>
      <c r="AB153" s="64">
        <f t="shared" si="56"/>
        <v>0</v>
      </c>
      <c r="AC153" s="64">
        <f t="shared" si="56"/>
        <v>0</v>
      </c>
      <c r="AD153" s="64">
        <f t="shared" si="56"/>
        <v>0</v>
      </c>
      <c r="AE153" s="64">
        <f t="shared" si="56"/>
        <v>0</v>
      </c>
      <c r="AF153" s="64">
        <f t="shared" si="57"/>
        <v>0</v>
      </c>
      <c r="AG153" s="59" t="str">
        <f t="shared" si="58"/>
        <v>ok</v>
      </c>
    </row>
    <row r="154" spans="1:33">
      <c r="A154" s="61"/>
      <c r="F154" s="77"/>
      <c r="W154" s="45"/>
      <c r="AG154" s="59"/>
    </row>
    <row r="155" spans="1:33">
      <c r="A155" s="61"/>
      <c r="B155" s="45" t="s">
        <v>220</v>
      </c>
      <c r="F155" s="77">
        <f>SUM(F146:F154)</f>
        <v>329925197.71166354</v>
      </c>
      <c r="H155" s="63">
        <f>SUM(H146:H154)</f>
        <v>12120088.545472344</v>
      </c>
      <c r="I155" s="63">
        <f t="shared" ref="I155:AF155" si="59">SUM(I146:I154)</f>
        <v>12696559.884177633</v>
      </c>
      <c r="J155" s="63">
        <f t="shared" si="59"/>
        <v>10436529.411732087</v>
      </c>
      <c r="K155" s="63">
        <f t="shared" si="59"/>
        <v>294672019.87028146</v>
      </c>
      <c r="L155" s="63">
        <f t="shared" si="59"/>
        <v>0</v>
      </c>
      <c r="M155" s="63">
        <f t="shared" si="59"/>
        <v>0</v>
      </c>
      <c r="N155" s="63">
        <f t="shared" si="59"/>
        <v>0</v>
      </c>
      <c r="O155" s="63">
        <f>SUM(O146:O154)</f>
        <v>0</v>
      </c>
      <c r="P155" s="63">
        <f>SUM(P146:P154)</f>
        <v>0</v>
      </c>
      <c r="Q155" s="63">
        <f t="shared" si="59"/>
        <v>0</v>
      </c>
      <c r="R155" s="63">
        <f t="shared" si="59"/>
        <v>0</v>
      </c>
      <c r="S155" s="63">
        <f t="shared" si="59"/>
        <v>0</v>
      </c>
      <c r="T155" s="63">
        <f t="shared" si="59"/>
        <v>0</v>
      </c>
      <c r="U155" s="63">
        <f>SUM(U146:U154)</f>
        <v>0</v>
      </c>
      <c r="V155" s="63">
        <f>SUM(V146:V154)</f>
        <v>0</v>
      </c>
      <c r="W155" s="63">
        <f>SUM(W146:W154)</f>
        <v>0</v>
      </c>
      <c r="X155" s="63">
        <f t="shared" si="59"/>
        <v>0</v>
      </c>
      <c r="Y155" s="63">
        <f t="shared" si="59"/>
        <v>0</v>
      </c>
      <c r="Z155" s="63">
        <f>SUM(Z146:Z154)</f>
        <v>0</v>
      </c>
      <c r="AA155" s="63">
        <f>SUM(AA146:AA154)</f>
        <v>0</v>
      </c>
      <c r="AB155" s="63">
        <f t="shared" si="59"/>
        <v>0</v>
      </c>
      <c r="AC155" s="63">
        <f t="shared" si="59"/>
        <v>0</v>
      </c>
      <c r="AD155" s="63">
        <f t="shared" si="59"/>
        <v>0</v>
      </c>
      <c r="AE155" s="63">
        <f t="shared" si="59"/>
        <v>0</v>
      </c>
      <c r="AF155" s="63">
        <f t="shared" si="59"/>
        <v>329925197.71166354</v>
      </c>
      <c r="AG155" s="59" t="str">
        <f>IF(ABS(AF155-F155)&lt;1,"ok","err")</f>
        <v>ok</v>
      </c>
    </row>
    <row r="156" spans="1:33">
      <c r="A156" s="61"/>
      <c r="F156" s="77"/>
      <c r="W156" s="45"/>
      <c r="AG156" s="59"/>
    </row>
    <row r="157" spans="1:33" ht="15">
      <c r="A157" s="66" t="s">
        <v>221</v>
      </c>
      <c r="F157" s="77"/>
      <c r="W157" s="45"/>
      <c r="AG157" s="59"/>
    </row>
    <row r="158" spans="1:33">
      <c r="A158" s="61">
        <v>510</v>
      </c>
      <c r="B158" s="45" t="s">
        <v>224</v>
      </c>
      <c r="C158" s="45" t="s">
        <v>222</v>
      </c>
      <c r="D158" s="45" t="s">
        <v>87</v>
      </c>
      <c r="F158" s="77">
        <v>4351844.9999999981</v>
      </c>
      <c r="H158" s="64">
        <f t="shared" ref="H158:Q162" si="60">IF(VLOOKUP($D158,$C$6:$AE$653,H$2,)=0,0,((VLOOKUP($D158,$C$6:$AE$653,H$2,)/VLOOKUP($D158,$C$6:$AE$653,4,))*$F158))</f>
        <v>0</v>
      </c>
      <c r="I158" s="64">
        <f t="shared" si="60"/>
        <v>0</v>
      </c>
      <c r="J158" s="64">
        <f t="shared" si="60"/>
        <v>0</v>
      </c>
      <c r="K158" s="64">
        <f t="shared" si="60"/>
        <v>4351844.9999999981</v>
      </c>
      <c r="L158" s="64">
        <f t="shared" si="60"/>
        <v>0</v>
      </c>
      <c r="M158" s="64">
        <f t="shared" si="60"/>
        <v>0</v>
      </c>
      <c r="N158" s="64">
        <f t="shared" si="60"/>
        <v>0</v>
      </c>
      <c r="O158" s="64">
        <f t="shared" si="60"/>
        <v>0</v>
      </c>
      <c r="P158" s="64">
        <f t="shared" si="60"/>
        <v>0</v>
      </c>
      <c r="Q158" s="64">
        <f t="shared" si="60"/>
        <v>0</v>
      </c>
      <c r="R158" s="64">
        <f t="shared" ref="R158:AE162" si="61">IF(VLOOKUP($D158,$C$6:$AE$653,R$2,)=0,0,((VLOOKUP($D158,$C$6:$AE$653,R$2,)/VLOOKUP($D158,$C$6:$AE$653,4,))*$F158))</f>
        <v>0</v>
      </c>
      <c r="S158" s="64">
        <f t="shared" si="61"/>
        <v>0</v>
      </c>
      <c r="T158" s="64">
        <f t="shared" si="61"/>
        <v>0</v>
      </c>
      <c r="U158" s="64">
        <f t="shared" si="61"/>
        <v>0</v>
      </c>
      <c r="V158" s="64">
        <f t="shared" si="61"/>
        <v>0</v>
      </c>
      <c r="W158" s="64">
        <f t="shared" si="61"/>
        <v>0</v>
      </c>
      <c r="X158" s="64">
        <f t="shared" si="61"/>
        <v>0</v>
      </c>
      <c r="Y158" s="64">
        <f t="shared" si="61"/>
        <v>0</v>
      </c>
      <c r="Z158" s="64">
        <f t="shared" si="61"/>
        <v>0</v>
      </c>
      <c r="AA158" s="64">
        <f t="shared" si="61"/>
        <v>0</v>
      </c>
      <c r="AB158" s="64">
        <f t="shared" si="61"/>
        <v>0</v>
      </c>
      <c r="AC158" s="64">
        <f t="shared" si="61"/>
        <v>0</v>
      </c>
      <c r="AD158" s="64">
        <f t="shared" si="61"/>
        <v>0</v>
      </c>
      <c r="AE158" s="64">
        <f t="shared" si="61"/>
        <v>0</v>
      </c>
      <c r="AF158" s="64">
        <f>SUM(H158:AE158)</f>
        <v>4351844.9999999981</v>
      </c>
      <c r="AG158" s="59" t="str">
        <f>IF(ABS(AF158-F158)&lt;1,"ok","err")</f>
        <v>ok</v>
      </c>
    </row>
    <row r="159" spans="1:33">
      <c r="A159" s="61">
        <v>511</v>
      </c>
      <c r="B159" s="45" t="s">
        <v>223</v>
      </c>
      <c r="C159" s="45" t="s">
        <v>225</v>
      </c>
      <c r="D159" s="45" t="s">
        <v>646</v>
      </c>
      <c r="F159" s="80">
        <v>4128300.9999999902</v>
      </c>
      <c r="H159" s="64">
        <f t="shared" si="60"/>
        <v>1419315.2710229633</v>
      </c>
      <c r="I159" s="64">
        <f t="shared" si="60"/>
        <v>1486822.5809953078</v>
      </c>
      <c r="J159" s="64">
        <f t="shared" si="60"/>
        <v>1222163.1479817191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1"/>
        <v>0</v>
      </c>
      <c r="S159" s="64">
        <f t="shared" si="61"/>
        <v>0</v>
      </c>
      <c r="T159" s="64">
        <f t="shared" si="61"/>
        <v>0</v>
      </c>
      <c r="U159" s="64">
        <f t="shared" si="61"/>
        <v>0</v>
      </c>
      <c r="V159" s="64">
        <f t="shared" si="61"/>
        <v>0</v>
      </c>
      <c r="W159" s="64">
        <f t="shared" si="61"/>
        <v>0</v>
      </c>
      <c r="X159" s="64">
        <f t="shared" si="61"/>
        <v>0</v>
      </c>
      <c r="Y159" s="64">
        <f t="shared" si="61"/>
        <v>0</v>
      </c>
      <c r="Z159" s="64">
        <f t="shared" si="61"/>
        <v>0</v>
      </c>
      <c r="AA159" s="64">
        <f t="shared" si="61"/>
        <v>0</v>
      </c>
      <c r="AB159" s="64">
        <f t="shared" si="61"/>
        <v>0</v>
      </c>
      <c r="AC159" s="64">
        <f t="shared" si="61"/>
        <v>0</v>
      </c>
      <c r="AD159" s="64">
        <f t="shared" si="61"/>
        <v>0</v>
      </c>
      <c r="AE159" s="64">
        <f t="shared" si="61"/>
        <v>0</v>
      </c>
      <c r="AF159" s="64">
        <f>SUM(H159:AE159)</f>
        <v>4128300.9999999902</v>
      </c>
      <c r="AG159" s="59" t="str">
        <f>IF(ABS(AF159-F159)&lt;1,"ok","err")</f>
        <v>ok</v>
      </c>
    </row>
    <row r="160" spans="1:33">
      <c r="A160" s="61">
        <v>512</v>
      </c>
      <c r="B160" s="45" t="s">
        <v>226</v>
      </c>
      <c r="C160" s="45" t="s">
        <v>228</v>
      </c>
      <c r="D160" s="45" t="s">
        <v>939</v>
      </c>
      <c r="F160" s="80">
        <v>34257480.999999993</v>
      </c>
      <c r="H160" s="64">
        <f t="shared" si="60"/>
        <v>0</v>
      </c>
      <c r="I160" s="64">
        <f t="shared" si="60"/>
        <v>0</v>
      </c>
      <c r="J160" s="64">
        <f t="shared" si="60"/>
        <v>0</v>
      </c>
      <c r="K160" s="64">
        <f t="shared" si="60"/>
        <v>34257480.999999993</v>
      </c>
      <c r="L160" s="64">
        <f t="shared" si="60"/>
        <v>0</v>
      </c>
      <c r="M160" s="64">
        <f t="shared" si="60"/>
        <v>0</v>
      </c>
      <c r="N160" s="64">
        <f t="shared" si="60"/>
        <v>0</v>
      </c>
      <c r="O160" s="64">
        <f t="shared" si="60"/>
        <v>0</v>
      </c>
      <c r="P160" s="64">
        <f t="shared" si="60"/>
        <v>0</v>
      </c>
      <c r="Q160" s="64">
        <f t="shared" si="60"/>
        <v>0</v>
      </c>
      <c r="R160" s="64">
        <f t="shared" si="61"/>
        <v>0</v>
      </c>
      <c r="S160" s="64">
        <f t="shared" si="61"/>
        <v>0</v>
      </c>
      <c r="T160" s="64">
        <f t="shared" si="61"/>
        <v>0</v>
      </c>
      <c r="U160" s="64">
        <f t="shared" si="61"/>
        <v>0</v>
      </c>
      <c r="V160" s="64">
        <f t="shared" si="61"/>
        <v>0</v>
      </c>
      <c r="W160" s="64">
        <f t="shared" si="61"/>
        <v>0</v>
      </c>
      <c r="X160" s="64">
        <f t="shared" si="61"/>
        <v>0</v>
      </c>
      <c r="Y160" s="64">
        <f t="shared" si="61"/>
        <v>0</v>
      </c>
      <c r="Z160" s="64">
        <f t="shared" si="61"/>
        <v>0</v>
      </c>
      <c r="AA160" s="64">
        <f t="shared" si="61"/>
        <v>0</v>
      </c>
      <c r="AB160" s="64">
        <f t="shared" si="61"/>
        <v>0</v>
      </c>
      <c r="AC160" s="64">
        <f t="shared" si="61"/>
        <v>0</v>
      </c>
      <c r="AD160" s="64">
        <f t="shared" si="61"/>
        <v>0</v>
      </c>
      <c r="AE160" s="64">
        <f t="shared" si="61"/>
        <v>0</v>
      </c>
      <c r="AF160" s="64">
        <f>SUM(H160:AE160)</f>
        <v>34257480.999999993</v>
      </c>
      <c r="AG160" s="59" t="str">
        <f>IF(ABS(AF160-F160)&lt;1,"ok","err")</f>
        <v>ok</v>
      </c>
    </row>
    <row r="161" spans="1:33">
      <c r="A161" s="61">
        <v>513</v>
      </c>
      <c r="B161" s="45" t="s">
        <v>227</v>
      </c>
      <c r="C161" s="45" t="s">
        <v>229</v>
      </c>
      <c r="D161" s="45" t="s">
        <v>939</v>
      </c>
      <c r="F161" s="80">
        <v>15421014</v>
      </c>
      <c r="H161" s="64">
        <f t="shared" si="60"/>
        <v>0</v>
      </c>
      <c r="I161" s="64">
        <f t="shared" si="60"/>
        <v>0</v>
      </c>
      <c r="J161" s="64">
        <f t="shared" si="60"/>
        <v>0</v>
      </c>
      <c r="K161" s="64">
        <f t="shared" si="60"/>
        <v>15421014</v>
      </c>
      <c r="L161" s="64">
        <f t="shared" si="60"/>
        <v>0</v>
      </c>
      <c r="M161" s="64">
        <f t="shared" si="60"/>
        <v>0</v>
      </c>
      <c r="N161" s="64">
        <f t="shared" si="60"/>
        <v>0</v>
      </c>
      <c r="O161" s="64">
        <f t="shared" si="60"/>
        <v>0</v>
      </c>
      <c r="P161" s="64">
        <f t="shared" si="60"/>
        <v>0</v>
      </c>
      <c r="Q161" s="64">
        <f t="shared" si="60"/>
        <v>0</v>
      </c>
      <c r="R161" s="64">
        <f t="shared" si="61"/>
        <v>0</v>
      </c>
      <c r="S161" s="64">
        <f t="shared" si="61"/>
        <v>0</v>
      </c>
      <c r="T161" s="64">
        <f t="shared" si="61"/>
        <v>0</v>
      </c>
      <c r="U161" s="64">
        <f t="shared" si="61"/>
        <v>0</v>
      </c>
      <c r="V161" s="64">
        <f t="shared" si="61"/>
        <v>0</v>
      </c>
      <c r="W161" s="64">
        <f t="shared" si="61"/>
        <v>0</v>
      </c>
      <c r="X161" s="64">
        <f t="shared" si="61"/>
        <v>0</v>
      </c>
      <c r="Y161" s="64">
        <f t="shared" si="61"/>
        <v>0</v>
      </c>
      <c r="Z161" s="64">
        <f t="shared" si="61"/>
        <v>0</v>
      </c>
      <c r="AA161" s="64">
        <f t="shared" si="61"/>
        <v>0</v>
      </c>
      <c r="AB161" s="64">
        <f t="shared" si="61"/>
        <v>0</v>
      </c>
      <c r="AC161" s="64">
        <f t="shared" si="61"/>
        <v>0</v>
      </c>
      <c r="AD161" s="64">
        <f t="shared" si="61"/>
        <v>0</v>
      </c>
      <c r="AE161" s="64">
        <f t="shared" si="61"/>
        <v>0</v>
      </c>
      <c r="AF161" s="64">
        <f>SUM(H161:AE161)</f>
        <v>15421014</v>
      </c>
      <c r="AG161" s="59" t="str">
        <f>IF(ABS(AF161-F161)&lt;1,"ok","err")</f>
        <v>ok</v>
      </c>
    </row>
    <row r="162" spans="1:33">
      <c r="A162" s="61">
        <v>514</v>
      </c>
      <c r="B162" s="45" t="s">
        <v>230</v>
      </c>
      <c r="C162" s="45" t="s">
        <v>231</v>
      </c>
      <c r="D162" s="45" t="s">
        <v>939</v>
      </c>
      <c r="F162" s="80">
        <v>1072820</v>
      </c>
      <c r="H162" s="64">
        <f t="shared" si="60"/>
        <v>0</v>
      </c>
      <c r="I162" s="64">
        <f t="shared" si="60"/>
        <v>0</v>
      </c>
      <c r="J162" s="64">
        <f t="shared" si="60"/>
        <v>0</v>
      </c>
      <c r="K162" s="64">
        <f t="shared" si="60"/>
        <v>1072820</v>
      </c>
      <c r="L162" s="64">
        <f t="shared" si="60"/>
        <v>0</v>
      </c>
      <c r="M162" s="64">
        <f t="shared" si="60"/>
        <v>0</v>
      </c>
      <c r="N162" s="64">
        <f t="shared" si="60"/>
        <v>0</v>
      </c>
      <c r="O162" s="64">
        <f t="shared" si="60"/>
        <v>0</v>
      </c>
      <c r="P162" s="64">
        <f t="shared" si="60"/>
        <v>0</v>
      </c>
      <c r="Q162" s="64">
        <f t="shared" si="60"/>
        <v>0</v>
      </c>
      <c r="R162" s="64">
        <f t="shared" si="61"/>
        <v>0</v>
      </c>
      <c r="S162" s="64">
        <f t="shared" si="61"/>
        <v>0</v>
      </c>
      <c r="T162" s="64">
        <f t="shared" si="61"/>
        <v>0</v>
      </c>
      <c r="U162" s="64">
        <f t="shared" si="61"/>
        <v>0</v>
      </c>
      <c r="V162" s="64">
        <f t="shared" si="61"/>
        <v>0</v>
      </c>
      <c r="W162" s="64">
        <f t="shared" si="61"/>
        <v>0</v>
      </c>
      <c r="X162" s="64">
        <f t="shared" si="61"/>
        <v>0</v>
      </c>
      <c r="Y162" s="64">
        <f t="shared" si="61"/>
        <v>0</v>
      </c>
      <c r="Z162" s="64">
        <f t="shared" si="61"/>
        <v>0</v>
      </c>
      <c r="AA162" s="64">
        <f t="shared" si="61"/>
        <v>0</v>
      </c>
      <c r="AB162" s="64">
        <f t="shared" si="61"/>
        <v>0</v>
      </c>
      <c r="AC162" s="64">
        <f t="shared" si="61"/>
        <v>0</v>
      </c>
      <c r="AD162" s="64">
        <f t="shared" si="61"/>
        <v>0</v>
      </c>
      <c r="AE162" s="64">
        <f t="shared" si="61"/>
        <v>0</v>
      </c>
      <c r="AF162" s="64">
        <f>SUM(H162:AE162)</f>
        <v>1072820</v>
      </c>
      <c r="AG162" s="59" t="str">
        <f>IF(ABS(AF162-F162)&lt;1,"ok","err")</f>
        <v>ok</v>
      </c>
    </row>
    <row r="163" spans="1:33">
      <c r="A163" s="61"/>
      <c r="F163" s="77"/>
      <c r="W163" s="45"/>
      <c r="AF163" s="64"/>
      <c r="AG163" s="59"/>
    </row>
    <row r="164" spans="1:33">
      <c r="A164" s="61"/>
      <c r="B164" s="45" t="s">
        <v>232</v>
      </c>
      <c r="F164" s="77">
        <f>SUM(F158:F163)</f>
        <v>59231460.999999985</v>
      </c>
      <c r="H164" s="63">
        <f t="shared" ref="H164:M164" si="62">SUM(H158:H163)</f>
        <v>1419315.2710229633</v>
      </c>
      <c r="I164" s="63">
        <f t="shared" si="62"/>
        <v>1486822.5809953078</v>
      </c>
      <c r="J164" s="63">
        <f t="shared" si="62"/>
        <v>1222163.1479817191</v>
      </c>
      <c r="K164" s="63">
        <f t="shared" si="62"/>
        <v>55103159.999999993</v>
      </c>
      <c r="L164" s="63">
        <f t="shared" si="62"/>
        <v>0</v>
      </c>
      <c r="M164" s="63">
        <f t="shared" si="62"/>
        <v>0</v>
      </c>
      <c r="N164" s="63">
        <f>SUM(N158:N163)</f>
        <v>0</v>
      </c>
      <c r="O164" s="63">
        <f>SUM(O158:O163)</f>
        <v>0</v>
      </c>
      <c r="P164" s="63">
        <f>SUM(P158:P163)</f>
        <v>0</v>
      </c>
      <c r="Q164" s="63">
        <f t="shared" ref="Q164:AB164" si="63">SUM(Q158:Q163)</f>
        <v>0</v>
      </c>
      <c r="R164" s="63">
        <f t="shared" si="63"/>
        <v>0</v>
      </c>
      <c r="S164" s="63">
        <f t="shared" si="63"/>
        <v>0</v>
      </c>
      <c r="T164" s="63">
        <f t="shared" si="63"/>
        <v>0</v>
      </c>
      <c r="U164" s="63">
        <f t="shared" si="63"/>
        <v>0</v>
      </c>
      <c r="V164" s="63">
        <f t="shared" si="63"/>
        <v>0</v>
      </c>
      <c r="W164" s="63">
        <f t="shared" si="63"/>
        <v>0</v>
      </c>
      <c r="X164" s="63">
        <f t="shared" si="63"/>
        <v>0</v>
      </c>
      <c r="Y164" s="63">
        <f t="shared" si="63"/>
        <v>0</v>
      </c>
      <c r="Z164" s="63">
        <f t="shared" si="63"/>
        <v>0</v>
      </c>
      <c r="AA164" s="63">
        <f t="shared" si="63"/>
        <v>0</v>
      </c>
      <c r="AB164" s="63">
        <f t="shared" si="63"/>
        <v>0</v>
      </c>
      <c r="AC164" s="63">
        <f>SUM(AC158:AC163)</f>
        <v>0</v>
      </c>
      <c r="AD164" s="63">
        <f>SUM(AD158:AD163)</f>
        <v>0</v>
      </c>
      <c r="AE164" s="63">
        <f>SUM(AE158:AE163)</f>
        <v>0</v>
      </c>
      <c r="AF164" s="64">
        <f>SUM(H164:AE164)</f>
        <v>59231460.999999985</v>
      </c>
      <c r="AG164" s="59" t="str">
        <f>IF(ABS(AF164-F164)&lt;1,"ok","err")</f>
        <v>ok</v>
      </c>
    </row>
    <row r="165" spans="1:33">
      <c r="A165" s="61"/>
      <c r="F165" s="7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59"/>
    </row>
    <row r="166" spans="1:33">
      <c r="A166" s="61"/>
      <c r="B166" s="45" t="s">
        <v>233</v>
      </c>
      <c r="F166" s="77">
        <f>F155+F164</f>
        <v>389156658.71166354</v>
      </c>
      <c r="H166" s="63">
        <f t="shared" ref="H166:M166" si="64">H155+H164</f>
        <v>13539403.816495307</v>
      </c>
      <c r="I166" s="63">
        <f t="shared" si="64"/>
        <v>14183382.465172941</v>
      </c>
      <c r="J166" s="63">
        <f t="shared" si="64"/>
        <v>11658692.559713807</v>
      </c>
      <c r="K166" s="63">
        <f t="shared" si="64"/>
        <v>349775179.87028146</v>
      </c>
      <c r="L166" s="63">
        <f t="shared" si="64"/>
        <v>0</v>
      </c>
      <c r="M166" s="63">
        <f t="shared" si="64"/>
        <v>0</v>
      </c>
      <c r="N166" s="63">
        <f>N155+N164</f>
        <v>0</v>
      </c>
      <c r="O166" s="63">
        <f>O155+O164</f>
        <v>0</v>
      </c>
      <c r="P166" s="63">
        <f>P155+P164</f>
        <v>0</v>
      </c>
      <c r="Q166" s="63">
        <f t="shared" ref="Q166:AB166" si="65">Q155+Q164</f>
        <v>0</v>
      </c>
      <c r="R166" s="63">
        <f t="shared" si="65"/>
        <v>0</v>
      </c>
      <c r="S166" s="63">
        <f t="shared" si="65"/>
        <v>0</v>
      </c>
      <c r="T166" s="63">
        <f t="shared" si="65"/>
        <v>0</v>
      </c>
      <c r="U166" s="63">
        <f t="shared" si="65"/>
        <v>0</v>
      </c>
      <c r="V166" s="63">
        <f t="shared" si="65"/>
        <v>0</v>
      </c>
      <c r="W166" s="63">
        <f t="shared" si="65"/>
        <v>0</v>
      </c>
      <c r="X166" s="63">
        <f t="shared" si="65"/>
        <v>0</v>
      </c>
      <c r="Y166" s="63">
        <f t="shared" si="65"/>
        <v>0</v>
      </c>
      <c r="Z166" s="63">
        <f t="shared" si="65"/>
        <v>0</v>
      </c>
      <c r="AA166" s="63">
        <f t="shared" si="65"/>
        <v>0</v>
      </c>
      <c r="AB166" s="63">
        <f t="shared" si="65"/>
        <v>0</v>
      </c>
      <c r="AC166" s="63">
        <f>AC155+AC164</f>
        <v>0</v>
      </c>
      <c r="AD166" s="63">
        <f>AD155+AD164</f>
        <v>0</v>
      </c>
      <c r="AE166" s="63">
        <f>AE155+AE164</f>
        <v>0</v>
      </c>
      <c r="AF166" s="64">
        <f>SUM(H166:AE166)</f>
        <v>389156658.71166348</v>
      </c>
      <c r="AG166" s="59" t="str">
        <f>IF(ABS(AF166-F166)&lt;1,"ok","err")</f>
        <v>ok</v>
      </c>
    </row>
    <row r="167" spans="1:33">
      <c r="A167" s="61"/>
      <c r="F167" s="77"/>
      <c r="W167" s="45"/>
      <c r="AG167" s="59"/>
    </row>
    <row r="168" spans="1:33" ht="15">
      <c r="A168" s="66" t="s">
        <v>320</v>
      </c>
      <c r="W168" s="45"/>
      <c r="AG168" s="59"/>
    </row>
    <row r="169" spans="1:33">
      <c r="A169" s="71">
        <v>535</v>
      </c>
      <c r="B169" s="45" t="s">
        <v>209</v>
      </c>
      <c r="C169" s="45" t="s">
        <v>330</v>
      </c>
      <c r="D169" s="45" t="s">
        <v>652</v>
      </c>
      <c r="F169" s="77">
        <v>121406</v>
      </c>
      <c r="H169" s="64">
        <f t="shared" ref="H169:Q174" si="66">IF(VLOOKUP($D169,$C$6:$AE$653,H$2,)=0,0,((VLOOKUP($D169,$C$6:$AE$653,H$2,)/VLOOKUP($D169,$C$6:$AE$653,4,))*$F169))</f>
        <v>41739.541228659029</v>
      </c>
      <c r="I169" s="64">
        <f t="shared" si="66"/>
        <v>43724.811313011523</v>
      </c>
      <c r="J169" s="64">
        <f t="shared" si="66"/>
        <v>35941.647458329455</v>
      </c>
      <c r="K169" s="64">
        <f t="shared" si="66"/>
        <v>0</v>
      </c>
      <c r="L169" s="64">
        <f t="shared" si="66"/>
        <v>0</v>
      </c>
      <c r="M169" s="64">
        <f t="shared" si="66"/>
        <v>0</v>
      </c>
      <c r="N169" s="64">
        <f t="shared" si="66"/>
        <v>0</v>
      </c>
      <c r="O169" s="64">
        <f t="shared" si="66"/>
        <v>0</v>
      </c>
      <c r="P169" s="64">
        <f t="shared" si="66"/>
        <v>0</v>
      </c>
      <c r="Q169" s="64">
        <f t="shared" si="66"/>
        <v>0</v>
      </c>
      <c r="R169" s="64">
        <f t="shared" ref="R169:AE174" si="67">IF(VLOOKUP($D169,$C$6:$AE$653,R$2,)=0,0,((VLOOKUP($D169,$C$6:$AE$653,R$2,)/VLOOKUP($D169,$C$6:$AE$653,4,))*$F169))</f>
        <v>0</v>
      </c>
      <c r="S169" s="64">
        <f t="shared" si="67"/>
        <v>0</v>
      </c>
      <c r="T169" s="64">
        <f t="shared" si="67"/>
        <v>0</v>
      </c>
      <c r="U169" s="64">
        <f t="shared" si="67"/>
        <v>0</v>
      </c>
      <c r="V169" s="64">
        <f t="shared" si="67"/>
        <v>0</v>
      </c>
      <c r="W169" s="64">
        <f t="shared" si="67"/>
        <v>0</v>
      </c>
      <c r="X169" s="64">
        <f t="shared" si="67"/>
        <v>0</v>
      </c>
      <c r="Y169" s="64">
        <f t="shared" si="67"/>
        <v>0</v>
      </c>
      <c r="Z169" s="64">
        <f t="shared" si="67"/>
        <v>0</v>
      </c>
      <c r="AA169" s="64">
        <f t="shared" si="67"/>
        <v>0</v>
      </c>
      <c r="AB169" s="64">
        <f t="shared" si="67"/>
        <v>0</v>
      </c>
      <c r="AC169" s="64">
        <f t="shared" si="67"/>
        <v>0</v>
      </c>
      <c r="AD169" s="64">
        <f t="shared" si="67"/>
        <v>0</v>
      </c>
      <c r="AE169" s="64">
        <f t="shared" si="67"/>
        <v>0</v>
      </c>
      <c r="AF169" s="64">
        <f t="shared" ref="AF169:AF174" si="68">SUM(H169:AE169)</f>
        <v>121406</v>
      </c>
      <c r="AG169" s="59" t="str">
        <f t="shared" ref="AG169:AG174" si="69">IF(ABS(AF169-F169)&lt;1,"ok","err")</f>
        <v>ok</v>
      </c>
    </row>
    <row r="170" spans="1:33">
      <c r="A170" s="289">
        <v>536</v>
      </c>
      <c r="B170" s="45" t="s">
        <v>327</v>
      </c>
      <c r="C170" s="45" t="s">
        <v>331</v>
      </c>
      <c r="D170" s="45" t="s">
        <v>646</v>
      </c>
      <c r="F170" s="80">
        <v>40614</v>
      </c>
      <c r="H170" s="64">
        <f t="shared" si="66"/>
        <v>13963.146199205621</v>
      </c>
      <c r="I170" s="64">
        <f t="shared" si="66"/>
        <v>14627.279431549099</v>
      </c>
      <c r="J170" s="64">
        <f t="shared" si="66"/>
        <v>12023.57436924528</v>
      </c>
      <c r="K170" s="64">
        <f t="shared" si="66"/>
        <v>0</v>
      </c>
      <c r="L170" s="64">
        <f t="shared" si="66"/>
        <v>0</v>
      </c>
      <c r="M170" s="64">
        <f t="shared" si="66"/>
        <v>0</v>
      </c>
      <c r="N170" s="64">
        <f t="shared" si="66"/>
        <v>0</v>
      </c>
      <c r="O170" s="64">
        <f t="shared" si="66"/>
        <v>0</v>
      </c>
      <c r="P170" s="64">
        <f t="shared" si="66"/>
        <v>0</v>
      </c>
      <c r="Q170" s="64">
        <f t="shared" si="66"/>
        <v>0</v>
      </c>
      <c r="R170" s="64">
        <f t="shared" si="67"/>
        <v>0</v>
      </c>
      <c r="S170" s="64">
        <f t="shared" si="67"/>
        <v>0</v>
      </c>
      <c r="T170" s="64">
        <f t="shared" si="67"/>
        <v>0</v>
      </c>
      <c r="U170" s="64">
        <f t="shared" si="67"/>
        <v>0</v>
      </c>
      <c r="V170" s="64">
        <f t="shared" si="67"/>
        <v>0</v>
      </c>
      <c r="W170" s="64">
        <f t="shared" si="67"/>
        <v>0</v>
      </c>
      <c r="X170" s="64">
        <f t="shared" si="67"/>
        <v>0</v>
      </c>
      <c r="Y170" s="64">
        <f t="shared" si="67"/>
        <v>0</v>
      </c>
      <c r="Z170" s="64">
        <f t="shared" si="67"/>
        <v>0</v>
      </c>
      <c r="AA170" s="64">
        <f t="shared" si="67"/>
        <v>0</v>
      </c>
      <c r="AB170" s="64">
        <f t="shared" si="67"/>
        <v>0</v>
      </c>
      <c r="AC170" s="64">
        <f t="shared" si="67"/>
        <v>0</v>
      </c>
      <c r="AD170" s="64">
        <f t="shared" si="67"/>
        <v>0</v>
      </c>
      <c r="AE170" s="64">
        <f t="shared" si="67"/>
        <v>0</v>
      </c>
      <c r="AF170" s="64">
        <f t="shared" si="68"/>
        <v>40614</v>
      </c>
      <c r="AG170" s="59" t="str">
        <f t="shared" si="69"/>
        <v>ok</v>
      </c>
    </row>
    <row r="171" spans="1:33">
      <c r="A171" s="61">
        <v>537</v>
      </c>
      <c r="B171" s="45" t="s">
        <v>326</v>
      </c>
      <c r="C171" s="45" t="s">
        <v>332</v>
      </c>
      <c r="D171" s="45" t="s">
        <v>646</v>
      </c>
      <c r="F171" s="80">
        <v>0</v>
      </c>
      <c r="H171" s="64">
        <f t="shared" si="66"/>
        <v>0</v>
      </c>
      <c r="I171" s="64">
        <f t="shared" si="66"/>
        <v>0</v>
      </c>
      <c r="J171" s="64">
        <f t="shared" si="66"/>
        <v>0</v>
      </c>
      <c r="K171" s="64">
        <f t="shared" si="66"/>
        <v>0</v>
      </c>
      <c r="L171" s="64">
        <f t="shared" si="66"/>
        <v>0</v>
      </c>
      <c r="M171" s="64">
        <f t="shared" si="66"/>
        <v>0</v>
      </c>
      <c r="N171" s="64">
        <f t="shared" si="66"/>
        <v>0</v>
      </c>
      <c r="O171" s="64">
        <f t="shared" si="66"/>
        <v>0</v>
      </c>
      <c r="P171" s="64">
        <f t="shared" si="66"/>
        <v>0</v>
      </c>
      <c r="Q171" s="64">
        <f t="shared" si="66"/>
        <v>0</v>
      </c>
      <c r="R171" s="64">
        <f t="shared" si="67"/>
        <v>0</v>
      </c>
      <c r="S171" s="64">
        <f t="shared" si="67"/>
        <v>0</v>
      </c>
      <c r="T171" s="64">
        <f t="shared" si="67"/>
        <v>0</v>
      </c>
      <c r="U171" s="64">
        <f t="shared" si="67"/>
        <v>0</v>
      </c>
      <c r="V171" s="64">
        <f t="shared" si="67"/>
        <v>0</v>
      </c>
      <c r="W171" s="64">
        <f t="shared" si="67"/>
        <v>0</v>
      </c>
      <c r="X171" s="64">
        <f t="shared" si="67"/>
        <v>0</v>
      </c>
      <c r="Y171" s="64">
        <f t="shared" si="67"/>
        <v>0</v>
      </c>
      <c r="Z171" s="64">
        <f t="shared" si="67"/>
        <v>0</v>
      </c>
      <c r="AA171" s="64">
        <f t="shared" si="67"/>
        <v>0</v>
      </c>
      <c r="AB171" s="64">
        <f t="shared" si="67"/>
        <v>0</v>
      </c>
      <c r="AC171" s="64">
        <f t="shared" si="67"/>
        <v>0</v>
      </c>
      <c r="AD171" s="64">
        <f t="shared" si="67"/>
        <v>0</v>
      </c>
      <c r="AE171" s="64">
        <f t="shared" si="67"/>
        <v>0</v>
      </c>
      <c r="AF171" s="64">
        <f t="shared" si="68"/>
        <v>0</v>
      </c>
      <c r="AG171" s="59" t="str">
        <f t="shared" si="69"/>
        <v>ok</v>
      </c>
    </row>
    <row r="172" spans="1:33">
      <c r="A172" s="288">
        <v>538</v>
      </c>
      <c r="B172" s="45" t="s">
        <v>215</v>
      </c>
      <c r="C172" s="45" t="s">
        <v>333</v>
      </c>
      <c r="D172" s="45" t="s">
        <v>646</v>
      </c>
      <c r="F172" s="80">
        <v>180161</v>
      </c>
      <c r="H172" s="64">
        <f t="shared" si="66"/>
        <v>61939.586900947557</v>
      </c>
      <c r="I172" s="64">
        <f t="shared" si="66"/>
        <v>64885.63770294276</v>
      </c>
      <c r="J172" s="64">
        <f t="shared" si="66"/>
        <v>53335.775396109682</v>
      </c>
      <c r="K172" s="64">
        <f t="shared" si="66"/>
        <v>0</v>
      </c>
      <c r="L172" s="64">
        <f t="shared" si="66"/>
        <v>0</v>
      </c>
      <c r="M172" s="64">
        <f t="shared" si="66"/>
        <v>0</v>
      </c>
      <c r="N172" s="64">
        <f t="shared" si="66"/>
        <v>0</v>
      </c>
      <c r="O172" s="64">
        <f t="shared" si="66"/>
        <v>0</v>
      </c>
      <c r="P172" s="64">
        <f t="shared" si="66"/>
        <v>0</v>
      </c>
      <c r="Q172" s="64">
        <f t="shared" si="66"/>
        <v>0</v>
      </c>
      <c r="R172" s="64">
        <f t="shared" si="67"/>
        <v>0</v>
      </c>
      <c r="S172" s="64">
        <f t="shared" si="67"/>
        <v>0</v>
      </c>
      <c r="T172" s="64">
        <f t="shared" si="67"/>
        <v>0</v>
      </c>
      <c r="U172" s="64">
        <f t="shared" si="67"/>
        <v>0</v>
      </c>
      <c r="V172" s="64">
        <f t="shared" si="67"/>
        <v>0</v>
      </c>
      <c r="W172" s="64">
        <f t="shared" si="67"/>
        <v>0</v>
      </c>
      <c r="X172" s="64">
        <f t="shared" si="67"/>
        <v>0</v>
      </c>
      <c r="Y172" s="64">
        <f t="shared" si="67"/>
        <v>0</v>
      </c>
      <c r="Z172" s="64">
        <f t="shared" si="67"/>
        <v>0</v>
      </c>
      <c r="AA172" s="64">
        <f t="shared" si="67"/>
        <v>0</v>
      </c>
      <c r="AB172" s="64">
        <f t="shared" si="67"/>
        <v>0</v>
      </c>
      <c r="AC172" s="64">
        <f t="shared" si="67"/>
        <v>0</v>
      </c>
      <c r="AD172" s="64">
        <f t="shared" si="67"/>
        <v>0</v>
      </c>
      <c r="AE172" s="64">
        <f t="shared" si="67"/>
        <v>0</v>
      </c>
      <c r="AF172" s="64">
        <f t="shared" si="68"/>
        <v>180161</v>
      </c>
      <c r="AG172" s="59" t="str">
        <f t="shared" si="69"/>
        <v>ok</v>
      </c>
    </row>
    <row r="173" spans="1:33">
      <c r="A173" s="61">
        <v>539</v>
      </c>
      <c r="B173" s="45" t="s">
        <v>328</v>
      </c>
      <c r="C173" s="45" t="s">
        <v>334</v>
      </c>
      <c r="D173" s="45" t="s">
        <v>646</v>
      </c>
      <c r="F173" s="80">
        <v>348792</v>
      </c>
      <c r="H173" s="64">
        <f t="shared" si="66"/>
        <v>119915.14475583118</v>
      </c>
      <c r="I173" s="64">
        <f t="shared" si="66"/>
        <v>125618.70407959998</v>
      </c>
      <c r="J173" s="64">
        <f t="shared" si="66"/>
        <v>103258.15116456886</v>
      </c>
      <c r="K173" s="64">
        <f t="shared" si="66"/>
        <v>0</v>
      </c>
      <c r="L173" s="64">
        <f t="shared" si="66"/>
        <v>0</v>
      </c>
      <c r="M173" s="64">
        <f t="shared" si="66"/>
        <v>0</v>
      </c>
      <c r="N173" s="64">
        <f t="shared" si="66"/>
        <v>0</v>
      </c>
      <c r="O173" s="64">
        <f t="shared" si="66"/>
        <v>0</v>
      </c>
      <c r="P173" s="64">
        <f t="shared" si="66"/>
        <v>0</v>
      </c>
      <c r="Q173" s="64">
        <f t="shared" si="66"/>
        <v>0</v>
      </c>
      <c r="R173" s="64">
        <f t="shared" si="67"/>
        <v>0</v>
      </c>
      <c r="S173" s="64">
        <f t="shared" si="67"/>
        <v>0</v>
      </c>
      <c r="T173" s="64">
        <f t="shared" si="67"/>
        <v>0</v>
      </c>
      <c r="U173" s="64">
        <f t="shared" si="67"/>
        <v>0</v>
      </c>
      <c r="V173" s="64">
        <f t="shared" si="67"/>
        <v>0</v>
      </c>
      <c r="W173" s="64">
        <f t="shared" si="67"/>
        <v>0</v>
      </c>
      <c r="X173" s="64">
        <f t="shared" si="67"/>
        <v>0</v>
      </c>
      <c r="Y173" s="64">
        <f t="shared" si="67"/>
        <v>0</v>
      </c>
      <c r="Z173" s="64">
        <f t="shared" si="67"/>
        <v>0</v>
      </c>
      <c r="AA173" s="64">
        <f t="shared" si="67"/>
        <v>0</v>
      </c>
      <c r="AB173" s="64">
        <f t="shared" si="67"/>
        <v>0</v>
      </c>
      <c r="AC173" s="64">
        <f t="shared" si="67"/>
        <v>0</v>
      </c>
      <c r="AD173" s="64">
        <f t="shared" si="67"/>
        <v>0</v>
      </c>
      <c r="AE173" s="64">
        <f t="shared" si="67"/>
        <v>0</v>
      </c>
      <c r="AF173" s="64">
        <f t="shared" si="68"/>
        <v>348792</v>
      </c>
      <c r="AG173" s="59" t="str">
        <f t="shared" si="69"/>
        <v>ok</v>
      </c>
    </row>
    <row r="174" spans="1:33">
      <c r="A174" s="288">
        <v>540</v>
      </c>
      <c r="B174" s="45" t="s">
        <v>1013</v>
      </c>
      <c r="D174" s="45" t="s">
        <v>646</v>
      </c>
      <c r="F174" s="80">
        <v>545400</v>
      </c>
      <c r="H174" s="64">
        <f t="shared" si="66"/>
        <v>187509.23171927774</v>
      </c>
      <c r="I174" s="64">
        <f t="shared" si="66"/>
        <v>196427.78849576201</v>
      </c>
      <c r="J174" s="64">
        <f t="shared" si="66"/>
        <v>161462.97978496025</v>
      </c>
      <c r="K174" s="64">
        <f t="shared" si="66"/>
        <v>0</v>
      </c>
      <c r="L174" s="64">
        <f t="shared" si="66"/>
        <v>0</v>
      </c>
      <c r="M174" s="64">
        <f t="shared" si="66"/>
        <v>0</v>
      </c>
      <c r="N174" s="64">
        <f t="shared" si="66"/>
        <v>0</v>
      </c>
      <c r="O174" s="64">
        <f t="shared" si="66"/>
        <v>0</v>
      </c>
      <c r="P174" s="64">
        <f t="shared" si="66"/>
        <v>0</v>
      </c>
      <c r="Q174" s="64">
        <f t="shared" si="66"/>
        <v>0</v>
      </c>
      <c r="R174" s="64">
        <f t="shared" si="67"/>
        <v>0</v>
      </c>
      <c r="S174" s="64">
        <f t="shared" si="67"/>
        <v>0</v>
      </c>
      <c r="T174" s="64">
        <f t="shared" si="67"/>
        <v>0</v>
      </c>
      <c r="U174" s="64">
        <f t="shared" si="67"/>
        <v>0</v>
      </c>
      <c r="V174" s="64">
        <f t="shared" si="67"/>
        <v>0</v>
      </c>
      <c r="W174" s="64">
        <f t="shared" si="67"/>
        <v>0</v>
      </c>
      <c r="X174" s="64">
        <f t="shared" si="67"/>
        <v>0</v>
      </c>
      <c r="Y174" s="64">
        <f t="shared" si="67"/>
        <v>0</v>
      </c>
      <c r="Z174" s="64">
        <f t="shared" si="67"/>
        <v>0</v>
      </c>
      <c r="AA174" s="64">
        <f t="shared" si="67"/>
        <v>0</v>
      </c>
      <c r="AB174" s="64">
        <f t="shared" si="67"/>
        <v>0</v>
      </c>
      <c r="AC174" s="64">
        <f t="shared" si="67"/>
        <v>0</v>
      </c>
      <c r="AD174" s="64">
        <f t="shared" si="67"/>
        <v>0</v>
      </c>
      <c r="AE174" s="64">
        <f t="shared" si="67"/>
        <v>0</v>
      </c>
      <c r="AF174" s="64">
        <f t="shared" si="68"/>
        <v>545400</v>
      </c>
      <c r="AG174" s="59" t="str">
        <f t="shared" si="69"/>
        <v>ok</v>
      </c>
    </row>
    <row r="175" spans="1:33">
      <c r="A175" s="61"/>
      <c r="F175" s="80"/>
      <c r="W175" s="45"/>
      <c r="AF175" s="64"/>
      <c r="AG175" s="59"/>
    </row>
    <row r="176" spans="1:33">
      <c r="A176" s="61"/>
      <c r="B176" s="45" t="s">
        <v>323</v>
      </c>
      <c r="F176" s="77">
        <f>SUM(F169:F175)</f>
        <v>1236373</v>
      </c>
      <c r="H176" s="63">
        <f t="shared" ref="H176:M176" si="70">SUM(H169:H175)</f>
        <v>425066.6508039211</v>
      </c>
      <c r="I176" s="63">
        <f t="shared" si="70"/>
        <v>445284.22102286539</v>
      </c>
      <c r="J176" s="63">
        <f t="shared" si="70"/>
        <v>366022.12817321357</v>
      </c>
      <c r="K176" s="63">
        <f t="shared" si="70"/>
        <v>0</v>
      </c>
      <c r="L176" s="63">
        <f t="shared" si="70"/>
        <v>0</v>
      </c>
      <c r="M176" s="63">
        <f t="shared" si="70"/>
        <v>0</v>
      </c>
      <c r="N176" s="63">
        <f>SUM(N169:N175)</f>
        <v>0</v>
      </c>
      <c r="O176" s="63">
        <f>SUM(O169:O175)</f>
        <v>0</v>
      </c>
      <c r="P176" s="63">
        <f>SUM(P169:P175)</f>
        <v>0</v>
      </c>
      <c r="Q176" s="63">
        <f t="shared" ref="Q176:AB176" si="71">SUM(Q169:Q175)</f>
        <v>0</v>
      </c>
      <c r="R176" s="63">
        <f t="shared" si="71"/>
        <v>0</v>
      </c>
      <c r="S176" s="63">
        <f t="shared" si="71"/>
        <v>0</v>
      </c>
      <c r="T176" s="63">
        <f t="shared" si="71"/>
        <v>0</v>
      </c>
      <c r="U176" s="63">
        <f t="shared" si="71"/>
        <v>0</v>
      </c>
      <c r="V176" s="63">
        <f t="shared" si="71"/>
        <v>0</v>
      </c>
      <c r="W176" s="63">
        <f t="shared" si="71"/>
        <v>0</v>
      </c>
      <c r="X176" s="63">
        <f t="shared" si="71"/>
        <v>0</v>
      </c>
      <c r="Y176" s="63">
        <f t="shared" si="71"/>
        <v>0</v>
      </c>
      <c r="Z176" s="63">
        <f t="shared" si="71"/>
        <v>0</v>
      </c>
      <c r="AA176" s="63">
        <f t="shared" si="71"/>
        <v>0</v>
      </c>
      <c r="AB176" s="63">
        <f t="shared" si="71"/>
        <v>0</v>
      </c>
      <c r="AC176" s="63">
        <f>SUM(AC169:AC175)</f>
        <v>0</v>
      </c>
      <c r="AD176" s="63">
        <f>SUM(AD169:AD175)</f>
        <v>0</v>
      </c>
      <c r="AE176" s="63">
        <f>SUM(AE169:AE175)</f>
        <v>0</v>
      </c>
      <c r="AF176" s="64">
        <f>SUM(H176:AE176)</f>
        <v>1236373</v>
      </c>
      <c r="AG176" s="59" t="str">
        <f>IF(ABS(AF176-F176)&lt;1,"ok","err")</f>
        <v>ok</v>
      </c>
    </row>
    <row r="177" spans="1:33">
      <c r="A177" s="61"/>
      <c r="F177" s="77"/>
      <c r="W177" s="45"/>
      <c r="AG177" s="59"/>
    </row>
    <row r="178" spans="1:33" ht="15">
      <c r="A178" s="66" t="s">
        <v>321</v>
      </c>
      <c r="F178" s="77"/>
      <c r="W178" s="45"/>
      <c r="AG178" s="59"/>
    </row>
    <row r="179" spans="1:33">
      <c r="A179" s="71">
        <v>541</v>
      </c>
      <c r="B179" s="45" t="s">
        <v>224</v>
      </c>
      <c r="C179" s="45" t="s">
        <v>335</v>
      </c>
      <c r="D179" s="45" t="s">
        <v>653</v>
      </c>
      <c r="F179" s="77">
        <v>0</v>
      </c>
      <c r="H179" s="64">
        <f t="shared" ref="H179:Q183" si="72">IF(VLOOKUP($D179,$C$6:$AE$653,H$2,)=0,0,((VLOOKUP($D179,$C$6:$AE$653,H$2,)/VLOOKUP($D179,$C$6:$AE$653,4,))*$F179))</f>
        <v>0</v>
      </c>
      <c r="I179" s="64">
        <f t="shared" si="72"/>
        <v>0</v>
      </c>
      <c r="J179" s="64">
        <f t="shared" si="72"/>
        <v>0</v>
      </c>
      <c r="K179" s="64">
        <f t="shared" si="72"/>
        <v>0</v>
      </c>
      <c r="L179" s="64">
        <f t="shared" si="72"/>
        <v>0</v>
      </c>
      <c r="M179" s="64">
        <f t="shared" si="72"/>
        <v>0</v>
      </c>
      <c r="N179" s="64">
        <f t="shared" si="72"/>
        <v>0</v>
      </c>
      <c r="O179" s="64">
        <f t="shared" si="72"/>
        <v>0</v>
      </c>
      <c r="P179" s="64">
        <f t="shared" si="72"/>
        <v>0</v>
      </c>
      <c r="Q179" s="64">
        <f t="shared" si="72"/>
        <v>0</v>
      </c>
      <c r="R179" s="64">
        <f t="shared" ref="R179:AE183" si="73">IF(VLOOKUP($D179,$C$6:$AE$653,R$2,)=0,0,((VLOOKUP($D179,$C$6:$AE$653,R$2,)/VLOOKUP($D179,$C$6:$AE$653,4,))*$F179))</f>
        <v>0</v>
      </c>
      <c r="S179" s="64">
        <f t="shared" si="73"/>
        <v>0</v>
      </c>
      <c r="T179" s="64">
        <f t="shared" si="73"/>
        <v>0</v>
      </c>
      <c r="U179" s="64">
        <f t="shared" si="73"/>
        <v>0</v>
      </c>
      <c r="V179" s="64">
        <f t="shared" si="73"/>
        <v>0</v>
      </c>
      <c r="W179" s="64">
        <f t="shared" si="73"/>
        <v>0</v>
      </c>
      <c r="X179" s="64">
        <f t="shared" si="73"/>
        <v>0</v>
      </c>
      <c r="Y179" s="64">
        <f t="shared" si="73"/>
        <v>0</v>
      </c>
      <c r="Z179" s="64">
        <f t="shared" si="73"/>
        <v>0</v>
      </c>
      <c r="AA179" s="64">
        <f t="shared" si="73"/>
        <v>0</v>
      </c>
      <c r="AB179" s="64">
        <f t="shared" si="73"/>
        <v>0</v>
      </c>
      <c r="AC179" s="64">
        <f t="shared" si="73"/>
        <v>0</v>
      </c>
      <c r="AD179" s="64">
        <f t="shared" si="73"/>
        <v>0</v>
      </c>
      <c r="AE179" s="64">
        <f t="shared" si="73"/>
        <v>0</v>
      </c>
      <c r="AF179" s="64">
        <f>SUM(H179:AE179)</f>
        <v>0</v>
      </c>
      <c r="AG179" s="59" t="str">
        <f>IF(ABS(AF179-F179)&lt;1,"ok","err")</f>
        <v>ok</v>
      </c>
    </row>
    <row r="180" spans="1:33">
      <c r="A180" s="71">
        <v>542</v>
      </c>
      <c r="B180" s="45" t="s">
        <v>223</v>
      </c>
      <c r="C180" s="45" t="s">
        <v>336</v>
      </c>
      <c r="D180" s="45" t="s">
        <v>646</v>
      </c>
      <c r="F180" s="80">
        <v>244992</v>
      </c>
      <c r="H180" s="64">
        <f t="shared" si="72"/>
        <v>84228.569302107251</v>
      </c>
      <c r="I180" s="64">
        <f t="shared" si="72"/>
        <v>88234.757534201926</v>
      </c>
      <c r="J180" s="64">
        <f t="shared" si="72"/>
        <v>72528.673163690837</v>
      </c>
      <c r="K180" s="64">
        <f t="shared" si="72"/>
        <v>0</v>
      </c>
      <c r="L180" s="64">
        <f t="shared" si="72"/>
        <v>0</v>
      </c>
      <c r="M180" s="64">
        <f t="shared" si="72"/>
        <v>0</v>
      </c>
      <c r="N180" s="64">
        <f t="shared" si="72"/>
        <v>0</v>
      </c>
      <c r="O180" s="64">
        <f t="shared" si="72"/>
        <v>0</v>
      </c>
      <c r="P180" s="64">
        <f t="shared" si="72"/>
        <v>0</v>
      </c>
      <c r="Q180" s="64">
        <f t="shared" si="72"/>
        <v>0</v>
      </c>
      <c r="R180" s="64">
        <f t="shared" si="73"/>
        <v>0</v>
      </c>
      <c r="S180" s="64">
        <f t="shared" si="73"/>
        <v>0</v>
      </c>
      <c r="T180" s="64">
        <f t="shared" si="73"/>
        <v>0</v>
      </c>
      <c r="U180" s="64">
        <f t="shared" si="73"/>
        <v>0</v>
      </c>
      <c r="V180" s="64">
        <f t="shared" si="73"/>
        <v>0</v>
      </c>
      <c r="W180" s="64">
        <f t="shared" si="73"/>
        <v>0</v>
      </c>
      <c r="X180" s="64">
        <f t="shared" si="73"/>
        <v>0</v>
      </c>
      <c r="Y180" s="64">
        <f t="shared" si="73"/>
        <v>0</v>
      </c>
      <c r="Z180" s="64">
        <f t="shared" si="73"/>
        <v>0</v>
      </c>
      <c r="AA180" s="64">
        <f t="shared" si="73"/>
        <v>0</v>
      </c>
      <c r="AB180" s="64">
        <f t="shared" si="73"/>
        <v>0</v>
      </c>
      <c r="AC180" s="64">
        <f t="shared" si="73"/>
        <v>0</v>
      </c>
      <c r="AD180" s="64">
        <f t="shared" si="73"/>
        <v>0</v>
      </c>
      <c r="AE180" s="64">
        <f t="shared" si="73"/>
        <v>0</v>
      </c>
      <c r="AF180" s="64">
        <f>SUM(H180:AE180)</f>
        <v>244992</v>
      </c>
      <c r="AG180" s="59" t="str">
        <f>IF(ABS(AF180-F180)&lt;1,"ok","err")</f>
        <v>ok</v>
      </c>
    </row>
    <row r="181" spans="1:33">
      <c r="A181" s="71">
        <v>543</v>
      </c>
      <c r="B181" s="45" t="s">
        <v>322</v>
      </c>
      <c r="C181" s="45" t="s">
        <v>337</v>
      </c>
      <c r="D181" s="45" t="s">
        <v>646</v>
      </c>
      <c r="F181" s="80">
        <v>190785</v>
      </c>
      <c r="H181" s="64">
        <f t="shared" si="72"/>
        <v>65592.131964727552</v>
      </c>
      <c r="I181" s="64">
        <f t="shared" si="72"/>
        <v>68711.909842618188</v>
      </c>
      <c r="J181" s="64">
        <f t="shared" si="72"/>
        <v>56480.958192654274</v>
      </c>
      <c r="K181" s="64">
        <f t="shared" si="72"/>
        <v>0</v>
      </c>
      <c r="L181" s="64">
        <f t="shared" si="72"/>
        <v>0</v>
      </c>
      <c r="M181" s="64">
        <f t="shared" si="72"/>
        <v>0</v>
      </c>
      <c r="N181" s="64">
        <f t="shared" si="72"/>
        <v>0</v>
      </c>
      <c r="O181" s="64">
        <f t="shared" si="72"/>
        <v>0</v>
      </c>
      <c r="P181" s="64">
        <f t="shared" si="72"/>
        <v>0</v>
      </c>
      <c r="Q181" s="64">
        <f t="shared" si="72"/>
        <v>0</v>
      </c>
      <c r="R181" s="64">
        <f t="shared" si="73"/>
        <v>0</v>
      </c>
      <c r="S181" s="64">
        <f t="shared" si="73"/>
        <v>0</v>
      </c>
      <c r="T181" s="64">
        <f t="shared" si="73"/>
        <v>0</v>
      </c>
      <c r="U181" s="64">
        <f t="shared" si="73"/>
        <v>0</v>
      </c>
      <c r="V181" s="64">
        <f t="shared" si="73"/>
        <v>0</v>
      </c>
      <c r="W181" s="64">
        <f t="shared" si="73"/>
        <v>0</v>
      </c>
      <c r="X181" s="64">
        <f t="shared" si="73"/>
        <v>0</v>
      </c>
      <c r="Y181" s="64">
        <f t="shared" si="73"/>
        <v>0</v>
      </c>
      <c r="Z181" s="64">
        <f t="shared" si="73"/>
        <v>0</v>
      </c>
      <c r="AA181" s="64">
        <f t="shared" si="73"/>
        <v>0</v>
      </c>
      <c r="AB181" s="64">
        <f t="shared" si="73"/>
        <v>0</v>
      </c>
      <c r="AC181" s="64">
        <f t="shared" si="73"/>
        <v>0</v>
      </c>
      <c r="AD181" s="64">
        <f t="shared" si="73"/>
        <v>0</v>
      </c>
      <c r="AE181" s="64">
        <f t="shared" si="73"/>
        <v>0</v>
      </c>
      <c r="AF181" s="64">
        <f>SUM(H181:AE181)</f>
        <v>190785.00000000003</v>
      </c>
      <c r="AG181" s="59" t="str">
        <f>IF(ABS(AF181-F181)&lt;1,"ok","err")</f>
        <v>ok</v>
      </c>
    </row>
    <row r="182" spans="1:33">
      <c r="A182" s="61">
        <v>544</v>
      </c>
      <c r="B182" s="45" t="s">
        <v>227</v>
      </c>
      <c r="C182" s="45" t="s">
        <v>338</v>
      </c>
      <c r="D182" s="45" t="s">
        <v>939</v>
      </c>
      <c r="F182" s="80">
        <v>371119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371119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3"/>
        <v>0</v>
      </c>
      <c r="S182" s="64">
        <f t="shared" si="73"/>
        <v>0</v>
      </c>
      <c r="T182" s="64">
        <f t="shared" si="73"/>
        <v>0</v>
      </c>
      <c r="U182" s="64">
        <f t="shared" si="73"/>
        <v>0</v>
      </c>
      <c r="V182" s="64">
        <f t="shared" si="73"/>
        <v>0</v>
      </c>
      <c r="W182" s="64">
        <f t="shared" si="73"/>
        <v>0</v>
      </c>
      <c r="X182" s="64">
        <f t="shared" si="73"/>
        <v>0</v>
      </c>
      <c r="Y182" s="64">
        <f t="shared" si="73"/>
        <v>0</v>
      </c>
      <c r="Z182" s="64">
        <f t="shared" si="73"/>
        <v>0</v>
      </c>
      <c r="AA182" s="64">
        <f t="shared" si="73"/>
        <v>0</v>
      </c>
      <c r="AB182" s="64">
        <f t="shared" si="73"/>
        <v>0</v>
      </c>
      <c r="AC182" s="64">
        <f t="shared" si="73"/>
        <v>0</v>
      </c>
      <c r="AD182" s="64">
        <f t="shared" si="73"/>
        <v>0</v>
      </c>
      <c r="AE182" s="64">
        <f t="shared" si="73"/>
        <v>0</v>
      </c>
      <c r="AF182" s="64">
        <f>SUM(H182:AE182)</f>
        <v>371119</v>
      </c>
      <c r="AG182" s="59" t="str">
        <f>IF(ABS(AF182-F182)&lt;1,"ok","err")</f>
        <v>ok</v>
      </c>
    </row>
    <row r="183" spans="1:33">
      <c r="A183" s="61">
        <v>545</v>
      </c>
      <c r="B183" s="45" t="s">
        <v>329</v>
      </c>
      <c r="C183" s="45" t="s">
        <v>339</v>
      </c>
      <c r="D183" s="45" t="s">
        <v>939</v>
      </c>
      <c r="F183" s="80">
        <v>58972</v>
      </c>
      <c r="H183" s="64">
        <f t="shared" si="72"/>
        <v>0</v>
      </c>
      <c r="I183" s="64">
        <f t="shared" si="72"/>
        <v>0</v>
      </c>
      <c r="J183" s="64">
        <f t="shared" si="72"/>
        <v>0</v>
      </c>
      <c r="K183" s="64">
        <f t="shared" si="72"/>
        <v>58972</v>
      </c>
      <c r="L183" s="64">
        <f t="shared" si="72"/>
        <v>0</v>
      </c>
      <c r="M183" s="64">
        <f t="shared" si="72"/>
        <v>0</v>
      </c>
      <c r="N183" s="64">
        <f t="shared" si="72"/>
        <v>0</v>
      </c>
      <c r="O183" s="64">
        <f t="shared" si="72"/>
        <v>0</v>
      </c>
      <c r="P183" s="64">
        <f t="shared" si="72"/>
        <v>0</v>
      </c>
      <c r="Q183" s="64">
        <f t="shared" si="72"/>
        <v>0</v>
      </c>
      <c r="R183" s="64">
        <f t="shared" si="73"/>
        <v>0</v>
      </c>
      <c r="S183" s="64">
        <f t="shared" si="73"/>
        <v>0</v>
      </c>
      <c r="T183" s="64">
        <f t="shared" si="73"/>
        <v>0</v>
      </c>
      <c r="U183" s="64">
        <f t="shared" si="73"/>
        <v>0</v>
      </c>
      <c r="V183" s="64">
        <f t="shared" si="73"/>
        <v>0</v>
      </c>
      <c r="W183" s="64">
        <f t="shared" si="73"/>
        <v>0</v>
      </c>
      <c r="X183" s="64">
        <f t="shared" si="73"/>
        <v>0</v>
      </c>
      <c r="Y183" s="64">
        <f t="shared" si="73"/>
        <v>0</v>
      </c>
      <c r="Z183" s="64">
        <f t="shared" si="73"/>
        <v>0</v>
      </c>
      <c r="AA183" s="64">
        <f t="shared" si="73"/>
        <v>0</v>
      </c>
      <c r="AB183" s="64">
        <f t="shared" si="73"/>
        <v>0</v>
      </c>
      <c r="AC183" s="64">
        <f t="shared" si="73"/>
        <v>0</v>
      </c>
      <c r="AD183" s="64">
        <f t="shared" si="73"/>
        <v>0</v>
      </c>
      <c r="AE183" s="64">
        <f t="shared" si="73"/>
        <v>0</v>
      </c>
      <c r="AF183" s="64">
        <f>SUM(H183:AE183)</f>
        <v>58972</v>
      </c>
      <c r="AG183" s="59" t="str">
        <f>IF(ABS(AF183-F183)&lt;1,"ok","err")</f>
        <v>ok</v>
      </c>
    </row>
    <row r="184" spans="1:33">
      <c r="A184" s="61"/>
      <c r="F184" s="77"/>
      <c r="W184" s="45"/>
      <c r="AG184" s="59"/>
    </row>
    <row r="185" spans="1:33">
      <c r="A185" s="61"/>
      <c r="B185" s="45" t="s">
        <v>325</v>
      </c>
      <c r="F185" s="77">
        <f>SUM(F179:F184)</f>
        <v>865868</v>
      </c>
      <c r="H185" s="63">
        <f t="shared" ref="H185:M185" si="74">SUM(H179:H184)</f>
        <v>149820.7012668348</v>
      </c>
      <c r="I185" s="63">
        <f t="shared" si="74"/>
        <v>156946.66737682011</v>
      </c>
      <c r="J185" s="63">
        <f t="shared" si="74"/>
        <v>129009.63135634511</v>
      </c>
      <c r="K185" s="63">
        <f t="shared" si="74"/>
        <v>430091</v>
      </c>
      <c r="L185" s="63">
        <f t="shared" si="74"/>
        <v>0</v>
      </c>
      <c r="M185" s="63">
        <f t="shared" si="74"/>
        <v>0</v>
      </c>
      <c r="N185" s="63">
        <f>SUM(N179:N184)</f>
        <v>0</v>
      </c>
      <c r="O185" s="63">
        <f>SUM(O179:O184)</f>
        <v>0</v>
      </c>
      <c r="P185" s="63">
        <f>SUM(P179:P184)</f>
        <v>0</v>
      </c>
      <c r="Q185" s="63">
        <f t="shared" ref="Q185:AB185" si="75">SUM(Q179:Q184)</f>
        <v>0</v>
      </c>
      <c r="R185" s="63">
        <f t="shared" si="75"/>
        <v>0</v>
      </c>
      <c r="S185" s="63">
        <f t="shared" si="75"/>
        <v>0</v>
      </c>
      <c r="T185" s="63">
        <f t="shared" si="75"/>
        <v>0</v>
      </c>
      <c r="U185" s="63">
        <f t="shared" si="75"/>
        <v>0</v>
      </c>
      <c r="V185" s="63">
        <f t="shared" si="75"/>
        <v>0</v>
      </c>
      <c r="W185" s="63">
        <f t="shared" si="75"/>
        <v>0</v>
      </c>
      <c r="X185" s="63">
        <f t="shared" si="75"/>
        <v>0</v>
      </c>
      <c r="Y185" s="63">
        <f t="shared" si="75"/>
        <v>0</v>
      </c>
      <c r="Z185" s="63">
        <f t="shared" si="75"/>
        <v>0</v>
      </c>
      <c r="AA185" s="63">
        <f t="shared" si="75"/>
        <v>0</v>
      </c>
      <c r="AB185" s="63">
        <f t="shared" si="75"/>
        <v>0</v>
      </c>
      <c r="AC185" s="63">
        <f>SUM(AC179:AC184)</f>
        <v>0</v>
      </c>
      <c r="AD185" s="63">
        <f>SUM(AD179:AD184)</f>
        <v>0</v>
      </c>
      <c r="AE185" s="63">
        <f>SUM(AE179:AE184)</f>
        <v>0</v>
      </c>
      <c r="AF185" s="64">
        <f>SUM(H185:AE185)</f>
        <v>865868</v>
      </c>
      <c r="AG185" s="59" t="str">
        <f>IF(ABS(AF185-F185)&lt;1,"ok","err")</f>
        <v>ok</v>
      </c>
    </row>
    <row r="186" spans="1:33">
      <c r="A186" s="61"/>
      <c r="F186" s="77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4"/>
      <c r="AG186" s="59"/>
    </row>
    <row r="187" spans="1:33">
      <c r="A187" s="61"/>
      <c r="B187" s="45" t="s">
        <v>324</v>
      </c>
      <c r="F187" s="77">
        <f>F176+F185</f>
        <v>2102241</v>
      </c>
      <c r="H187" s="63">
        <f t="shared" ref="H187:M187" si="76">H176+H185</f>
        <v>574887.35207075591</v>
      </c>
      <c r="I187" s="63">
        <f t="shared" si="76"/>
        <v>602230.8883996855</v>
      </c>
      <c r="J187" s="63">
        <f t="shared" si="76"/>
        <v>495031.75952955871</v>
      </c>
      <c r="K187" s="63">
        <f t="shared" si="76"/>
        <v>430091</v>
      </c>
      <c r="L187" s="63">
        <f t="shared" si="76"/>
        <v>0</v>
      </c>
      <c r="M187" s="63">
        <f t="shared" si="76"/>
        <v>0</v>
      </c>
      <c r="N187" s="63">
        <f>N176+N185</f>
        <v>0</v>
      </c>
      <c r="O187" s="63">
        <f>O176+O185</f>
        <v>0</v>
      </c>
      <c r="P187" s="63">
        <f>P176+P185</f>
        <v>0</v>
      </c>
      <c r="Q187" s="63">
        <f t="shared" ref="Q187:AB187" si="77">Q176+Q185</f>
        <v>0</v>
      </c>
      <c r="R187" s="63">
        <f t="shared" si="77"/>
        <v>0</v>
      </c>
      <c r="S187" s="63">
        <f t="shared" si="77"/>
        <v>0</v>
      </c>
      <c r="T187" s="63">
        <f t="shared" si="77"/>
        <v>0</v>
      </c>
      <c r="U187" s="63">
        <f t="shared" si="77"/>
        <v>0</v>
      </c>
      <c r="V187" s="63">
        <f t="shared" si="77"/>
        <v>0</v>
      </c>
      <c r="W187" s="63">
        <f t="shared" si="77"/>
        <v>0</v>
      </c>
      <c r="X187" s="63">
        <f t="shared" si="77"/>
        <v>0</v>
      </c>
      <c r="Y187" s="63">
        <f t="shared" si="77"/>
        <v>0</v>
      </c>
      <c r="Z187" s="63">
        <f t="shared" si="77"/>
        <v>0</v>
      </c>
      <c r="AA187" s="63">
        <f t="shared" si="77"/>
        <v>0</v>
      </c>
      <c r="AB187" s="63">
        <f t="shared" si="77"/>
        <v>0</v>
      </c>
      <c r="AC187" s="63">
        <f>AC176+AC185</f>
        <v>0</v>
      </c>
      <c r="AD187" s="63">
        <f>AD176+AD185</f>
        <v>0</v>
      </c>
      <c r="AE187" s="63">
        <f>AE176+AE185</f>
        <v>0</v>
      </c>
      <c r="AF187" s="64">
        <f>SUM(H187:AE187)</f>
        <v>2102241</v>
      </c>
      <c r="AG187" s="59" t="str">
        <f>IF(ABS(AF187-F187)&lt;1,"ok","err")</f>
        <v>ok</v>
      </c>
    </row>
    <row r="188" spans="1:33">
      <c r="A188" s="61"/>
      <c r="F188" s="77"/>
      <c r="W188" s="45"/>
      <c r="AG188" s="59"/>
    </row>
    <row r="189" spans="1:33" ht="15">
      <c r="A189" s="66" t="s">
        <v>234</v>
      </c>
      <c r="F189" s="77"/>
      <c r="W189" s="45"/>
      <c r="AG189" s="59"/>
    </row>
    <row r="190" spans="1:33">
      <c r="A190" s="61">
        <v>546</v>
      </c>
      <c r="B190" s="45" t="s">
        <v>209</v>
      </c>
      <c r="C190" s="45" t="s">
        <v>235</v>
      </c>
      <c r="D190" s="45" t="s">
        <v>654</v>
      </c>
      <c r="F190" s="77">
        <v>604185</v>
      </c>
      <c r="H190" s="64">
        <f t="shared" ref="H190:Q194" si="78">IF(VLOOKUP($D190,$C$6:$AE$653,H$2,)=0,0,((VLOOKUP($D190,$C$6:$AE$653,H$2,)/VLOOKUP($D190,$C$6:$AE$653,4,))*$F190))</f>
        <v>207719.59143071479</v>
      </c>
      <c r="I190" s="64">
        <f t="shared" si="78"/>
        <v>217599.4194945214</v>
      </c>
      <c r="J190" s="64">
        <f t="shared" si="78"/>
        <v>178865.98907476381</v>
      </c>
      <c r="K190" s="64">
        <f t="shared" si="78"/>
        <v>0</v>
      </c>
      <c r="L190" s="64">
        <f t="shared" si="78"/>
        <v>0</v>
      </c>
      <c r="M190" s="64">
        <f t="shared" si="78"/>
        <v>0</v>
      </c>
      <c r="N190" s="64">
        <f t="shared" si="78"/>
        <v>0</v>
      </c>
      <c r="O190" s="64">
        <f t="shared" si="78"/>
        <v>0</v>
      </c>
      <c r="P190" s="64">
        <f t="shared" si="78"/>
        <v>0</v>
      </c>
      <c r="Q190" s="64">
        <f t="shared" si="78"/>
        <v>0</v>
      </c>
      <c r="R190" s="64">
        <f t="shared" ref="R190:AE194" si="79">IF(VLOOKUP($D190,$C$6:$AE$653,R$2,)=0,0,((VLOOKUP($D190,$C$6:$AE$653,R$2,)/VLOOKUP($D190,$C$6:$AE$653,4,))*$F190))</f>
        <v>0</v>
      </c>
      <c r="S190" s="64">
        <f t="shared" si="79"/>
        <v>0</v>
      </c>
      <c r="T190" s="64">
        <f t="shared" si="79"/>
        <v>0</v>
      </c>
      <c r="U190" s="64">
        <f t="shared" si="79"/>
        <v>0</v>
      </c>
      <c r="V190" s="64">
        <f t="shared" si="79"/>
        <v>0</v>
      </c>
      <c r="W190" s="64">
        <f t="shared" si="79"/>
        <v>0</v>
      </c>
      <c r="X190" s="64">
        <f t="shared" si="79"/>
        <v>0</v>
      </c>
      <c r="Y190" s="64">
        <f t="shared" si="79"/>
        <v>0</v>
      </c>
      <c r="Z190" s="64">
        <f t="shared" si="79"/>
        <v>0</v>
      </c>
      <c r="AA190" s="64">
        <f t="shared" si="79"/>
        <v>0</v>
      </c>
      <c r="AB190" s="64">
        <f t="shared" si="79"/>
        <v>0</v>
      </c>
      <c r="AC190" s="64">
        <f t="shared" si="79"/>
        <v>0</v>
      </c>
      <c r="AD190" s="64">
        <f t="shared" si="79"/>
        <v>0</v>
      </c>
      <c r="AE190" s="64">
        <f t="shared" si="79"/>
        <v>0</v>
      </c>
      <c r="AF190" s="64">
        <f>SUM(H190:AE190)</f>
        <v>604185</v>
      </c>
      <c r="AG190" s="59" t="str">
        <f>IF(ABS(AF190-F190)&lt;1,"ok","err")</f>
        <v>ok</v>
      </c>
    </row>
    <row r="191" spans="1:33">
      <c r="A191" s="61">
        <v>547</v>
      </c>
      <c r="B191" s="45" t="s">
        <v>211</v>
      </c>
      <c r="C191" s="45" t="s">
        <v>236</v>
      </c>
      <c r="D191" s="45" t="s">
        <v>939</v>
      </c>
      <c r="F191" s="80">
        <v>57317664.317857109</v>
      </c>
      <c r="H191" s="64">
        <f t="shared" si="78"/>
        <v>0</v>
      </c>
      <c r="I191" s="64">
        <f t="shared" si="78"/>
        <v>0</v>
      </c>
      <c r="J191" s="64">
        <f t="shared" si="78"/>
        <v>0</v>
      </c>
      <c r="K191" s="64">
        <f t="shared" si="78"/>
        <v>57317664.317857109</v>
      </c>
      <c r="L191" s="64">
        <f t="shared" si="78"/>
        <v>0</v>
      </c>
      <c r="M191" s="64">
        <f t="shared" si="78"/>
        <v>0</v>
      </c>
      <c r="N191" s="64">
        <f t="shared" si="78"/>
        <v>0</v>
      </c>
      <c r="O191" s="64">
        <f t="shared" si="78"/>
        <v>0</v>
      </c>
      <c r="P191" s="64">
        <f t="shared" si="78"/>
        <v>0</v>
      </c>
      <c r="Q191" s="64">
        <f t="shared" si="78"/>
        <v>0</v>
      </c>
      <c r="R191" s="64">
        <f t="shared" si="79"/>
        <v>0</v>
      </c>
      <c r="S191" s="64">
        <f t="shared" si="79"/>
        <v>0</v>
      </c>
      <c r="T191" s="64">
        <f t="shared" si="79"/>
        <v>0</v>
      </c>
      <c r="U191" s="64">
        <f t="shared" si="79"/>
        <v>0</v>
      </c>
      <c r="V191" s="64">
        <f t="shared" si="79"/>
        <v>0</v>
      </c>
      <c r="W191" s="64">
        <f t="shared" si="79"/>
        <v>0</v>
      </c>
      <c r="X191" s="64">
        <f t="shared" si="79"/>
        <v>0</v>
      </c>
      <c r="Y191" s="64">
        <f t="shared" si="79"/>
        <v>0</v>
      </c>
      <c r="Z191" s="64">
        <f t="shared" si="79"/>
        <v>0</v>
      </c>
      <c r="AA191" s="64">
        <f t="shared" si="79"/>
        <v>0</v>
      </c>
      <c r="AB191" s="64">
        <f t="shared" si="79"/>
        <v>0</v>
      </c>
      <c r="AC191" s="64">
        <f t="shared" si="79"/>
        <v>0</v>
      </c>
      <c r="AD191" s="64">
        <f t="shared" si="79"/>
        <v>0</v>
      </c>
      <c r="AE191" s="64">
        <f t="shared" si="79"/>
        <v>0</v>
      </c>
      <c r="AF191" s="64">
        <f>SUM(H191:AE191)</f>
        <v>57317664.317857109</v>
      </c>
      <c r="AG191" s="59" t="str">
        <f>IF(ABS(AF191-F191)&lt;1,"ok","err")</f>
        <v>ok</v>
      </c>
    </row>
    <row r="192" spans="1:33">
      <c r="A192" s="61">
        <v>548</v>
      </c>
      <c r="B192" s="45" t="s">
        <v>237</v>
      </c>
      <c r="C192" s="45" t="s">
        <v>238</v>
      </c>
      <c r="D192" s="45" t="s">
        <v>646</v>
      </c>
      <c r="F192" s="80">
        <v>280735</v>
      </c>
      <c r="H192" s="64">
        <f t="shared" si="78"/>
        <v>96517.059344905458</v>
      </c>
      <c r="I192" s="64">
        <f t="shared" si="78"/>
        <v>101107.72864568711</v>
      </c>
      <c r="J192" s="64">
        <f t="shared" si="78"/>
        <v>83110.212009407434</v>
      </c>
      <c r="K192" s="64">
        <f t="shared" si="78"/>
        <v>0</v>
      </c>
      <c r="L192" s="64">
        <f t="shared" si="78"/>
        <v>0</v>
      </c>
      <c r="M192" s="64">
        <f t="shared" si="78"/>
        <v>0</v>
      </c>
      <c r="N192" s="64">
        <f t="shared" si="78"/>
        <v>0</v>
      </c>
      <c r="O192" s="64">
        <f t="shared" si="78"/>
        <v>0</v>
      </c>
      <c r="P192" s="64">
        <f t="shared" si="78"/>
        <v>0</v>
      </c>
      <c r="Q192" s="64">
        <f t="shared" si="78"/>
        <v>0</v>
      </c>
      <c r="R192" s="64">
        <f t="shared" si="79"/>
        <v>0</v>
      </c>
      <c r="S192" s="64">
        <f t="shared" si="79"/>
        <v>0</v>
      </c>
      <c r="T192" s="64">
        <f t="shared" si="79"/>
        <v>0</v>
      </c>
      <c r="U192" s="64">
        <f t="shared" si="79"/>
        <v>0</v>
      </c>
      <c r="V192" s="64">
        <f t="shared" si="79"/>
        <v>0</v>
      </c>
      <c r="W192" s="64">
        <f t="shared" si="79"/>
        <v>0</v>
      </c>
      <c r="X192" s="64">
        <f t="shared" si="79"/>
        <v>0</v>
      </c>
      <c r="Y192" s="64">
        <f t="shared" si="79"/>
        <v>0</v>
      </c>
      <c r="Z192" s="64">
        <f t="shared" si="79"/>
        <v>0</v>
      </c>
      <c r="AA192" s="64">
        <f t="shared" si="79"/>
        <v>0</v>
      </c>
      <c r="AB192" s="64">
        <f t="shared" si="79"/>
        <v>0</v>
      </c>
      <c r="AC192" s="64">
        <f t="shared" si="79"/>
        <v>0</v>
      </c>
      <c r="AD192" s="64">
        <f t="shared" si="79"/>
        <v>0</v>
      </c>
      <c r="AE192" s="64">
        <f t="shared" si="79"/>
        <v>0</v>
      </c>
      <c r="AF192" s="64">
        <f>SUM(H192:AE192)</f>
        <v>280735</v>
      </c>
      <c r="AG192" s="59" t="str">
        <f>IF(ABS(AF192-F192)&lt;1,"ok","err")</f>
        <v>ok</v>
      </c>
    </row>
    <row r="193" spans="1:33">
      <c r="A193" s="61">
        <v>549</v>
      </c>
      <c r="B193" s="45" t="s">
        <v>239</v>
      </c>
      <c r="C193" s="45" t="s">
        <v>240</v>
      </c>
      <c r="D193" s="45" t="s">
        <v>646</v>
      </c>
      <c r="F193" s="80">
        <v>1105538</v>
      </c>
      <c r="H193" s="64">
        <f t="shared" si="78"/>
        <v>380085.40707089636</v>
      </c>
      <c r="I193" s="64">
        <f t="shared" si="78"/>
        <v>398163.52115516638</v>
      </c>
      <c r="J193" s="64">
        <f t="shared" si="78"/>
        <v>327289.07177393726</v>
      </c>
      <c r="K193" s="64">
        <f t="shared" si="78"/>
        <v>0</v>
      </c>
      <c r="L193" s="64">
        <f t="shared" si="78"/>
        <v>0</v>
      </c>
      <c r="M193" s="64">
        <f t="shared" si="78"/>
        <v>0</v>
      </c>
      <c r="N193" s="64">
        <f t="shared" si="78"/>
        <v>0</v>
      </c>
      <c r="O193" s="64">
        <f t="shared" si="78"/>
        <v>0</v>
      </c>
      <c r="P193" s="64">
        <f t="shared" si="78"/>
        <v>0</v>
      </c>
      <c r="Q193" s="64">
        <f t="shared" si="78"/>
        <v>0</v>
      </c>
      <c r="R193" s="64">
        <f t="shared" si="79"/>
        <v>0</v>
      </c>
      <c r="S193" s="64">
        <f t="shared" si="79"/>
        <v>0</v>
      </c>
      <c r="T193" s="64">
        <f t="shared" si="79"/>
        <v>0</v>
      </c>
      <c r="U193" s="64">
        <f t="shared" si="79"/>
        <v>0</v>
      </c>
      <c r="V193" s="64">
        <f t="shared" si="79"/>
        <v>0</v>
      </c>
      <c r="W193" s="64">
        <f t="shared" si="79"/>
        <v>0</v>
      </c>
      <c r="X193" s="64">
        <f t="shared" si="79"/>
        <v>0</v>
      </c>
      <c r="Y193" s="64">
        <f t="shared" si="79"/>
        <v>0</v>
      </c>
      <c r="Z193" s="64">
        <f t="shared" si="79"/>
        <v>0</v>
      </c>
      <c r="AA193" s="64">
        <f t="shared" si="79"/>
        <v>0</v>
      </c>
      <c r="AB193" s="64">
        <f t="shared" si="79"/>
        <v>0</v>
      </c>
      <c r="AC193" s="64">
        <f t="shared" si="79"/>
        <v>0</v>
      </c>
      <c r="AD193" s="64">
        <f t="shared" si="79"/>
        <v>0</v>
      </c>
      <c r="AE193" s="64">
        <f t="shared" si="79"/>
        <v>0</v>
      </c>
      <c r="AF193" s="64">
        <f>SUM(H193:AE193)</f>
        <v>1105538</v>
      </c>
      <c r="AG193" s="59" t="str">
        <f>IF(ABS(AF193-F193)&lt;1,"ok","err")</f>
        <v>ok</v>
      </c>
    </row>
    <row r="194" spans="1:33">
      <c r="A194" s="61">
        <v>550</v>
      </c>
      <c r="B194" s="45" t="s">
        <v>1013</v>
      </c>
      <c r="C194" s="45" t="s">
        <v>241</v>
      </c>
      <c r="D194" s="45" t="s">
        <v>646</v>
      </c>
      <c r="F194" s="80">
        <v>5706</v>
      </c>
      <c r="H194" s="64">
        <f t="shared" si="78"/>
        <v>1961.7302460399685</v>
      </c>
      <c r="I194" s="64">
        <f t="shared" si="78"/>
        <v>2055.0365991140779</v>
      </c>
      <c r="J194" s="64">
        <f t="shared" si="78"/>
        <v>1689.2331548459538</v>
      </c>
      <c r="K194" s="64">
        <f t="shared" si="78"/>
        <v>0</v>
      </c>
      <c r="L194" s="64">
        <f t="shared" si="78"/>
        <v>0</v>
      </c>
      <c r="M194" s="64">
        <f t="shared" si="78"/>
        <v>0</v>
      </c>
      <c r="N194" s="64">
        <f t="shared" si="78"/>
        <v>0</v>
      </c>
      <c r="O194" s="64">
        <f t="shared" si="78"/>
        <v>0</v>
      </c>
      <c r="P194" s="64">
        <f t="shared" si="78"/>
        <v>0</v>
      </c>
      <c r="Q194" s="64">
        <f t="shared" si="78"/>
        <v>0</v>
      </c>
      <c r="R194" s="64">
        <f t="shared" si="79"/>
        <v>0</v>
      </c>
      <c r="S194" s="64">
        <f t="shared" si="79"/>
        <v>0</v>
      </c>
      <c r="T194" s="64">
        <f t="shared" si="79"/>
        <v>0</v>
      </c>
      <c r="U194" s="64">
        <f t="shared" si="79"/>
        <v>0</v>
      </c>
      <c r="V194" s="64">
        <f t="shared" si="79"/>
        <v>0</v>
      </c>
      <c r="W194" s="64">
        <f t="shared" si="79"/>
        <v>0</v>
      </c>
      <c r="X194" s="64">
        <f t="shared" si="79"/>
        <v>0</v>
      </c>
      <c r="Y194" s="64">
        <f t="shared" si="79"/>
        <v>0</v>
      </c>
      <c r="Z194" s="64">
        <f t="shared" si="79"/>
        <v>0</v>
      </c>
      <c r="AA194" s="64">
        <f t="shared" si="79"/>
        <v>0</v>
      </c>
      <c r="AB194" s="64">
        <f t="shared" si="79"/>
        <v>0</v>
      </c>
      <c r="AC194" s="64">
        <f t="shared" si="79"/>
        <v>0</v>
      </c>
      <c r="AD194" s="64">
        <f t="shared" si="79"/>
        <v>0</v>
      </c>
      <c r="AE194" s="64">
        <f t="shared" si="79"/>
        <v>0</v>
      </c>
      <c r="AF194" s="64">
        <f>SUM(H194:AE194)</f>
        <v>5706</v>
      </c>
      <c r="AG194" s="59" t="str">
        <f>IF(ABS(AF194-F194)&lt;1,"ok","err")</f>
        <v>ok</v>
      </c>
    </row>
    <row r="195" spans="1:33">
      <c r="A195" s="61"/>
      <c r="F195" s="77"/>
      <c r="W195" s="45"/>
      <c r="AF195" s="64"/>
      <c r="AG195" s="59"/>
    </row>
    <row r="196" spans="1:33">
      <c r="A196" s="61"/>
      <c r="B196" s="45" t="s">
        <v>242</v>
      </c>
      <c r="F196" s="77">
        <f>SUM(F190:F195)</f>
        <v>59313828.317857109</v>
      </c>
      <c r="H196" s="63">
        <f t="shared" ref="H196:M196" si="80">SUM(H190:H195)</f>
        <v>686283.78809255653</v>
      </c>
      <c r="I196" s="63">
        <f t="shared" si="80"/>
        <v>718925.70589448896</v>
      </c>
      <c r="J196" s="63">
        <f t="shared" si="80"/>
        <v>590954.50601295452</v>
      </c>
      <c r="K196" s="63">
        <f t="shared" si="80"/>
        <v>57317664.317857109</v>
      </c>
      <c r="L196" s="63">
        <f t="shared" si="80"/>
        <v>0</v>
      </c>
      <c r="M196" s="63">
        <f t="shared" si="80"/>
        <v>0</v>
      </c>
      <c r="N196" s="63">
        <f>SUM(N190:N195)</f>
        <v>0</v>
      </c>
      <c r="O196" s="63">
        <f>SUM(O190:O195)</f>
        <v>0</v>
      </c>
      <c r="P196" s="63">
        <f>SUM(P190:P195)</f>
        <v>0</v>
      </c>
      <c r="Q196" s="63">
        <f t="shared" ref="Q196:AB196" si="81">SUM(Q190:Q195)</f>
        <v>0</v>
      </c>
      <c r="R196" s="63">
        <f t="shared" si="81"/>
        <v>0</v>
      </c>
      <c r="S196" s="63">
        <f t="shared" si="81"/>
        <v>0</v>
      </c>
      <c r="T196" s="63">
        <f t="shared" si="81"/>
        <v>0</v>
      </c>
      <c r="U196" s="63">
        <f t="shared" si="81"/>
        <v>0</v>
      </c>
      <c r="V196" s="63">
        <f t="shared" si="81"/>
        <v>0</v>
      </c>
      <c r="W196" s="63">
        <f t="shared" si="81"/>
        <v>0</v>
      </c>
      <c r="X196" s="63">
        <f t="shared" si="81"/>
        <v>0</v>
      </c>
      <c r="Y196" s="63">
        <f t="shared" si="81"/>
        <v>0</v>
      </c>
      <c r="Z196" s="63">
        <f t="shared" si="81"/>
        <v>0</v>
      </c>
      <c r="AA196" s="63">
        <f t="shared" si="81"/>
        <v>0</v>
      </c>
      <c r="AB196" s="63">
        <f t="shared" si="81"/>
        <v>0</v>
      </c>
      <c r="AC196" s="63">
        <f>SUM(AC190:AC195)</f>
        <v>0</v>
      </c>
      <c r="AD196" s="63">
        <f>SUM(AD190:AD195)</f>
        <v>0</v>
      </c>
      <c r="AE196" s="63">
        <f>SUM(AE190:AE195)</f>
        <v>0</v>
      </c>
      <c r="AF196" s="64">
        <f>SUM(H196:AE196)</f>
        <v>59313828.317857109</v>
      </c>
      <c r="AG196" s="59" t="str">
        <f>IF(ABS(AF196-F196)&lt;1,"ok","err")</f>
        <v>ok</v>
      </c>
    </row>
    <row r="197" spans="1:33">
      <c r="A197" s="61"/>
      <c r="F197" s="77"/>
      <c r="W197" s="45"/>
      <c r="AG197" s="59"/>
    </row>
    <row r="198" spans="1:33" ht="15">
      <c r="A198" s="60" t="s">
        <v>1033</v>
      </c>
      <c r="F198" s="77"/>
      <c r="W198" s="45"/>
      <c r="AG198" s="59"/>
    </row>
    <row r="199" spans="1:33">
      <c r="A199" s="61"/>
      <c r="F199" s="77"/>
      <c r="W199" s="45"/>
      <c r="AG199" s="59"/>
    </row>
    <row r="200" spans="1:33" ht="15">
      <c r="A200" s="66" t="s">
        <v>243</v>
      </c>
      <c r="F200" s="77"/>
      <c r="W200" s="45"/>
      <c r="AG200" s="59"/>
    </row>
    <row r="201" spans="1:33">
      <c r="A201" s="61">
        <v>551</v>
      </c>
      <c r="B201" s="45" t="s">
        <v>224</v>
      </c>
      <c r="C201" s="45" t="s">
        <v>244</v>
      </c>
      <c r="D201" s="45" t="s">
        <v>646</v>
      </c>
      <c r="F201" s="77">
        <v>256698</v>
      </c>
      <c r="H201" s="64">
        <f t="shared" ref="H201:Q204" si="82">IF(VLOOKUP($D201,$C$6:$AE$653,H$2,)=0,0,((VLOOKUP($D201,$C$6:$AE$653,H$2,)/VLOOKUP($D201,$C$6:$AE$653,4,))*$F201))</f>
        <v>88253.107377842243</v>
      </c>
      <c r="I201" s="64">
        <f t="shared" si="82"/>
        <v>92450.715898945942</v>
      </c>
      <c r="J201" s="64">
        <f t="shared" si="82"/>
        <v>75994.176723211815</v>
      </c>
      <c r="K201" s="64">
        <f t="shared" si="82"/>
        <v>0</v>
      </c>
      <c r="L201" s="64">
        <f t="shared" si="82"/>
        <v>0</v>
      </c>
      <c r="M201" s="64">
        <f t="shared" si="82"/>
        <v>0</v>
      </c>
      <c r="N201" s="64">
        <f t="shared" si="82"/>
        <v>0</v>
      </c>
      <c r="O201" s="64">
        <f t="shared" si="82"/>
        <v>0</v>
      </c>
      <c r="P201" s="64">
        <f t="shared" si="82"/>
        <v>0</v>
      </c>
      <c r="Q201" s="64">
        <f t="shared" si="82"/>
        <v>0</v>
      </c>
      <c r="R201" s="64">
        <f t="shared" ref="R201:AE204" si="83">IF(VLOOKUP($D201,$C$6:$AE$653,R$2,)=0,0,((VLOOKUP($D201,$C$6:$AE$653,R$2,)/VLOOKUP($D201,$C$6:$AE$653,4,))*$F201))</f>
        <v>0</v>
      </c>
      <c r="S201" s="64">
        <f t="shared" si="83"/>
        <v>0</v>
      </c>
      <c r="T201" s="64">
        <f t="shared" si="83"/>
        <v>0</v>
      </c>
      <c r="U201" s="64">
        <f t="shared" si="83"/>
        <v>0</v>
      </c>
      <c r="V201" s="64">
        <f t="shared" si="83"/>
        <v>0</v>
      </c>
      <c r="W201" s="64">
        <f t="shared" si="83"/>
        <v>0</v>
      </c>
      <c r="X201" s="64">
        <f t="shared" si="83"/>
        <v>0</v>
      </c>
      <c r="Y201" s="64">
        <f t="shared" si="83"/>
        <v>0</v>
      </c>
      <c r="Z201" s="64">
        <f t="shared" si="83"/>
        <v>0</v>
      </c>
      <c r="AA201" s="64">
        <f t="shared" si="83"/>
        <v>0</v>
      </c>
      <c r="AB201" s="64">
        <f t="shared" si="83"/>
        <v>0</v>
      </c>
      <c r="AC201" s="64">
        <f t="shared" si="83"/>
        <v>0</v>
      </c>
      <c r="AD201" s="64">
        <f t="shared" si="83"/>
        <v>0</v>
      </c>
      <c r="AE201" s="64">
        <f t="shared" si="83"/>
        <v>0</v>
      </c>
      <c r="AF201" s="64">
        <f>SUM(H201:AE201)</f>
        <v>256698</v>
      </c>
      <c r="AG201" s="59" t="str">
        <f>IF(ABS(AF201-F201)&lt;1,"ok","err")</f>
        <v>ok</v>
      </c>
    </row>
    <row r="202" spans="1:33">
      <c r="A202" s="61">
        <v>552</v>
      </c>
      <c r="B202" s="45" t="s">
        <v>223</v>
      </c>
      <c r="C202" s="45" t="s">
        <v>245</v>
      </c>
      <c r="D202" s="45" t="s">
        <v>646</v>
      </c>
      <c r="F202" s="80">
        <v>560673</v>
      </c>
      <c r="H202" s="64">
        <f t="shared" si="82"/>
        <v>192760.10904976641</v>
      </c>
      <c r="I202" s="64">
        <f t="shared" si="82"/>
        <v>201928.41485017305</v>
      </c>
      <c r="J202" s="64">
        <f t="shared" si="82"/>
        <v>165984.47610006054</v>
      </c>
      <c r="K202" s="64">
        <f t="shared" si="82"/>
        <v>0</v>
      </c>
      <c r="L202" s="64">
        <f t="shared" si="82"/>
        <v>0</v>
      </c>
      <c r="M202" s="64">
        <f t="shared" si="82"/>
        <v>0</v>
      </c>
      <c r="N202" s="64">
        <f t="shared" si="82"/>
        <v>0</v>
      </c>
      <c r="O202" s="64">
        <f t="shared" si="82"/>
        <v>0</v>
      </c>
      <c r="P202" s="64">
        <f t="shared" si="82"/>
        <v>0</v>
      </c>
      <c r="Q202" s="64">
        <f t="shared" si="82"/>
        <v>0</v>
      </c>
      <c r="R202" s="64">
        <f t="shared" si="83"/>
        <v>0</v>
      </c>
      <c r="S202" s="64">
        <f t="shared" si="83"/>
        <v>0</v>
      </c>
      <c r="T202" s="64">
        <f t="shared" si="83"/>
        <v>0</v>
      </c>
      <c r="U202" s="64">
        <f t="shared" si="83"/>
        <v>0</v>
      </c>
      <c r="V202" s="64">
        <f t="shared" si="83"/>
        <v>0</v>
      </c>
      <c r="W202" s="64">
        <f t="shared" si="83"/>
        <v>0</v>
      </c>
      <c r="X202" s="64">
        <f t="shared" si="83"/>
        <v>0</v>
      </c>
      <c r="Y202" s="64">
        <f t="shared" si="83"/>
        <v>0</v>
      </c>
      <c r="Z202" s="64">
        <f t="shared" si="83"/>
        <v>0</v>
      </c>
      <c r="AA202" s="64">
        <f t="shared" si="83"/>
        <v>0</v>
      </c>
      <c r="AB202" s="64">
        <f t="shared" si="83"/>
        <v>0</v>
      </c>
      <c r="AC202" s="64">
        <f t="shared" si="83"/>
        <v>0</v>
      </c>
      <c r="AD202" s="64">
        <f t="shared" si="83"/>
        <v>0</v>
      </c>
      <c r="AE202" s="64">
        <f t="shared" si="83"/>
        <v>0</v>
      </c>
      <c r="AF202" s="64">
        <f>SUM(H202:AE202)</f>
        <v>560673</v>
      </c>
      <c r="AG202" s="59" t="str">
        <f>IF(ABS(AF202-F202)&lt;1,"ok","err")</f>
        <v>ok</v>
      </c>
    </row>
    <row r="203" spans="1:33">
      <c r="A203" s="61">
        <v>553</v>
      </c>
      <c r="B203" s="45" t="s">
        <v>246</v>
      </c>
      <c r="C203" s="45" t="s">
        <v>247</v>
      </c>
      <c r="D203" s="45" t="s">
        <v>646</v>
      </c>
      <c r="F203" s="80">
        <v>2652503</v>
      </c>
      <c r="H203" s="64">
        <f t="shared" si="82"/>
        <v>911933.99278159032</v>
      </c>
      <c r="I203" s="64">
        <f t="shared" si="82"/>
        <v>955308.57768312108</v>
      </c>
      <c r="J203" s="64">
        <f t="shared" si="82"/>
        <v>785260.4295352886</v>
      </c>
      <c r="K203" s="64">
        <f t="shared" si="82"/>
        <v>0</v>
      </c>
      <c r="L203" s="64">
        <f t="shared" si="82"/>
        <v>0</v>
      </c>
      <c r="M203" s="64">
        <f t="shared" si="82"/>
        <v>0</v>
      </c>
      <c r="N203" s="64">
        <f t="shared" si="82"/>
        <v>0</v>
      </c>
      <c r="O203" s="64">
        <f t="shared" si="82"/>
        <v>0</v>
      </c>
      <c r="P203" s="64">
        <f t="shared" si="82"/>
        <v>0</v>
      </c>
      <c r="Q203" s="64">
        <f t="shared" si="82"/>
        <v>0</v>
      </c>
      <c r="R203" s="64">
        <f t="shared" si="83"/>
        <v>0</v>
      </c>
      <c r="S203" s="64">
        <f t="shared" si="83"/>
        <v>0</v>
      </c>
      <c r="T203" s="64">
        <f t="shared" si="83"/>
        <v>0</v>
      </c>
      <c r="U203" s="64">
        <f t="shared" si="83"/>
        <v>0</v>
      </c>
      <c r="V203" s="64">
        <f t="shared" si="83"/>
        <v>0</v>
      </c>
      <c r="W203" s="64">
        <f t="shared" si="83"/>
        <v>0</v>
      </c>
      <c r="X203" s="64">
        <f t="shared" si="83"/>
        <v>0</v>
      </c>
      <c r="Y203" s="64">
        <f t="shared" si="83"/>
        <v>0</v>
      </c>
      <c r="Z203" s="64">
        <f t="shared" si="83"/>
        <v>0</v>
      </c>
      <c r="AA203" s="64">
        <f t="shared" si="83"/>
        <v>0</v>
      </c>
      <c r="AB203" s="64">
        <f t="shared" si="83"/>
        <v>0</v>
      </c>
      <c r="AC203" s="64">
        <f t="shared" si="83"/>
        <v>0</v>
      </c>
      <c r="AD203" s="64">
        <f t="shared" si="83"/>
        <v>0</v>
      </c>
      <c r="AE203" s="64">
        <f t="shared" si="83"/>
        <v>0</v>
      </c>
      <c r="AF203" s="64">
        <f>SUM(H203:AE203)</f>
        <v>2652503</v>
      </c>
      <c r="AG203" s="59" t="str">
        <f>IF(ABS(AF203-F203)&lt;1,"ok","err")</f>
        <v>ok</v>
      </c>
    </row>
    <row r="204" spans="1:33">
      <c r="A204" s="61">
        <v>554</v>
      </c>
      <c r="B204" s="45" t="s">
        <v>248</v>
      </c>
      <c r="C204" s="45" t="s">
        <v>249</v>
      </c>
      <c r="D204" s="45" t="s">
        <v>646</v>
      </c>
      <c r="F204" s="80">
        <v>1112788</v>
      </c>
      <c r="H204" s="64">
        <f t="shared" si="82"/>
        <v>382577.96653177787</v>
      </c>
      <c r="I204" s="64">
        <f t="shared" si="82"/>
        <v>400774.63495530258</v>
      </c>
      <c r="J204" s="64">
        <f t="shared" si="82"/>
        <v>329435.39851291955</v>
      </c>
      <c r="K204" s="64">
        <f t="shared" si="82"/>
        <v>0</v>
      </c>
      <c r="L204" s="64">
        <f t="shared" si="82"/>
        <v>0</v>
      </c>
      <c r="M204" s="64">
        <f t="shared" si="82"/>
        <v>0</v>
      </c>
      <c r="N204" s="64">
        <f t="shared" si="82"/>
        <v>0</v>
      </c>
      <c r="O204" s="64">
        <f t="shared" si="82"/>
        <v>0</v>
      </c>
      <c r="P204" s="64">
        <f t="shared" si="82"/>
        <v>0</v>
      </c>
      <c r="Q204" s="64">
        <f t="shared" si="82"/>
        <v>0</v>
      </c>
      <c r="R204" s="64">
        <f t="shared" si="83"/>
        <v>0</v>
      </c>
      <c r="S204" s="64">
        <f t="shared" si="83"/>
        <v>0</v>
      </c>
      <c r="T204" s="64">
        <f t="shared" si="83"/>
        <v>0</v>
      </c>
      <c r="U204" s="64">
        <f t="shared" si="83"/>
        <v>0</v>
      </c>
      <c r="V204" s="64">
        <f t="shared" si="83"/>
        <v>0</v>
      </c>
      <c r="W204" s="64">
        <f t="shared" si="83"/>
        <v>0</v>
      </c>
      <c r="X204" s="64">
        <f t="shared" si="83"/>
        <v>0</v>
      </c>
      <c r="Y204" s="64">
        <f t="shared" si="83"/>
        <v>0</v>
      </c>
      <c r="Z204" s="64">
        <f t="shared" si="83"/>
        <v>0</v>
      </c>
      <c r="AA204" s="64">
        <f t="shared" si="83"/>
        <v>0</v>
      </c>
      <c r="AB204" s="64">
        <f t="shared" si="83"/>
        <v>0</v>
      </c>
      <c r="AC204" s="64">
        <f t="shared" si="83"/>
        <v>0</v>
      </c>
      <c r="AD204" s="64">
        <f t="shared" si="83"/>
        <v>0</v>
      </c>
      <c r="AE204" s="64">
        <f t="shared" si="83"/>
        <v>0</v>
      </c>
      <c r="AF204" s="64">
        <f>SUM(H204:AE204)</f>
        <v>1112788</v>
      </c>
      <c r="AG204" s="59" t="str">
        <f>IF(ABS(AF204-F204)&lt;1,"ok","err")</f>
        <v>ok</v>
      </c>
    </row>
    <row r="205" spans="1:33">
      <c r="A205" s="61"/>
      <c r="F205" s="77"/>
      <c r="W205" s="45"/>
      <c r="AG205" s="59"/>
    </row>
    <row r="206" spans="1:33">
      <c r="A206" s="61"/>
      <c r="B206" s="45" t="s">
        <v>251</v>
      </c>
      <c r="F206" s="77">
        <f>SUM(F201:F205)</f>
        <v>4582662</v>
      </c>
      <c r="H206" s="63">
        <f t="shared" ref="H206:M206" si="84">SUM(H201:H205)</f>
        <v>1575525.1757409768</v>
      </c>
      <c r="I206" s="63">
        <f t="shared" si="84"/>
        <v>1650462.3433875425</v>
      </c>
      <c r="J206" s="63">
        <f t="shared" si="84"/>
        <v>1356674.4808714804</v>
      </c>
      <c r="K206" s="63">
        <f t="shared" si="84"/>
        <v>0</v>
      </c>
      <c r="L206" s="63">
        <f t="shared" si="84"/>
        <v>0</v>
      </c>
      <c r="M206" s="63">
        <f t="shared" si="84"/>
        <v>0</v>
      </c>
      <c r="N206" s="63">
        <f>SUM(N201:N205)</f>
        <v>0</v>
      </c>
      <c r="O206" s="63">
        <f>SUM(O201:O205)</f>
        <v>0</v>
      </c>
      <c r="P206" s="63">
        <f>SUM(P201:P205)</f>
        <v>0</v>
      </c>
      <c r="Q206" s="63">
        <f t="shared" ref="Q206:AB206" si="85">SUM(Q201:Q205)</f>
        <v>0</v>
      </c>
      <c r="R206" s="63">
        <f t="shared" si="85"/>
        <v>0</v>
      </c>
      <c r="S206" s="63">
        <f t="shared" si="85"/>
        <v>0</v>
      </c>
      <c r="T206" s="63">
        <f t="shared" si="85"/>
        <v>0</v>
      </c>
      <c r="U206" s="63">
        <f t="shared" si="85"/>
        <v>0</v>
      </c>
      <c r="V206" s="63">
        <f t="shared" si="85"/>
        <v>0</v>
      </c>
      <c r="W206" s="63">
        <f t="shared" si="85"/>
        <v>0</v>
      </c>
      <c r="X206" s="63">
        <f t="shared" si="85"/>
        <v>0</v>
      </c>
      <c r="Y206" s="63">
        <f t="shared" si="85"/>
        <v>0</v>
      </c>
      <c r="Z206" s="63">
        <f t="shared" si="85"/>
        <v>0</v>
      </c>
      <c r="AA206" s="63">
        <f t="shared" si="85"/>
        <v>0</v>
      </c>
      <c r="AB206" s="63">
        <f t="shared" si="85"/>
        <v>0</v>
      </c>
      <c r="AC206" s="63">
        <f>SUM(AC201:AC205)</f>
        <v>0</v>
      </c>
      <c r="AD206" s="63">
        <f>SUM(AD201:AD205)</f>
        <v>0</v>
      </c>
      <c r="AE206" s="63">
        <f>SUM(AE201:AE205)</f>
        <v>0</v>
      </c>
      <c r="AF206" s="64">
        <f>SUM(H206:AE206)</f>
        <v>4582662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250</v>
      </c>
      <c r="F208" s="77">
        <f>F196+F206</f>
        <v>63896490.317857109</v>
      </c>
      <c r="H208" s="63">
        <f t="shared" ref="H208:M208" si="86">H196+H206</f>
        <v>2261808.9638335332</v>
      </c>
      <c r="I208" s="63">
        <f t="shared" si="86"/>
        <v>2369388.0492820316</v>
      </c>
      <c r="J208" s="63">
        <f t="shared" si="86"/>
        <v>1947628.9868844349</v>
      </c>
      <c r="K208" s="63">
        <f t="shared" si="86"/>
        <v>57317664.317857109</v>
      </c>
      <c r="L208" s="63">
        <f t="shared" si="86"/>
        <v>0</v>
      </c>
      <c r="M208" s="63">
        <f t="shared" si="86"/>
        <v>0</v>
      </c>
      <c r="N208" s="63">
        <f>N196+N206</f>
        <v>0</v>
      </c>
      <c r="O208" s="63">
        <f>O196+O206</f>
        <v>0</v>
      </c>
      <c r="P208" s="63">
        <f>P196+P206</f>
        <v>0</v>
      </c>
      <c r="Q208" s="63">
        <f t="shared" ref="Q208:AB208" si="87">Q196+Q206</f>
        <v>0</v>
      </c>
      <c r="R208" s="63">
        <f t="shared" si="87"/>
        <v>0</v>
      </c>
      <c r="S208" s="63">
        <f t="shared" si="87"/>
        <v>0</v>
      </c>
      <c r="T208" s="63">
        <f t="shared" si="87"/>
        <v>0</v>
      </c>
      <c r="U208" s="63">
        <f t="shared" si="87"/>
        <v>0</v>
      </c>
      <c r="V208" s="63">
        <f t="shared" si="87"/>
        <v>0</v>
      </c>
      <c r="W208" s="63">
        <f t="shared" si="87"/>
        <v>0</v>
      </c>
      <c r="X208" s="63">
        <f t="shared" si="87"/>
        <v>0</v>
      </c>
      <c r="Y208" s="63">
        <f t="shared" si="87"/>
        <v>0</v>
      </c>
      <c r="Z208" s="63">
        <f t="shared" si="87"/>
        <v>0</v>
      </c>
      <c r="AA208" s="63">
        <f t="shared" si="87"/>
        <v>0</v>
      </c>
      <c r="AB208" s="63">
        <f t="shared" si="87"/>
        <v>0</v>
      </c>
      <c r="AC208" s="63">
        <f>AC196+AC206</f>
        <v>0</v>
      </c>
      <c r="AD208" s="63">
        <f>AD196+AD206</f>
        <v>0</v>
      </c>
      <c r="AE208" s="63">
        <f>AE196+AE206</f>
        <v>0</v>
      </c>
      <c r="AF208" s="64">
        <f>SUM(H208:AE208)</f>
        <v>63896490.317857109</v>
      </c>
      <c r="AG208" s="59" t="str">
        <f>IF(ABS(AF208-F208)&lt;1,"ok","err")</f>
        <v>ok</v>
      </c>
    </row>
    <row r="209" spans="1:33">
      <c r="A209" s="61"/>
      <c r="F209" s="77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4"/>
      <c r="AG209" s="59"/>
    </row>
    <row r="210" spans="1:33">
      <c r="A210" s="61"/>
      <c r="B210" s="45" t="s">
        <v>252</v>
      </c>
      <c r="F210" s="77">
        <f>F166+F187+F208</f>
        <v>455155390.02952063</v>
      </c>
      <c r="H210" s="63">
        <f t="shared" ref="H210:M210" si="88">H166+H187+H208</f>
        <v>16376100.132399596</v>
      </c>
      <c r="I210" s="63">
        <f t="shared" si="88"/>
        <v>17155001.402854659</v>
      </c>
      <c r="J210" s="63">
        <f t="shared" si="88"/>
        <v>14101353.306127802</v>
      </c>
      <c r="K210" s="63">
        <f t="shared" si="88"/>
        <v>407522935.18813854</v>
      </c>
      <c r="L210" s="63">
        <f t="shared" si="88"/>
        <v>0</v>
      </c>
      <c r="M210" s="63">
        <f t="shared" si="88"/>
        <v>0</v>
      </c>
      <c r="N210" s="63">
        <f>N166+N187+N208</f>
        <v>0</v>
      </c>
      <c r="O210" s="63">
        <f>O166+O187+O208</f>
        <v>0</v>
      </c>
      <c r="P210" s="63">
        <f>P166+P187+P208</f>
        <v>0</v>
      </c>
      <c r="Q210" s="63">
        <f t="shared" ref="Q210:AB210" si="89">Q166+Q187+Q208</f>
        <v>0</v>
      </c>
      <c r="R210" s="63">
        <f t="shared" si="89"/>
        <v>0</v>
      </c>
      <c r="S210" s="63">
        <f t="shared" si="89"/>
        <v>0</v>
      </c>
      <c r="T210" s="63">
        <f t="shared" si="89"/>
        <v>0</v>
      </c>
      <c r="U210" s="63">
        <f t="shared" si="89"/>
        <v>0</v>
      </c>
      <c r="V210" s="63">
        <f t="shared" si="89"/>
        <v>0</v>
      </c>
      <c r="W210" s="63">
        <f t="shared" si="89"/>
        <v>0</v>
      </c>
      <c r="X210" s="63">
        <f t="shared" si="89"/>
        <v>0</v>
      </c>
      <c r="Y210" s="63">
        <f t="shared" si="89"/>
        <v>0</v>
      </c>
      <c r="Z210" s="63">
        <f t="shared" si="89"/>
        <v>0</v>
      </c>
      <c r="AA210" s="63">
        <f t="shared" si="89"/>
        <v>0</v>
      </c>
      <c r="AB210" s="63">
        <f t="shared" si="89"/>
        <v>0</v>
      </c>
      <c r="AC210" s="63">
        <f>AC166+AC187+AC208</f>
        <v>0</v>
      </c>
      <c r="AD210" s="63">
        <f>AD166+AD187+AD208</f>
        <v>0</v>
      </c>
      <c r="AE210" s="63">
        <f>AE166+AE187+AE208</f>
        <v>0</v>
      </c>
      <c r="AF210" s="64">
        <f>SUM(H210:AE210)</f>
        <v>455155390.02952063</v>
      </c>
      <c r="AG210" s="59" t="str">
        <f>IF(ABS(AF210-F210)&lt;1,"ok","err")</f>
        <v>ok</v>
      </c>
    </row>
    <row r="211" spans="1:33">
      <c r="A211" s="61"/>
      <c r="W211" s="45"/>
      <c r="AG211" s="59"/>
    </row>
    <row r="212" spans="1:33" ht="15">
      <c r="A212" s="66" t="s">
        <v>253</v>
      </c>
      <c r="W212" s="45"/>
      <c r="AG212" s="59"/>
    </row>
    <row r="213" spans="1:33">
      <c r="A213" s="61">
        <v>555</v>
      </c>
      <c r="B213" s="45" t="s">
        <v>1160</v>
      </c>
      <c r="C213" s="45" t="s">
        <v>6</v>
      </c>
      <c r="D213" s="45" t="s">
        <v>995</v>
      </c>
      <c r="F213" s="77">
        <v>53937677.621999964</v>
      </c>
      <c r="G213" s="63"/>
      <c r="H213" s="64">
        <f t="shared" ref="H213:Q219" si="90">IF(VLOOKUP($D213,$C$6:$AE$653,H$2,)=0,0,((VLOOKUP($D213,$C$6:$AE$653,H$2,)/VLOOKUP($D213,$C$6:$AE$653,4,))*$F213))</f>
        <v>5575352.811538578</v>
      </c>
      <c r="I213" s="64">
        <f t="shared" si="90"/>
        <v>5840534.9582665889</v>
      </c>
      <c r="J213" s="64">
        <f t="shared" si="90"/>
        <v>4800900.0412907358</v>
      </c>
      <c r="K213" s="64">
        <f t="shared" si="90"/>
        <v>37720889.810904063</v>
      </c>
      <c r="L213" s="64">
        <f t="shared" si="90"/>
        <v>0</v>
      </c>
      <c r="M213" s="64">
        <f t="shared" si="90"/>
        <v>0</v>
      </c>
      <c r="N213" s="64">
        <f t="shared" si="90"/>
        <v>0</v>
      </c>
      <c r="O213" s="64">
        <f t="shared" si="90"/>
        <v>0</v>
      </c>
      <c r="P213" s="64">
        <f t="shared" si="90"/>
        <v>0</v>
      </c>
      <c r="Q213" s="64">
        <f t="shared" si="90"/>
        <v>0</v>
      </c>
      <c r="R213" s="64">
        <f t="shared" ref="R213:AE219" si="91">IF(VLOOKUP($D213,$C$6:$AE$653,R$2,)=0,0,((VLOOKUP($D213,$C$6:$AE$653,R$2,)/VLOOKUP($D213,$C$6:$AE$653,4,))*$F213))</f>
        <v>0</v>
      </c>
      <c r="S213" s="64">
        <f t="shared" si="91"/>
        <v>0</v>
      </c>
      <c r="T213" s="64">
        <f t="shared" si="91"/>
        <v>0</v>
      </c>
      <c r="U213" s="64">
        <f t="shared" si="91"/>
        <v>0</v>
      </c>
      <c r="V213" s="64">
        <f t="shared" si="91"/>
        <v>0</v>
      </c>
      <c r="W213" s="64">
        <f t="shared" si="91"/>
        <v>0</v>
      </c>
      <c r="X213" s="64">
        <f t="shared" si="91"/>
        <v>0</v>
      </c>
      <c r="Y213" s="64">
        <f t="shared" si="91"/>
        <v>0</v>
      </c>
      <c r="Z213" s="64">
        <f t="shared" si="91"/>
        <v>0</v>
      </c>
      <c r="AA213" s="64">
        <f t="shared" si="91"/>
        <v>0</v>
      </c>
      <c r="AB213" s="64">
        <f t="shared" si="91"/>
        <v>0</v>
      </c>
      <c r="AC213" s="64">
        <f t="shared" si="91"/>
        <v>0</v>
      </c>
      <c r="AD213" s="64">
        <f t="shared" si="91"/>
        <v>0</v>
      </c>
      <c r="AE213" s="64">
        <f t="shared" si="91"/>
        <v>0</v>
      </c>
      <c r="AF213" s="64">
        <f t="shared" ref="AF213:AF219" si="92">SUM(H213:AE213)</f>
        <v>53937677.621999964</v>
      </c>
      <c r="AG213" s="59" t="str">
        <f t="shared" ref="AG213:AG219" si="93">IF(ABS(AF213-F213)&lt;1,"ok","err")</f>
        <v>ok</v>
      </c>
    </row>
    <row r="214" spans="1:33">
      <c r="A214" s="61">
        <v>555</v>
      </c>
      <c r="B214" s="45" t="s">
        <v>254</v>
      </c>
      <c r="C214" s="45" t="s">
        <v>255</v>
      </c>
      <c r="D214" s="45" t="s">
        <v>995</v>
      </c>
      <c r="F214" s="80">
        <v>0</v>
      </c>
      <c r="G214" s="63"/>
      <c r="H214" s="64">
        <f t="shared" si="90"/>
        <v>0</v>
      </c>
      <c r="I214" s="64">
        <f t="shared" si="90"/>
        <v>0</v>
      </c>
      <c r="J214" s="64">
        <f t="shared" si="90"/>
        <v>0</v>
      </c>
      <c r="K214" s="64">
        <f t="shared" si="90"/>
        <v>0</v>
      </c>
      <c r="L214" s="64">
        <f t="shared" si="90"/>
        <v>0</v>
      </c>
      <c r="M214" s="64">
        <f t="shared" si="90"/>
        <v>0</v>
      </c>
      <c r="N214" s="64">
        <f t="shared" si="90"/>
        <v>0</v>
      </c>
      <c r="O214" s="64">
        <f t="shared" si="90"/>
        <v>0</v>
      </c>
      <c r="P214" s="64">
        <f t="shared" si="90"/>
        <v>0</v>
      </c>
      <c r="Q214" s="64">
        <f t="shared" si="90"/>
        <v>0</v>
      </c>
      <c r="R214" s="64">
        <f t="shared" si="91"/>
        <v>0</v>
      </c>
      <c r="S214" s="64">
        <f t="shared" si="91"/>
        <v>0</v>
      </c>
      <c r="T214" s="64">
        <f t="shared" si="91"/>
        <v>0</v>
      </c>
      <c r="U214" s="64">
        <f t="shared" si="91"/>
        <v>0</v>
      </c>
      <c r="V214" s="64">
        <f t="shared" si="91"/>
        <v>0</v>
      </c>
      <c r="W214" s="64">
        <f t="shared" si="91"/>
        <v>0</v>
      </c>
      <c r="X214" s="64">
        <f t="shared" si="91"/>
        <v>0</v>
      </c>
      <c r="Y214" s="64">
        <f t="shared" si="91"/>
        <v>0</v>
      </c>
      <c r="Z214" s="64">
        <f t="shared" si="91"/>
        <v>0</v>
      </c>
      <c r="AA214" s="64">
        <f t="shared" si="91"/>
        <v>0</v>
      </c>
      <c r="AB214" s="64">
        <f t="shared" si="91"/>
        <v>0</v>
      </c>
      <c r="AC214" s="64">
        <f t="shared" si="91"/>
        <v>0</v>
      </c>
      <c r="AD214" s="64">
        <f t="shared" si="91"/>
        <v>0</v>
      </c>
      <c r="AE214" s="64">
        <f t="shared" si="91"/>
        <v>0</v>
      </c>
      <c r="AF214" s="64">
        <f t="shared" si="92"/>
        <v>0</v>
      </c>
      <c r="AG214" s="59" t="str">
        <f t="shared" si="93"/>
        <v>ok</v>
      </c>
    </row>
    <row r="215" spans="1:33">
      <c r="A215" s="61">
        <v>555</v>
      </c>
      <c r="B215" s="45" t="s">
        <v>256</v>
      </c>
      <c r="C215" s="45" t="s">
        <v>257</v>
      </c>
      <c r="D215" s="45" t="s">
        <v>995</v>
      </c>
      <c r="F215" s="80">
        <v>0</v>
      </c>
      <c r="G215" s="63"/>
      <c r="H215" s="64">
        <f t="shared" si="90"/>
        <v>0</v>
      </c>
      <c r="I215" s="64">
        <f t="shared" si="90"/>
        <v>0</v>
      </c>
      <c r="J215" s="64">
        <f t="shared" si="90"/>
        <v>0</v>
      </c>
      <c r="K215" s="64">
        <f t="shared" si="90"/>
        <v>0</v>
      </c>
      <c r="L215" s="64">
        <f t="shared" si="90"/>
        <v>0</v>
      </c>
      <c r="M215" s="64">
        <f t="shared" si="90"/>
        <v>0</v>
      </c>
      <c r="N215" s="64">
        <f t="shared" si="90"/>
        <v>0</v>
      </c>
      <c r="O215" s="64">
        <f t="shared" si="90"/>
        <v>0</v>
      </c>
      <c r="P215" s="64">
        <f t="shared" si="90"/>
        <v>0</v>
      </c>
      <c r="Q215" s="64">
        <f t="shared" si="90"/>
        <v>0</v>
      </c>
      <c r="R215" s="64">
        <f t="shared" si="91"/>
        <v>0</v>
      </c>
      <c r="S215" s="64">
        <f t="shared" si="91"/>
        <v>0</v>
      </c>
      <c r="T215" s="64">
        <f t="shared" si="91"/>
        <v>0</v>
      </c>
      <c r="U215" s="64">
        <f t="shared" si="91"/>
        <v>0</v>
      </c>
      <c r="V215" s="64">
        <f t="shared" si="91"/>
        <v>0</v>
      </c>
      <c r="W215" s="64">
        <f t="shared" si="91"/>
        <v>0</v>
      </c>
      <c r="X215" s="64">
        <f t="shared" si="91"/>
        <v>0</v>
      </c>
      <c r="Y215" s="64">
        <f t="shared" si="91"/>
        <v>0</v>
      </c>
      <c r="Z215" s="64">
        <f t="shared" si="91"/>
        <v>0</v>
      </c>
      <c r="AA215" s="64">
        <f t="shared" si="91"/>
        <v>0</v>
      </c>
      <c r="AB215" s="64">
        <f t="shared" si="91"/>
        <v>0</v>
      </c>
      <c r="AC215" s="64">
        <f t="shared" si="91"/>
        <v>0</v>
      </c>
      <c r="AD215" s="64">
        <f t="shared" si="91"/>
        <v>0</v>
      </c>
      <c r="AE215" s="64">
        <f t="shared" si="91"/>
        <v>0</v>
      </c>
      <c r="AF215" s="64">
        <f t="shared" si="92"/>
        <v>0</v>
      </c>
      <c r="AG215" s="59" t="str">
        <f t="shared" si="93"/>
        <v>ok</v>
      </c>
    </row>
    <row r="216" spans="1:33">
      <c r="A216" s="61">
        <v>555</v>
      </c>
      <c r="B216" s="45" t="s">
        <v>258</v>
      </c>
      <c r="C216" s="45" t="s">
        <v>259</v>
      </c>
      <c r="D216" s="45" t="s">
        <v>995</v>
      </c>
      <c r="F216" s="80">
        <v>0</v>
      </c>
      <c r="G216" s="63"/>
      <c r="H216" s="64">
        <f t="shared" si="90"/>
        <v>0</v>
      </c>
      <c r="I216" s="64">
        <f t="shared" si="90"/>
        <v>0</v>
      </c>
      <c r="J216" s="64">
        <f t="shared" si="90"/>
        <v>0</v>
      </c>
      <c r="K216" s="64">
        <f t="shared" si="90"/>
        <v>0</v>
      </c>
      <c r="L216" s="64">
        <f t="shared" si="90"/>
        <v>0</v>
      </c>
      <c r="M216" s="64">
        <f t="shared" si="90"/>
        <v>0</v>
      </c>
      <c r="N216" s="64">
        <f t="shared" si="90"/>
        <v>0</v>
      </c>
      <c r="O216" s="64">
        <f t="shared" si="90"/>
        <v>0</v>
      </c>
      <c r="P216" s="64">
        <f t="shared" si="90"/>
        <v>0</v>
      </c>
      <c r="Q216" s="64">
        <f t="shared" si="90"/>
        <v>0</v>
      </c>
      <c r="R216" s="64">
        <f t="shared" si="91"/>
        <v>0</v>
      </c>
      <c r="S216" s="64">
        <f t="shared" si="91"/>
        <v>0</v>
      </c>
      <c r="T216" s="64">
        <f t="shared" si="91"/>
        <v>0</v>
      </c>
      <c r="U216" s="64">
        <f t="shared" si="91"/>
        <v>0</v>
      </c>
      <c r="V216" s="64">
        <f t="shared" si="91"/>
        <v>0</v>
      </c>
      <c r="W216" s="64">
        <f t="shared" si="91"/>
        <v>0</v>
      </c>
      <c r="X216" s="64">
        <f t="shared" si="91"/>
        <v>0</v>
      </c>
      <c r="Y216" s="64">
        <f t="shared" si="91"/>
        <v>0</v>
      </c>
      <c r="Z216" s="64">
        <f t="shared" si="91"/>
        <v>0</v>
      </c>
      <c r="AA216" s="64">
        <f t="shared" si="91"/>
        <v>0</v>
      </c>
      <c r="AB216" s="64">
        <f t="shared" si="91"/>
        <v>0</v>
      </c>
      <c r="AC216" s="64">
        <f t="shared" si="91"/>
        <v>0</v>
      </c>
      <c r="AD216" s="64">
        <f t="shared" si="91"/>
        <v>0</v>
      </c>
      <c r="AE216" s="64">
        <f t="shared" si="91"/>
        <v>0</v>
      </c>
      <c r="AF216" s="64">
        <f t="shared" si="92"/>
        <v>0</v>
      </c>
      <c r="AG216" s="59" t="str">
        <f t="shared" si="93"/>
        <v>ok</v>
      </c>
    </row>
    <row r="217" spans="1:33">
      <c r="A217" s="61">
        <v>556</v>
      </c>
      <c r="B217" s="45" t="s">
        <v>260</v>
      </c>
      <c r="C217" s="45" t="s">
        <v>261</v>
      </c>
      <c r="D217" s="45" t="s">
        <v>646</v>
      </c>
      <c r="F217" s="80">
        <v>1248388</v>
      </c>
      <c r="G217" s="63"/>
      <c r="H217" s="64">
        <f t="shared" si="90"/>
        <v>429197.42348288541</v>
      </c>
      <c r="I217" s="64">
        <f t="shared" si="90"/>
        <v>449611.46685853932</v>
      </c>
      <c r="J217" s="64">
        <f t="shared" si="90"/>
        <v>369579.10965857527</v>
      </c>
      <c r="K217" s="64">
        <f t="shared" si="90"/>
        <v>0</v>
      </c>
      <c r="L217" s="64">
        <f t="shared" si="90"/>
        <v>0</v>
      </c>
      <c r="M217" s="64">
        <f t="shared" si="90"/>
        <v>0</v>
      </c>
      <c r="N217" s="64">
        <f t="shared" si="90"/>
        <v>0</v>
      </c>
      <c r="O217" s="64">
        <f t="shared" si="90"/>
        <v>0</v>
      </c>
      <c r="P217" s="64">
        <f t="shared" si="90"/>
        <v>0</v>
      </c>
      <c r="Q217" s="64">
        <f t="shared" si="90"/>
        <v>0</v>
      </c>
      <c r="R217" s="64">
        <f t="shared" si="91"/>
        <v>0</v>
      </c>
      <c r="S217" s="64">
        <f t="shared" si="91"/>
        <v>0</v>
      </c>
      <c r="T217" s="64">
        <f t="shared" si="91"/>
        <v>0</v>
      </c>
      <c r="U217" s="64">
        <f t="shared" si="91"/>
        <v>0</v>
      </c>
      <c r="V217" s="64">
        <f t="shared" si="91"/>
        <v>0</v>
      </c>
      <c r="W217" s="64">
        <f t="shared" si="91"/>
        <v>0</v>
      </c>
      <c r="X217" s="64">
        <f t="shared" si="91"/>
        <v>0</v>
      </c>
      <c r="Y217" s="64">
        <f t="shared" si="91"/>
        <v>0</v>
      </c>
      <c r="Z217" s="64">
        <f t="shared" si="91"/>
        <v>0</v>
      </c>
      <c r="AA217" s="64">
        <f t="shared" si="91"/>
        <v>0</v>
      </c>
      <c r="AB217" s="64">
        <f t="shared" si="91"/>
        <v>0</v>
      </c>
      <c r="AC217" s="64">
        <f t="shared" si="91"/>
        <v>0</v>
      </c>
      <c r="AD217" s="64">
        <f t="shared" si="91"/>
        <v>0</v>
      </c>
      <c r="AE217" s="64">
        <f t="shared" si="91"/>
        <v>0</v>
      </c>
      <c r="AF217" s="64">
        <f t="shared" si="92"/>
        <v>1248388</v>
      </c>
      <c r="AG217" s="59" t="str">
        <f t="shared" si="93"/>
        <v>ok</v>
      </c>
    </row>
    <row r="218" spans="1:33">
      <c r="A218" s="61">
        <v>557</v>
      </c>
      <c r="B218" s="45" t="s">
        <v>7</v>
      </c>
      <c r="C218" s="45" t="s">
        <v>8</v>
      </c>
      <c r="D218" s="45" t="s">
        <v>646</v>
      </c>
      <c r="F218" s="80">
        <v>3806.9999999999709</v>
      </c>
      <c r="G218" s="63"/>
      <c r="H218" s="64">
        <f t="shared" si="90"/>
        <v>1308.8515679414832</v>
      </c>
      <c r="I218" s="64">
        <f t="shared" si="90"/>
        <v>1371.1048602921896</v>
      </c>
      <c r="J218" s="64">
        <f t="shared" si="90"/>
        <v>1127.0435717662981</v>
      </c>
      <c r="K218" s="64">
        <f t="shared" si="90"/>
        <v>0</v>
      </c>
      <c r="L218" s="64">
        <f t="shared" si="90"/>
        <v>0</v>
      </c>
      <c r="M218" s="64">
        <f t="shared" si="90"/>
        <v>0</v>
      </c>
      <c r="N218" s="64">
        <f t="shared" si="90"/>
        <v>0</v>
      </c>
      <c r="O218" s="64">
        <f t="shared" si="90"/>
        <v>0</v>
      </c>
      <c r="P218" s="64">
        <f t="shared" si="90"/>
        <v>0</v>
      </c>
      <c r="Q218" s="64">
        <f t="shared" si="90"/>
        <v>0</v>
      </c>
      <c r="R218" s="64">
        <f t="shared" si="91"/>
        <v>0</v>
      </c>
      <c r="S218" s="64">
        <f t="shared" si="91"/>
        <v>0</v>
      </c>
      <c r="T218" s="64">
        <f t="shared" si="91"/>
        <v>0</v>
      </c>
      <c r="U218" s="64">
        <f t="shared" si="91"/>
        <v>0</v>
      </c>
      <c r="V218" s="64">
        <f t="shared" si="91"/>
        <v>0</v>
      </c>
      <c r="W218" s="64">
        <f t="shared" si="91"/>
        <v>0</v>
      </c>
      <c r="X218" s="64">
        <f t="shared" si="91"/>
        <v>0</v>
      </c>
      <c r="Y218" s="64">
        <f t="shared" si="91"/>
        <v>0</v>
      </c>
      <c r="Z218" s="64">
        <f t="shared" si="91"/>
        <v>0</v>
      </c>
      <c r="AA218" s="64">
        <f t="shared" si="91"/>
        <v>0</v>
      </c>
      <c r="AB218" s="64">
        <f t="shared" si="91"/>
        <v>0</v>
      </c>
      <c r="AC218" s="64">
        <f t="shared" si="91"/>
        <v>0</v>
      </c>
      <c r="AD218" s="64">
        <f t="shared" si="91"/>
        <v>0</v>
      </c>
      <c r="AE218" s="64">
        <f t="shared" si="91"/>
        <v>0</v>
      </c>
      <c r="AF218" s="64">
        <f>SUM(H218:AE218)</f>
        <v>3806.9999999999709</v>
      </c>
      <c r="AG218" s="59" t="str">
        <f t="shared" si="93"/>
        <v>ok</v>
      </c>
    </row>
    <row r="219" spans="1:33">
      <c r="A219" s="61">
        <v>558</v>
      </c>
      <c r="B219" s="45" t="s">
        <v>665</v>
      </c>
      <c r="C219" s="45" t="s">
        <v>596</v>
      </c>
      <c r="D219" s="45" t="s">
        <v>939</v>
      </c>
      <c r="F219" s="80">
        <v>0</v>
      </c>
      <c r="G219" s="63"/>
      <c r="H219" s="64">
        <f t="shared" si="90"/>
        <v>0</v>
      </c>
      <c r="I219" s="64">
        <f t="shared" si="90"/>
        <v>0</v>
      </c>
      <c r="J219" s="64">
        <f t="shared" si="90"/>
        <v>0</v>
      </c>
      <c r="K219" s="64">
        <f t="shared" si="90"/>
        <v>0</v>
      </c>
      <c r="L219" s="64">
        <f t="shared" si="90"/>
        <v>0</v>
      </c>
      <c r="M219" s="64">
        <f t="shared" si="90"/>
        <v>0</v>
      </c>
      <c r="N219" s="64">
        <f t="shared" si="90"/>
        <v>0</v>
      </c>
      <c r="O219" s="64">
        <f t="shared" si="90"/>
        <v>0</v>
      </c>
      <c r="P219" s="64">
        <f t="shared" si="90"/>
        <v>0</v>
      </c>
      <c r="Q219" s="64">
        <f t="shared" si="90"/>
        <v>0</v>
      </c>
      <c r="R219" s="64">
        <f t="shared" si="91"/>
        <v>0</v>
      </c>
      <c r="S219" s="64">
        <f t="shared" si="91"/>
        <v>0</v>
      </c>
      <c r="T219" s="64">
        <f t="shared" si="91"/>
        <v>0</v>
      </c>
      <c r="U219" s="64">
        <f t="shared" si="91"/>
        <v>0</v>
      </c>
      <c r="V219" s="64">
        <f t="shared" si="91"/>
        <v>0</v>
      </c>
      <c r="W219" s="64">
        <f t="shared" si="91"/>
        <v>0</v>
      </c>
      <c r="X219" s="64">
        <f t="shared" si="91"/>
        <v>0</v>
      </c>
      <c r="Y219" s="64">
        <f t="shared" si="91"/>
        <v>0</v>
      </c>
      <c r="Z219" s="64">
        <f t="shared" si="91"/>
        <v>0</v>
      </c>
      <c r="AA219" s="64">
        <f t="shared" si="91"/>
        <v>0</v>
      </c>
      <c r="AB219" s="64">
        <f t="shared" si="91"/>
        <v>0</v>
      </c>
      <c r="AC219" s="64">
        <f t="shared" si="91"/>
        <v>0</v>
      </c>
      <c r="AD219" s="64">
        <f t="shared" si="91"/>
        <v>0</v>
      </c>
      <c r="AE219" s="64">
        <f t="shared" si="91"/>
        <v>0</v>
      </c>
      <c r="AF219" s="64">
        <f t="shared" si="92"/>
        <v>0</v>
      </c>
      <c r="AG219" s="59" t="str">
        <f t="shared" si="93"/>
        <v>ok</v>
      </c>
    </row>
    <row r="220" spans="1:33">
      <c r="A220" s="61"/>
      <c r="F220" s="80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</row>
    <row r="221" spans="1:33">
      <c r="A221" s="61"/>
      <c r="B221" s="45" t="s">
        <v>275</v>
      </c>
      <c r="C221" s="45" t="s">
        <v>9</v>
      </c>
      <c r="F221" s="77">
        <f>SUM(F213:F220)</f>
        <v>55189872.621999964</v>
      </c>
      <c r="G221" s="63"/>
      <c r="H221" s="63">
        <f t="shared" ref="H221:M221" si="94">SUM(H213:H220)</f>
        <v>6005859.0865894053</v>
      </c>
      <c r="I221" s="63">
        <f t="shared" si="94"/>
        <v>6291517.5299854204</v>
      </c>
      <c r="J221" s="63">
        <f t="shared" si="94"/>
        <v>5171606.1945210779</v>
      </c>
      <c r="K221" s="63">
        <f t="shared" si="94"/>
        <v>37720889.810904063</v>
      </c>
      <c r="L221" s="63">
        <f t="shared" si="94"/>
        <v>0</v>
      </c>
      <c r="M221" s="63">
        <f t="shared" si="94"/>
        <v>0</v>
      </c>
      <c r="N221" s="63">
        <f>SUM(N213:N220)</f>
        <v>0</v>
      </c>
      <c r="O221" s="63">
        <f>SUM(O213:O220)</f>
        <v>0</v>
      </c>
      <c r="P221" s="63">
        <f>SUM(P213:P220)</f>
        <v>0</v>
      </c>
      <c r="Q221" s="63">
        <f t="shared" ref="Q221:AB221" si="95">SUM(Q213:Q220)</f>
        <v>0</v>
      </c>
      <c r="R221" s="63">
        <f t="shared" si="95"/>
        <v>0</v>
      </c>
      <c r="S221" s="63">
        <f t="shared" si="95"/>
        <v>0</v>
      </c>
      <c r="T221" s="63">
        <f t="shared" si="95"/>
        <v>0</v>
      </c>
      <c r="U221" s="63">
        <f t="shared" si="95"/>
        <v>0</v>
      </c>
      <c r="V221" s="63">
        <f t="shared" si="95"/>
        <v>0</v>
      </c>
      <c r="W221" s="63">
        <f t="shared" si="95"/>
        <v>0</v>
      </c>
      <c r="X221" s="63">
        <f t="shared" si="95"/>
        <v>0</v>
      </c>
      <c r="Y221" s="63">
        <f t="shared" si="95"/>
        <v>0</v>
      </c>
      <c r="Z221" s="63">
        <f t="shared" si="95"/>
        <v>0</v>
      </c>
      <c r="AA221" s="63">
        <f t="shared" si="95"/>
        <v>0</v>
      </c>
      <c r="AB221" s="63">
        <f t="shared" si="95"/>
        <v>0</v>
      </c>
      <c r="AC221" s="63">
        <f>SUM(AC213:AC220)</f>
        <v>0</v>
      </c>
      <c r="AD221" s="63">
        <f>SUM(AD213:AD220)</f>
        <v>0</v>
      </c>
      <c r="AE221" s="63">
        <f>SUM(AE213:AE220)</f>
        <v>0</v>
      </c>
      <c r="AF221" s="64">
        <f>SUM(H221:AE221)</f>
        <v>55189872.621999964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>
      <c r="A223" s="61"/>
      <c r="B223" s="45" t="s">
        <v>262</v>
      </c>
      <c r="F223" s="77">
        <f>F210+F221</f>
        <v>510345262.65152061</v>
      </c>
      <c r="G223" s="63"/>
      <c r="H223" s="63">
        <f t="shared" ref="H223:M223" si="96">H210+H221</f>
        <v>22381959.218989</v>
      </c>
      <c r="I223" s="63">
        <f t="shared" si="96"/>
        <v>23446518.932840079</v>
      </c>
      <c r="J223" s="63">
        <f t="shared" si="96"/>
        <v>19272959.500648879</v>
      </c>
      <c r="K223" s="63">
        <f t="shared" si="96"/>
        <v>445243824.99904263</v>
      </c>
      <c r="L223" s="63">
        <f t="shared" si="96"/>
        <v>0</v>
      </c>
      <c r="M223" s="63">
        <f t="shared" si="96"/>
        <v>0</v>
      </c>
      <c r="N223" s="63">
        <f>N210+N221</f>
        <v>0</v>
      </c>
      <c r="O223" s="63">
        <f>O210+O221</f>
        <v>0</v>
      </c>
      <c r="P223" s="63">
        <f>P210+P221</f>
        <v>0</v>
      </c>
      <c r="Q223" s="63">
        <f t="shared" ref="Q223:AB223" si="97">Q210+Q221</f>
        <v>0</v>
      </c>
      <c r="R223" s="63">
        <f t="shared" si="97"/>
        <v>0</v>
      </c>
      <c r="S223" s="63">
        <f t="shared" si="97"/>
        <v>0</v>
      </c>
      <c r="T223" s="63">
        <f t="shared" si="97"/>
        <v>0</v>
      </c>
      <c r="U223" s="63">
        <f t="shared" si="97"/>
        <v>0</v>
      </c>
      <c r="V223" s="63">
        <f t="shared" si="97"/>
        <v>0</v>
      </c>
      <c r="W223" s="63">
        <f t="shared" si="97"/>
        <v>0</v>
      </c>
      <c r="X223" s="63">
        <f t="shared" si="97"/>
        <v>0</v>
      </c>
      <c r="Y223" s="63">
        <f t="shared" si="97"/>
        <v>0</v>
      </c>
      <c r="Z223" s="63">
        <f t="shared" si="97"/>
        <v>0</v>
      </c>
      <c r="AA223" s="63">
        <f t="shared" si="97"/>
        <v>0</v>
      </c>
      <c r="AB223" s="63">
        <f t="shared" si="97"/>
        <v>0</v>
      </c>
      <c r="AC223" s="63">
        <f>AC210+AC221</f>
        <v>0</v>
      </c>
      <c r="AD223" s="63">
        <f>AD210+AD221</f>
        <v>0</v>
      </c>
      <c r="AE223" s="63">
        <f>AE210+AE221</f>
        <v>0</v>
      </c>
      <c r="AF223" s="64">
        <f>SUM(H223:AE223)</f>
        <v>510345262.65152061</v>
      </c>
      <c r="AG223" s="59" t="str">
        <f>IF(ABS(AF223-F223)&lt;1,"ok","err")</f>
        <v>ok</v>
      </c>
    </row>
    <row r="224" spans="1:33">
      <c r="A224" s="61"/>
      <c r="F224" s="7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4"/>
      <c r="AG224" s="59"/>
    </row>
    <row r="225" spans="1:33" ht="15">
      <c r="A225" s="66" t="s">
        <v>1152</v>
      </c>
      <c r="F225" s="77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4"/>
      <c r="AG225" s="59"/>
    </row>
    <row r="226" spans="1:33">
      <c r="A226" s="61">
        <v>560</v>
      </c>
      <c r="B226" s="45" t="s">
        <v>1155</v>
      </c>
      <c r="C226" s="45" t="s">
        <v>11</v>
      </c>
      <c r="D226" s="45" t="s">
        <v>666</v>
      </c>
      <c r="F226" s="77">
        <v>1013327</v>
      </c>
      <c r="G226" s="63"/>
      <c r="H226" s="64">
        <f t="shared" ref="H226:Q239" si="98">IF(VLOOKUP($D226,$C$6:$AE$653,H$2,)=0,0,((VLOOKUP($D226,$C$6:$AE$653,H$2,)/VLOOKUP($D226,$C$6:$AE$653,4,))*$F226))</f>
        <v>0</v>
      </c>
      <c r="I226" s="64">
        <f t="shared" si="98"/>
        <v>0</v>
      </c>
      <c r="J226" s="64">
        <f t="shared" si="98"/>
        <v>0</v>
      </c>
      <c r="K226" s="64">
        <f t="shared" si="98"/>
        <v>0</v>
      </c>
      <c r="L226" s="64">
        <f t="shared" si="98"/>
        <v>0</v>
      </c>
      <c r="M226" s="64">
        <f t="shared" si="98"/>
        <v>0</v>
      </c>
      <c r="N226" s="64">
        <f t="shared" si="98"/>
        <v>1013327</v>
      </c>
      <c r="O226" s="64">
        <f t="shared" si="98"/>
        <v>0</v>
      </c>
      <c r="P226" s="64">
        <f t="shared" si="98"/>
        <v>0</v>
      </c>
      <c r="Q226" s="64">
        <f t="shared" si="98"/>
        <v>0</v>
      </c>
      <c r="R226" s="64">
        <f t="shared" ref="R226:AE239" si="99">IF(VLOOKUP($D226,$C$6:$AE$653,R$2,)=0,0,((VLOOKUP($D226,$C$6:$AE$653,R$2,)/VLOOKUP($D226,$C$6:$AE$653,4,))*$F226))</f>
        <v>0</v>
      </c>
      <c r="S226" s="64">
        <f t="shared" si="99"/>
        <v>0</v>
      </c>
      <c r="T226" s="64">
        <f t="shared" si="99"/>
        <v>0</v>
      </c>
      <c r="U226" s="64">
        <f t="shared" si="99"/>
        <v>0</v>
      </c>
      <c r="V226" s="64">
        <f t="shared" si="99"/>
        <v>0</v>
      </c>
      <c r="W226" s="64">
        <f t="shared" si="99"/>
        <v>0</v>
      </c>
      <c r="X226" s="64">
        <f t="shared" si="99"/>
        <v>0</v>
      </c>
      <c r="Y226" s="64">
        <f t="shared" si="99"/>
        <v>0</v>
      </c>
      <c r="Z226" s="64">
        <f t="shared" si="99"/>
        <v>0</v>
      </c>
      <c r="AA226" s="64">
        <f t="shared" si="99"/>
        <v>0</v>
      </c>
      <c r="AB226" s="64">
        <f t="shared" si="99"/>
        <v>0</v>
      </c>
      <c r="AC226" s="64">
        <f t="shared" si="99"/>
        <v>0</v>
      </c>
      <c r="AD226" s="64">
        <f t="shared" si="99"/>
        <v>0</v>
      </c>
      <c r="AE226" s="64">
        <f t="shared" si="99"/>
        <v>0</v>
      </c>
      <c r="AF226" s="64">
        <f t="shared" ref="AF226:AF231" si="100">SUM(H226:AE226)</f>
        <v>1013327</v>
      </c>
      <c r="AG226" s="59" t="str">
        <f t="shared" ref="AG226:AG239" si="101">IF(ABS(AF226-F226)&lt;1,"ok","err")</f>
        <v>ok</v>
      </c>
    </row>
    <row r="227" spans="1:33">
      <c r="A227" s="61">
        <v>561</v>
      </c>
      <c r="B227" s="45" t="s">
        <v>999</v>
      </c>
      <c r="C227" s="45" t="s">
        <v>12</v>
      </c>
      <c r="D227" s="45" t="s">
        <v>666</v>
      </c>
      <c r="F227" s="80">
        <f>1815175+393408</f>
        <v>2208583</v>
      </c>
      <c r="G227" s="63"/>
      <c r="H227" s="64">
        <f t="shared" si="98"/>
        <v>0</v>
      </c>
      <c r="I227" s="64">
        <f t="shared" si="98"/>
        <v>0</v>
      </c>
      <c r="J227" s="64">
        <f t="shared" si="98"/>
        <v>0</v>
      </c>
      <c r="K227" s="64">
        <f t="shared" si="98"/>
        <v>0</v>
      </c>
      <c r="L227" s="64">
        <f t="shared" si="98"/>
        <v>0</v>
      </c>
      <c r="M227" s="64">
        <f t="shared" si="98"/>
        <v>0</v>
      </c>
      <c r="N227" s="64">
        <f t="shared" si="98"/>
        <v>2208583</v>
      </c>
      <c r="O227" s="64">
        <f t="shared" si="98"/>
        <v>0</v>
      </c>
      <c r="P227" s="64">
        <f t="shared" si="98"/>
        <v>0</v>
      </c>
      <c r="Q227" s="64">
        <f t="shared" si="98"/>
        <v>0</v>
      </c>
      <c r="R227" s="64">
        <f t="shared" si="99"/>
        <v>0</v>
      </c>
      <c r="S227" s="64">
        <f t="shared" si="99"/>
        <v>0</v>
      </c>
      <c r="T227" s="64">
        <f t="shared" si="99"/>
        <v>0</v>
      </c>
      <c r="U227" s="64">
        <f t="shared" si="99"/>
        <v>0</v>
      </c>
      <c r="V227" s="64">
        <f t="shared" si="99"/>
        <v>0</v>
      </c>
      <c r="W227" s="64">
        <f t="shared" si="99"/>
        <v>0</v>
      </c>
      <c r="X227" s="64">
        <f t="shared" si="99"/>
        <v>0</v>
      </c>
      <c r="Y227" s="64">
        <f t="shared" si="99"/>
        <v>0</v>
      </c>
      <c r="Z227" s="64">
        <f t="shared" si="99"/>
        <v>0</v>
      </c>
      <c r="AA227" s="64">
        <f t="shared" si="99"/>
        <v>0</v>
      </c>
      <c r="AB227" s="64">
        <f t="shared" si="99"/>
        <v>0</v>
      </c>
      <c r="AC227" s="64">
        <f t="shared" si="99"/>
        <v>0</v>
      </c>
      <c r="AD227" s="64">
        <f t="shared" si="99"/>
        <v>0</v>
      </c>
      <c r="AE227" s="64">
        <f t="shared" si="99"/>
        <v>0</v>
      </c>
      <c r="AF227" s="64">
        <f t="shared" si="100"/>
        <v>2208583</v>
      </c>
      <c r="AG227" s="59" t="str">
        <f t="shared" si="101"/>
        <v>ok</v>
      </c>
    </row>
    <row r="228" spans="1:33">
      <c r="A228" s="61">
        <v>562</v>
      </c>
      <c r="B228" s="45" t="s">
        <v>1153</v>
      </c>
      <c r="C228" s="45" t="s">
        <v>13</v>
      </c>
      <c r="D228" s="45" t="s">
        <v>666</v>
      </c>
      <c r="F228" s="80">
        <f>928949</f>
        <v>928949</v>
      </c>
      <c r="G228" s="63"/>
      <c r="H228" s="64">
        <f t="shared" si="98"/>
        <v>0</v>
      </c>
      <c r="I228" s="64">
        <f t="shared" si="98"/>
        <v>0</v>
      </c>
      <c r="J228" s="64">
        <f t="shared" si="98"/>
        <v>0</v>
      </c>
      <c r="K228" s="64">
        <f t="shared" si="98"/>
        <v>0</v>
      </c>
      <c r="L228" s="64">
        <f t="shared" si="98"/>
        <v>0</v>
      </c>
      <c r="M228" s="64">
        <f t="shared" si="98"/>
        <v>0</v>
      </c>
      <c r="N228" s="64">
        <f t="shared" si="98"/>
        <v>928949</v>
      </c>
      <c r="O228" s="64">
        <f t="shared" si="98"/>
        <v>0</v>
      </c>
      <c r="P228" s="64">
        <f t="shared" si="98"/>
        <v>0</v>
      </c>
      <c r="Q228" s="64">
        <f t="shared" si="98"/>
        <v>0</v>
      </c>
      <c r="R228" s="64">
        <f t="shared" si="99"/>
        <v>0</v>
      </c>
      <c r="S228" s="64">
        <f t="shared" si="99"/>
        <v>0</v>
      </c>
      <c r="T228" s="64">
        <f t="shared" si="99"/>
        <v>0</v>
      </c>
      <c r="U228" s="64">
        <f t="shared" si="99"/>
        <v>0</v>
      </c>
      <c r="V228" s="64">
        <f t="shared" si="99"/>
        <v>0</v>
      </c>
      <c r="W228" s="64">
        <f t="shared" si="99"/>
        <v>0</v>
      </c>
      <c r="X228" s="64">
        <f t="shared" si="99"/>
        <v>0</v>
      </c>
      <c r="Y228" s="64">
        <f t="shared" si="99"/>
        <v>0</v>
      </c>
      <c r="Z228" s="64">
        <f t="shared" si="99"/>
        <v>0</v>
      </c>
      <c r="AA228" s="64">
        <f t="shared" si="99"/>
        <v>0</v>
      </c>
      <c r="AB228" s="64">
        <f t="shared" si="99"/>
        <v>0</v>
      </c>
      <c r="AC228" s="64">
        <f t="shared" si="99"/>
        <v>0</v>
      </c>
      <c r="AD228" s="64">
        <f t="shared" si="99"/>
        <v>0</v>
      </c>
      <c r="AE228" s="64">
        <f t="shared" si="99"/>
        <v>0</v>
      </c>
      <c r="AF228" s="64">
        <f t="shared" si="100"/>
        <v>928949</v>
      </c>
      <c r="AG228" s="59" t="str">
        <f t="shared" si="101"/>
        <v>ok</v>
      </c>
    </row>
    <row r="229" spans="1:33">
      <c r="A229" s="61">
        <v>563</v>
      </c>
      <c r="B229" s="45" t="s">
        <v>1001</v>
      </c>
      <c r="C229" s="45" t="s">
        <v>14</v>
      </c>
      <c r="D229" s="45" t="s">
        <v>666</v>
      </c>
      <c r="F229" s="80">
        <f>244298</f>
        <v>244298</v>
      </c>
      <c r="G229" s="63"/>
      <c r="H229" s="64">
        <f t="shared" si="98"/>
        <v>0</v>
      </c>
      <c r="I229" s="64">
        <f t="shared" si="98"/>
        <v>0</v>
      </c>
      <c r="J229" s="64">
        <f t="shared" si="98"/>
        <v>0</v>
      </c>
      <c r="K229" s="64">
        <f t="shared" si="98"/>
        <v>0</v>
      </c>
      <c r="L229" s="64">
        <f t="shared" si="98"/>
        <v>0</v>
      </c>
      <c r="M229" s="64">
        <f t="shared" si="98"/>
        <v>0</v>
      </c>
      <c r="N229" s="64">
        <f t="shared" si="98"/>
        <v>244298</v>
      </c>
      <c r="O229" s="64">
        <f t="shared" si="98"/>
        <v>0</v>
      </c>
      <c r="P229" s="64">
        <f t="shared" si="98"/>
        <v>0</v>
      </c>
      <c r="Q229" s="64">
        <f t="shared" si="98"/>
        <v>0</v>
      </c>
      <c r="R229" s="64">
        <f t="shared" si="99"/>
        <v>0</v>
      </c>
      <c r="S229" s="64">
        <f t="shared" si="99"/>
        <v>0</v>
      </c>
      <c r="T229" s="64">
        <f t="shared" si="99"/>
        <v>0</v>
      </c>
      <c r="U229" s="64">
        <f t="shared" si="99"/>
        <v>0</v>
      </c>
      <c r="V229" s="64">
        <f t="shared" si="99"/>
        <v>0</v>
      </c>
      <c r="W229" s="64">
        <f t="shared" si="99"/>
        <v>0</v>
      </c>
      <c r="X229" s="64">
        <f t="shared" si="99"/>
        <v>0</v>
      </c>
      <c r="Y229" s="64">
        <f t="shared" si="99"/>
        <v>0</v>
      </c>
      <c r="Z229" s="64">
        <f t="shared" si="99"/>
        <v>0</v>
      </c>
      <c r="AA229" s="64">
        <f t="shared" si="99"/>
        <v>0</v>
      </c>
      <c r="AB229" s="64">
        <f t="shared" si="99"/>
        <v>0</v>
      </c>
      <c r="AC229" s="64">
        <f t="shared" si="99"/>
        <v>0</v>
      </c>
      <c r="AD229" s="64">
        <f t="shared" si="99"/>
        <v>0</v>
      </c>
      <c r="AE229" s="64">
        <f t="shared" si="99"/>
        <v>0</v>
      </c>
      <c r="AF229" s="64">
        <f t="shared" si="100"/>
        <v>244298</v>
      </c>
      <c r="AG229" s="59" t="str">
        <f t="shared" si="101"/>
        <v>ok</v>
      </c>
    </row>
    <row r="230" spans="1:33">
      <c r="A230" s="61">
        <v>565</v>
      </c>
      <c r="B230" s="45" t="s">
        <v>263</v>
      </c>
      <c r="C230" s="45" t="s">
        <v>264</v>
      </c>
      <c r="D230" s="45" t="s">
        <v>666</v>
      </c>
      <c r="F230" s="80">
        <v>36637.999999999767</v>
      </c>
      <c r="G230" s="63"/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64">
        <f t="shared" si="98"/>
        <v>0</v>
      </c>
      <c r="M230" s="64">
        <f t="shared" si="98"/>
        <v>0</v>
      </c>
      <c r="N230" s="64">
        <f t="shared" si="98"/>
        <v>36637.999999999767</v>
      </c>
      <c r="O230" s="64">
        <f t="shared" si="98"/>
        <v>0</v>
      </c>
      <c r="P230" s="64">
        <f t="shared" si="98"/>
        <v>0</v>
      </c>
      <c r="Q230" s="64">
        <f t="shared" si="98"/>
        <v>0</v>
      </c>
      <c r="R230" s="64">
        <f t="shared" si="99"/>
        <v>0</v>
      </c>
      <c r="S230" s="64">
        <f t="shared" si="99"/>
        <v>0</v>
      </c>
      <c r="T230" s="64">
        <f t="shared" si="99"/>
        <v>0</v>
      </c>
      <c r="U230" s="64">
        <f t="shared" si="99"/>
        <v>0</v>
      </c>
      <c r="V230" s="64">
        <f t="shared" si="99"/>
        <v>0</v>
      </c>
      <c r="W230" s="64">
        <f t="shared" si="99"/>
        <v>0</v>
      </c>
      <c r="X230" s="64">
        <f t="shared" si="99"/>
        <v>0</v>
      </c>
      <c r="Y230" s="64">
        <f t="shared" si="99"/>
        <v>0</v>
      </c>
      <c r="Z230" s="64">
        <f t="shared" si="99"/>
        <v>0</v>
      </c>
      <c r="AA230" s="64">
        <f t="shared" si="99"/>
        <v>0</v>
      </c>
      <c r="AB230" s="64">
        <f t="shared" si="99"/>
        <v>0</v>
      </c>
      <c r="AC230" s="64">
        <f t="shared" si="99"/>
        <v>0</v>
      </c>
      <c r="AD230" s="64">
        <f t="shared" si="99"/>
        <v>0</v>
      </c>
      <c r="AE230" s="64">
        <f t="shared" si="99"/>
        <v>0</v>
      </c>
      <c r="AF230" s="64">
        <f t="shared" si="100"/>
        <v>36637.999999999767</v>
      </c>
      <c r="AG230" s="59" t="str">
        <f t="shared" si="101"/>
        <v>ok</v>
      </c>
    </row>
    <row r="231" spans="1:33">
      <c r="A231" s="61">
        <v>566</v>
      </c>
      <c r="B231" s="45" t="s">
        <v>147</v>
      </c>
      <c r="C231" s="45" t="s">
        <v>148</v>
      </c>
      <c r="D231" s="45" t="s">
        <v>1170</v>
      </c>
      <c r="F231" s="80">
        <f>1703065+5245875</f>
        <v>6948940</v>
      </c>
      <c r="G231" s="63"/>
      <c r="H231" s="64">
        <f t="shared" si="98"/>
        <v>0</v>
      </c>
      <c r="I231" s="64">
        <f t="shared" si="98"/>
        <v>0</v>
      </c>
      <c r="J231" s="64">
        <f t="shared" si="98"/>
        <v>0</v>
      </c>
      <c r="K231" s="64">
        <f t="shared" si="98"/>
        <v>0</v>
      </c>
      <c r="L231" s="64">
        <f t="shared" si="98"/>
        <v>0</v>
      </c>
      <c r="M231" s="64">
        <f t="shared" si="98"/>
        <v>0</v>
      </c>
      <c r="N231" s="64">
        <f t="shared" si="98"/>
        <v>6948940</v>
      </c>
      <c r="O231" s="64">
        <f t="shared" si="98"/>
        <v>0</v>
      </c>
      <c r="P231" s="64">
        <f t="shared" si="98"/>
        <v>0</v>
      </c>
      <c r="Q231" s="64">
        <f t="shared" si="98"/>
        <v>0</v>
      </c>
      <c r="R231" s="64">
        <f t="shared" si="99"/>
        <v>0</v>
      </c>
      <c r="S231" s="64">
        <f t="shared" si="99"/>
        <v>0</v>
      </c>
      <c r="T231" s="64">
        <f t="shared" si="99"/>
        <v>0</v>
      </c>
      <c r="U231" s="64">
        <f t="shared" si="99"/>
        <v>0</v>
      </c>
      <c r="V231" s="64">
        <f t="shared" si="99"/>
        <v>0</v>
      </c>
      <c r="W231" s="64">
        <f t="shared" si="99"/>
        <v>0</v>
      </c>
      <c r="X231" s="64">
        <f t="shared" si="99"/>
        <v>0</v>
      </c>
      <c r="Y231" s="64">
        <f t="shared" si="99"/>
        <v>0</v>
      </c>
      <c r="Z231" s="64">
        <f t="shared" si="99"/>
        <v>0</v>
      </c>
      <c r="AA231" s="64">
        <f t="shared" si="99"/>
        <v>0</v>
      </c>
      <c r="AB231" s="64">
        <f t="shared" si="99"/>
        <v>0</v>
      </c>
      <c r="AC231" s="64">
        <f t="shared" si="99"/>
        <v>0</v>
      </c>
      <c r="AD231" s="64">
        <f t="shared" si="99"/>
        <v>0</v>
      </c>
      <c r="AE231" s="64">
        <f t="shared" si="99"/>
        <v>0</v>
      </c>
      <c r="AF231" s="64">
        <f t="shared" si="100"/>
        <v>6948940</v>
      </c>
      <c r="AG231" s="59" t="str">
        <f t="shared" si="101"/>
        <v>ok</v>
      </c>
    </row>
    <row r="232" spans="1:33">
      <c r="A232" s="61">
        <v>567</v>
      </c>
      <c r="B232" s="45" t="s">
        <v>1013</v>
      </c>
      <c r="C232" s="45" t="s">
        <v>265</v>
      </c>
      <c r="D232" s="45" t="s">
        <v>1170</v>
      </c>
      <c r="F232" s="80">
        <f>63552+3948</f>
        <v>67500</v>
      </c>
      <c r="G232" s="63"/>
      <c r="H232" s="64">
        <f t="shared" si="98"/>
        <v>0</v>
      </c>
      <c r="I232" s="64">
        <f t="shared" si="98"/>
        <v>0</v>
      </c>
      <c r="J232" s="64">
        <f t="shared" si="98"/>
        <v>0</v>
      </c>
      <c r="K232" s="64">
        <f t="shared" si="98"/>
        <v>0</v>
      </c>
      <c r="L232" s="64">
        <f t="shared" si="98"/>
        <v>0</v>
      </c>
      <c r="M232" s="64">
        <f t="shared" si="98"/>
        <v>0</v>
      </c>
      <c r="N232" s="64">
        <f t="shared" si="98"/>
        <v>67500</v>
      </c>
      <c r="O232" s="64">
        <f t="shared" si="98"/>
        <v>0</v>
      </c>
      <c r="P232" s="64">
        <f t="shared" si="98"/>
        <v>0</v>
      </c>
      <c r="Q232" s="64">
        <f t="shared" si="98"/>
        <v>0</v>
      </c>
      <c r="R232" s="64">
        <f t="shared" si="99"/>
        <v>0</v>
      </c>
      <c r="S232" s="64">
        <f t="shared" si="99"/>
        <v>0</v>
      </c>
      <c r="T232" s="64">
        <f t="shared" si="99"/>
        <v>0</v>
      </c>
      <c r="U232" s="64">
        <f t="shared" si="99"/>
        <v>0</v>
      </c>
      <c r="V232" s="64">
        <f t="shared" si="99"/>
        <v>0</v>
      </c>
      <c r="W232" s="64">
        <f t="shared" si="99"/>
        <v>0</v>
      </c>
      <c r="X232" s="64">
        <f t="shared" si="99"/>
        <v>0</v>
      </c>
      <c r="Y232" s="64">
        <f t="shared" si="99"/>
        <v>0</v>
      </c>
      <c r="Z232" s="64">
        <f t="shared" si="99"/>
        <v>0</v>
      </c>
      <c r="AA232" s="64">
        <f t="shared" si="99"/>
        <v>0</v>
      </c>
      <c r="AB232" s="64">
        <f t="shared" si="99"/>
        <v>0</v>
      </c>
      <c r="AC232" s="64">
        <f t="shared" si="99"/>
        <v>0</v>
      </c>
      <c r="AD232" s="64">
        <f t="shared" si="99"/>
        <v>0</v>
      </c>
      <c r="AE232" s="64">
        <f t="shared" si="99"/>
        <v>0</v>
      </c>
      <c r="AF232" s="64">
        <f t="shared" ref="AF232:AF238" si="102">SUM(H232:AE232)</f>
        <v>67500</v>
      </c>
      <c r="AG232" s="59" t="str">
        <f t="shared" si="101"/>
        <v>ok</v>
      </c>
    </row>
    <row r="233" spans="1:33">
      <c r="A233" s="61">
        <v>568</v>
      </c>
      <c r="B233" s="45" t="s">
        <v>1154</v>
      </c>
      <c r="C233" s="45" t="s">
        <v>15</v>
      </c>
      <c r="D233" s="45" t="s">
        <v>666</v>
      </c>
      <c r="F233" s="80"/>
      <c r="G233" s="63"/>
      <c r="H233" s="64">
        <f t="shared" si="98"/>
        <v>0</v>
      </c>
      <c r="I233" s="64">
        <f t="shared" si="98"/>
        <v>0</v>
      </c>
      <c r="J233" s="64">
        <f t="shared" si="98"/>
        <v>0</v>
      </c>
      <c r="K233" s="64">
        <f t="shared" si="98"/>
        <v>0</v>
      </c>
      <c r="L233" s="64">
        <f t="shared" si="98"/>
        <v>0</v>
      </c>
      <c r="M233" s="64">
        <f t="shared" si="98"/>
        <v>0</v>
      </c>
      <c r="N233" s="64">
        <f t="shared" si="98"/>
        <v>0</v>
      </c>
      <c r="O233" s="64">
        <f t="shared" si="98"/>
        <v>0</v>
      </c>
      <c r="P233" s="64">
        <f t="shared" si="98"/>
        <v>0</v>
      </c>
      <c r="Q233" s="64">
        <f t="shared" si="98"/>
        <v>0</v>
      </c>
      <c r="R233" s="64">
        <f t="shared" si="99"/>
        <v>0</v>
      </c>
      <c r="S233" s="64">
        <f t="shared" si="99"/>
        <v>0</v>
      </c>
      <c r="T233" s="64">
        <f t="shared" si="99"/>
        <v>0</v>
      </c>
      <c r="U233" s="64">
        <f t="shared" si="99"/>
        <v>0</v>
      </c>
      <c r="V233" s="64">
        <f t="shared" si="99"/>
        <v>0</v>
      </c>
      <c r="W233" s="64">
        <f t="shared" si="99"/>
        <v>0</v>
      </c>
      <c r="X233" s="64">
        <f t="shared" si="99"/>
        <v>0</v>
      </c>
      <c r="Y233" s="64">
        <f t="shared" si="99"/>
        <v>0</v>
      </c>
      <c r="Z233" s="64">
        <f t="shared" si="99"/>
        <v>0</v>
      </c>
      <c r="AA233" s="64">
        <f t="shared" si="99"/>
        <v>0</v>
      </c>
      <c r="AB233" s="64">
        <f t="shared" si="99"/>
        <v>0</v>
      </c>
      <c r="AC233" s="64">
        <f t="shared" si="99"/>
        <v>0</v>
      </c>
      <c r="AD233" s="64">
        <f t="shared" si="99"/>
        <v>0</v>
      </c>
      <c r="AE233" s="64">
        <f t="shared" si="99"/>
        <v>0</v>
      </c>
      <c r="AF233" s="64">
        <f t="shared" si="102"/>
        <v>0</v>
      </c>
      <c r="AG233" s="59" t="str">
        <f t="shared" si="101"/>
        <v>ok</v>
      </c>
    </row>
    <row r="234" spans="1:33">
      <c r="A234" s="61">
        <v>569</v>
      </c>
      <c r="B234" s="45" t="s">
        <v>266</v>
      </c>
      <c r="C234" s="45" t="s">
        <v>267</v>
      </c>
      <c r="D234" s="45" t="s">
        <v>666</v>
      </c>
      <c r="F234" s="80">
        <v>0</v>
      </c>
      <c r="G234" s="63"/>
      <c r="H234" s="64">
        <f t="shared" si="98"/>
        <v>0</v>
      </c>
      <c r="I234" s="64">
        <f t="shared" si="98"/>
        <v>0</v>
      </c>
      <c r="J234" s="64">
        <f t="shared" si="98"/>
        <v>0</v>
      </c>
      <c r="K234" s="64">
        <f t="shared" si="98"/>
        <v>0</v>
      </c>
      <c r="L234" s="64">
        <f t="shared" si="98"/>
        <v>0</v>
      </c>
      <c r="M234" s="64">
        <f t="shared" si="98"/>
        <v>0</v>
      </c>
      <c r="N234" s="64">
        <f t="shared" si="98"/>
        <v>0</v>
      </c>
      <c r="O234" s="64">
        <f t="shared" si="98"/>
        <v>0</v>
      </c>
      <c r="P234" s="64">
        <f t="shared" si="98"/>
        <v>0</v>
      </c>
      <c r="Q234" s="64">
        <f t="shared" si="98"/>
        <v>0</v>
      </c>
      <c r="R234" s="64">
        <f t="shared" si="99"/>
        <v>0</v>
      </c>
      <c r="S234" s="64">
        <f t="shared" si="99"/>
        <v>0</v>
      </c>
      <c r="T234" s="64">
        <f t="shared" si="99"/>
        <v>0</v>
      </c>
      <c r="U234" s="64">
        <f t="shared" si="99"/>
        <v>0</v>
      </c>
      <c r="V234" s="64">
        <f t="shared" si="99"/>
        <v>0</v>
      </c>
      <c r="W234" s="64">
        <f t="shared" si="99"/>
        <v>0</v>
      </c>
      <c r="X234" s="64">
        <f t="shared" si="99"/>
        <v>0</v>
      </c>
      <c r="Y234" s="64">
        <f t="shared" si="99"/>
        <v>0</v>
      </c>
      <c r="Z234" s="64">
        <f t="shared" si="99"/>
        <v>0</v>
      </c>
      <c r="AA234" s="64">
        <f t="shared" si="99"/>
        <v>0</v>
      </c>
      <c r="AB234" s="64">
        <f t="shared" si="99"/>
        <v>0</v>
      </c>
      <c r="AC234" s="64">
        <f t="shared" si="99"/>
        <v>0</v>
      </c>
      <c r="AD234" s="64">
        <f t="shared" si="99"/>
        <v>0</v>
      </c>
      <c r="AE234" s="64">
        <f t="shared" si="99"/>
        <v>0</v>
      </c>
      <c r="AF234" s="64">
        <f t="shared" si="102"/>
        <v>0</v>
      </c>
      <c r="AG234" s="59" t="str">
        <f t="shared" si="101"/>
        <v>ok</v>
      </c>
    </row>
    <row r="235" spans="1:33">
      <c r="A235" s="61">
        <v>570</v>
      </c>
      <c r="B235" s="45" t="s">
        <v>1156</v>
      </c>
      <c r="C235" s="45" t="s">
        <v>16</v>
      </c>
      <c r="D235" s="45" t="s">
        <v>666</v>
      </c>
      <c r="F235" s="80">
        <f>1490332</f>
        <v>1490332</v>
      </c>
      <c r="G235" s="63"/>
      <c r="H235" s="64">
        <f t="shared" si="98"/>
        <v>0</v>
      </c>
      <c r="I235" s="64">
        <f t="shared" si="98"/>
        <v>0</v>
      </c>
      <c r="J235" s="64">
        <f t="shared" si="98"/>
        <v>0</v>
      </c>
      <c r="K235" s="64">
        <f t="shared" si="98"/>
        <v>0</v>
      </c>
      <c r="L235" s="64">
        <f t="shared" si="98"/>
        <v>0</v>
      </c>
      <c r="M235" s="64">
        <f t="shared" si="98"/>
        <v>0</v>
      </c>
      <c r="N235" s="64">
        <f t="shared" si="98"/>
        <v>1490332</v>
      </c>
      <c r="O235" s="64">
        <f t="shared" si="98"/>
        <v>0</v>
      </c>
      <c r="P235" s="64">
        <f t="shared" si="98"/>
        <v>0</v>
      </c>
      <c r="Q235" s="64">
        <f t="shared" si="98"/>
        <v>0</v>
      </c>
      <c r="R235" s="64">
        <f t="shared" si="99"/>
        <v>0</v>
      </c>
      <c r="S235" s="64">
        <f t="shared" si="99"/>
        <v>0</v>
      </c>
      <c r="T235" s="64">
        <f t="shared" si="99"/>
        <v>0</v>
      </c>
      <c r="U235" s="64">
        <f t="shared" si="99"/>
        <v>0</v>
      </c>
      <c r="V235" s="64">
        <f t="shared" si="99"/>
        <v>0</v>
      </c>
      <c r="W235" s="64">
        <f t="shared" si="99"/>
        <v>0</v>
      </c>
      <c r="X235" s="64">
        <f t="shared" si="99"/>
        <v>0</v>
      </c>
      <c r="Y235" s="64">
        <f t="shared" si="99"/>
        <v>0</v>
      </c>
      <c r="Z235" s="64">
        <f t="shared" si="99"/>
        <v>0</v>
      </c>
      <c r="AA235" s="64">
        <f t="shared" si="99"/>
        <v>0</v>
      </c>
      <c r="AB235" s="64">
        <f t="shared" si="99"/>
        <v>0</v>
      </c>
      <c r="AC235" s="64">
        <f t="shared" si="99"/>
        <v>0</v>
      </c>
      <c r="AD235" s="64">
        <f t="shared" si="99"/>
        <v>0</v>
      </c>
      <c r="AE235" s="64">
        <f t="shared" si="99"/>
        <v>0</v>
      </c>
      <c r="AF235" s="64">
        <f t="shared" si="102"/>
        <v>1490332</v>
      </c>
      <c r="AG235" s="59" t="str">
        <f t="shared" si="101"/>
        <v>ok</v>
      </c>
    </row>
    <row r="236" spans="1:33">
      <c r="A236" s="61">
        <v>571</v>
      </c>
      <c r="B236" s="45" t="s">
        <v>1157</v>
      </c>
      <c r="C236" s="45" t="s">
        <v>17</v>
      </c>
      <c r="D236" s="45" t="s">
        <v>666</v>
      </c>
      <c r="F236" s="80">
        <f>3342881</f>
        <v>3342881</v>
      </c>
      <c r="G236" s="63"/>
      <c r="H236" s="64">
        <f t="shared" si="98"/>
        <v>0</v>
      </c>
      <c r="I236" s="64">
        <f t="shared" si="98"/>
        <v>0</v>
      </c>
      <c r="J236" s="64">
        <f t="shared" si="98"/>
        <v>0</v>
      </c>
      <c r="K236" s="64">
        <f t="shared" si="98"/>
        <v>0</v>
      </c>
      <c r="L236" s="64">
        <f t="shared" si="98"/>
        <v>0</v>
      </c>
      <c r="M236" s="64">
        <f t="shared" si="98"/>
        <v>0</v>
      </c>
      <c r="N236" s="64">
        <f t="shared" si="98"/>
        <v>3342881</v>
      </c>
      <c r="O236" s="64">
        <f t="shared" si="98"/>
        <v>0</v>
      </c>
      <c r="P236" s="64">
        <f t="shared" si="98"/>
        <v>0</v>
      </c>
      <c r="Q236" s="64">
        <f t="shared" si="98"/>
        <v>0</v>
      </c>
      <c r="R236" s="64">
        <f t="shared" si="99"/>
        <v>0</v>
      </c>
      <c r="S236" s="64">
        <f t="shared" si="99"/>
        <v>0</v>
      </c>
      <c r="T236" s="64">
        <f t="shared" si="99"/>
        <v>0</v>
      </c>
      <c r="U236" s="64">
        <f t="shared" si="99"/>
        <v>0</v>
      </c>
      <c r="V236" s="64">
        <f t="shared" si="99"/>
        <v>0</v>
      </c>
      <c r="W236" s="64">
        <f t="shared" si="99"/>
        <v>0</v>
      </c>
      <c r="X236" s="64">
        <f t="shared" si="99"/>
        <v>0</v>
      </c>
      <c r="Y236" s="64">
        <f t="shared" si="99"/>
        <v>0</v>
      </c>
      <c r="Z236" s="64">
        <f t="shared" si="99"/>
        <v>0</v>
      </c>
      <c r="AA236" s="64">
        <f t="shared" si="99"/>
        <v>0</v>
      </c>
      <c r="AB236" s="64">
        <f t="shared" si="99"/>
        <v>0</v>
      </c>
      <c r="AC236" s="64">
        <f t="shared" si="99"/>
        <v>0</v>
      </c>
      <c r="AD236" s="64">
        <f t="shared" si="99"/>
        <v>0</v>
      </c>
      <c r="AE236" s="64">
        <f t="shared" si="99"/>
        <v>0</v>
      </c>
      <c r="AF236" s="64">
        <f t="shared" si="102"/>
        <v>3342881</v>
      </c>
      <c r="AG236" s="59" t="str">
        <f t="shared" si="101"/>
        <v>ok</v>
      </c>
    </row>
    <row r="237" spans="1:33">
      <c r="A237" s="61">
        <v>572</v>
      </c>
      <c r="B237" s="45" t="s">
        <v>268</v>
      </c>
      <c r="C237" s="45" t="s">
        <v>269</v>
      </c>
      <c r="D237" s="45" t="s">
        <v>666</v>
      </c>
      <c r="F237" s="80">
        <v>0</v>
      </c>
      <c r="G237" s="63"/>
      <c r="H237" s="64">
        <f t="shared" si="98"/>
        <v>0</v>
      </c>
      <c r="I237" s="64">
        <f t="shared" si="98"/>
        <v>0</v>
      </c>
      <c r="J237" s="64">
        <f t="shared" si="98"/>
        <v>0</v>
      </c>
      <c r="K237" s="64">
        <f t="shared" si="98"/>
        <v>0</v>
      </c>
      <c r="L237" s="64">
        <f t="shared" si="98"/>
        <v>0</v>
      </c>
      <c r="M237" s="64">
        <f t="shared" si="98"/>
        <v>0</v>
      </c>
      <c r="N237" s="64">
        <f t="shared" si="98"/>
        <v>0</v>
      </c>
      <c r="O237" s="64">
        <f t="shared" si="98"/>
        <v>0</v>
      </c>
      <c r="P237" s="64">
        <f t="shared" si="98"/>
        <v>0</v>
      </c>
      <c r="Q237" s="64">
        <f t="shared" si="98"/>
        <v>0</v>
      </c>
      <c r="R237" s="64">
        <f t="shared" si="99"/>
        <v>0</v>
      </c>
      <c r="S237" s="64">
        <f t="shared" si="99"/>
        <v>0</v>
      </c>
      <c r="T237" s="64">
        <f t="shared" si="99"/>
        <v>0</v>
      </c>
      <c r="U237" s="64">
        <f t="shared" si="99"/>
        <v>0</v>
      </c>
      <c r="V237" s="64">
        <f t="shared" si="99"/>
        <v>0</v>
      </c>
      <c r="W237" s="64">
        <f t="shared" si="99"/>
        <v>0</v>
      </c>
      <c r="X237" s="64">
        <f t="shared" si="99"/>
        <v>0</v>
      </c>
      <c r="Y237" s="64">
        <f t="shared" si="99"/>
        <v>0</v>
      </c>
      <c r="Z237" s="64">
        <f t="shared" si="99"/>
        <v>0</v>
      </c>
      <c r="AA237" s="64">
        <f t="shared" si="99"/>
        <v>0</v>
      </c>
      <c r="AB237" s="64">
        <f t="shared" si="99"/>
        <v>0</v>
      </c>
      <c r="AC237" s="64">
        <f t="shared" si="99"/>
        <v>0</v>
      </c>
      <c r="AD237" s="64">
        <f t="shared" si="99"/>
        <v>0</v>
      </c>
      <c r="AE237" s="64">
        <f t="shared" si="99"/>
        <v>0</v>
      </c>
      <c r="AF237" s="64">
        <f t="shared" si="102"/>
        <v>0</v>
      </c>
      <c r="AG237" s="59" t="str">
        <f t="shared" si="101"/>
        <v>ok</v>
      </c>
    </row>
    <row r="238" spans="1:33">
      <c r="A238" s="61">
        <v>573</v>
      </c>
      <c r="B238" s="45" t="s">
        <v>270</v>
      </c>
      <c r="C238" s="45" t="s">
        <v>271</v>
      </c>
      <c r="D238" s="45" t="s">
        <v>1170</v>
      </c>
      <c r="F238" s="80">
        <f>228063</f>
        <v>228063</v>
      </c>
      <c r="G238" s="63"/>
      <c r="H238" s="64">
        <f t="shared" si="98"/>
        <v>0</v>
      </c>
      <c r="I238" s="64">
        <f t="shared" si="98"/>
        <v>0</v>
      </c>
      <c r="J238" s="64">
        <f t="shared" si="98"/>
        <v>0</v>
      </c>
      <c r="K238" s="64">
        <f t="shared" si="98"/>
        <v>0</v>
      </c>
      <c r="L238" s="64">
        <f t="shared" si="98"/>
        <v>0</v>
      </c>
      <c r="M238" s="64">
        <f t="shared" si="98"/>
        <v>0</v>
      </c>
      <c r="N238" s="64">
        <f t="shared" si="98"/>
        <v>228063</v>
      </c>
      <c r="O238" s="64">
        <f t="shared" si="98"/>
        <v>0</v>
      </c>
      <c r="P238" s="64">
        <f t="shared" si="98"/>
        <v>0</v>
      </c>
      <c r="Q238" s="64">
        <f t="shared" si="98"/>
        <v>0</v>
      </c>
      <c r="R238" s="64">
        <f t="shared" si="99"/>
        <v>0</v>
      </c>
      <c r="S238" s="64">
        <f t="shared" si="99"/>
        <v>0</v>
      </c>
      <c r="T238" s="64">
        <f t="shared" si="99"/>
        <v>0</v>
      </c>
      <c r="U238" s="64">
        <f t="shared" si="99"/>
        <v>0</v>
      </c>
      <c r="V238" s="64">
        <f t="shared" si="99"/>
        <v>0</v>
      </c>
      <c r="W238" s="64">
        <f t="shared" si="99"/>
        <v>0</v>
      </c>
      <c r="X238" s="64">
        <f t="shared" si="99"/>
        <v>0</v>
      </c>
      <c r="Y238" s="64">
        <f t="shared" si="99"/>
        <v>0</v>
      </c>
      <c r="Z238" s="64">
        <f t="shared" si="99"/>
        <v>0</v>
      </c>
      <c r="AA238" s="64">
        <f t="shared" si="99"/>
        <v>0</v>
      </c>
      <c r="AB238" s="64">
        <f t="shared" si="99"/>
        <v>0</v>
      </c>
      <c r="AC238" s="64">
        <f t="shared" si="99"/>
        <v>0</v>
      </c>
      <c r="AD238" s="64">
        <f t="shared" si="99"/>
        <v>0</v>
      </c>
      <c r="AE238" s="64">
        <f t="shared" si="99"/>
        <v>0</v>
      </c>
      <c r="AF238" s="64">
        <f t="shared" si="102"/>
        <v>228063</v>
      </c>
      <c r="AG238" s="59" t="str">
        <f t="shared" si="101"/>
        <v>ok</v>
      </c>
    </row>
    <row r="239" spans="1:33">
      <c r="A239" s="61">
        <v>575</v>
      </c>
      <c r="B239" s="61" t="s">
        <v>925</v>
      </c>
      <c r="C239" s="61" t="s">
        <v>926</v>
      </c>
      <c r="D239" s="45" t="s">
        <v>666</v>
      </c>
      <c r="F239" s="80">
        <v>0</v>
      </c>
      <c r="G239" s="63"/>
      <c r="H239" s="64">
        <f t="shared" si="98"/>
        <v>0</v>
      </c>
      <c r="I239" s="64">
        <f t="shared" si="98"/>
        <v>0</v>
      </c>
      <c r="J239" s="64">
        <f t="shared" si="98"/>
        <v>0</v>
      </c>
      <c r="K239" s="64">
        <f t="shared" si="98"/>
        <v>0</v>
      </c>
      <c r="L239" s="64">
        <f t="shared" si="98"/>
        <v>0</v>
      </c>
      <c r="M239" s="64">
        <f t="shared" si="98"/>
        <v>0</v>
      </c>
      <c r="N239" s="64">
        <f t="shared" si="98"/>
        <v>0</v>
      </c>
      <c r="O239" s="64">
        <f t="shared" si="98"/>
        <v>0</v>
      </c>
      <c r="P239" s="64">
        <f t="shared" si="98"/>
        <v>0</v>
      </c>
      <c r="Q239" s="64">
        <f t="shared" si="98"/>
        <v>0</v>
      </c>
      <c r="R239" s="64">
        <f t="shared" si="99"/>
        <v>0</v>
      </c>
      <c r="S239" s="64">
        <f t="shared" si="99"/>
        <v>0</v>
      </c>
      <c r="T239" s="64">
        <f t="shared" si="99"/>
        <v>0</v>
      </c>
      <c r="U239" s="64">
        <f t="shared" si="99"/>
        <v>0</v>
      </c>
      <c r="V239" s="64">
        <f t="shared" si="99"/>
        <v>0</v>
      </c>
      <c r="W239" s="64">
        <f t="shared" si="99"/>
        <v>0</v>
      </c>
      <c r="X239" s="64">
        <f t="shared" si="99"/>
        <v>0</v>
      </c>
      <c r="Y239" s="64">
        <f t="shared" si="99"/>
        <v>0</v>
      </c>
      <c r="Z239" s="64">
        <f t="shared" si="99"/>
        <v>0</v>
      </c>
      <c r="AA239" s="64">
        <f t="shared" si="99"/>
        <v>0</v>
      </c>
      <c r="AB239" s="64">
        <f t="shared" si="99"/>
        <v>0</v>
      </c>
      <c r="AC239" s="64">
        <f t="shared" si="99"/>
        <v>0</v>
      </c>
      <c r="AD239" s="64">
        <f t="shared" si="99"/>
        <v>0</v>
      </c>
      <c r="AE239" s="64">
        <f t="shared" si="99"/>
        <v>0</v>
      </c>
      <c r="AF239" s="64">
        <f>SUM(H239:AE239)</f>
        <v>0</v>
      </c>
      <c r="AG239" s="59" t="str">
        <f t="shared" si="101"/>
        <v>ok</v>
      </c>
    </row>
    <row r="240" spans="1:33">
      <c r="A240" s="61"/>
      <c r="F240" s="77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4"/>
      <c r="AG240" s="59"/>
    </row>
    <row r="241" spans="1:33">
      <c r="A241" s="61" t="s">
        <v>1158</v>
      </c>
      <c r="F241" s="81">
        <f>SUM(F226:F239)</f>
        <v>16509511</v>
      </c>
      <c r="G241" s="65">
        <f>SUM(G226:G236)</f>
        <v>0</v>
      </c>
      <c r="H241" s="65">
        <f t="shared" ref="H241:N241" si="103">SUM(H226:H239)</f>
        <v>0</v>
      </c>
      <c r="I241" s="65">
        <f t="shared" si="103"/>
        <v>0</v>
      </c>
      <c r="J241" s="65">
        <f t="shared" si="103"/>
        <v>0</v>
      </c>
      <c r="K241" s="65">
        <f t="shared" si="103"/>
        <v>0</v>
      </c>
      <c r="L241" s="65">
        <f t="shared" si="103"/>
        <v>0</v>
      </c>
      <c r="M241" s="65">
        <f t="shared" si="103"/>
        <v>0</v>
      </c>
      <c r="N241" s="65">
        <f t="shared" si="103"/>
        <v>16509511</v>
      </c>
      <c r="O241" s="65">
        <f t="shared" ref="O241:AE241" si="104">SUM(O226:O239)</f>
        <v>0</v>
      </c>
      <c r="P241" s="65">
        <f t="shared" si="104"/>
        <v>0</v>
      </c>
      <c r="Q241" s="65">
        <f t="shared" si="104"/>
        <v>0</v>
      </c>
      <c r="R241" s="65">
        <f t="shared" si="104"/>
        <v>0</v>
      </c>
      <c r="S241" s="65">
        <f t="shared" si="104"/>
        <v>0</v>
      </c>
      <c r="T241" s="65">
        <f t="shared" si="104"/>
        <v>0</v>
      </c>
      <c r="U241" s="65">
        <f t="shared" si="104"/>
        <v>0</v>
      </c>
      <c r="V241" s="65">
        <f t="shared" si="104"/>
        <v>0</v>
      </c>
      <c r="W241" s="65">
        <f t="shared" si="104"/>
        <v>0</v>
      </c>
      <c r="X241" s="65">
        <f t="shared" si="104"/>
        <v>0</v>
      </c>
      <c r="Y241" s="65">
        <f t="shared" si="104"/>
        <v>0</v>
      </c>
      <c r="Z241" s="65">
        <f t="shared" si="104"/>
        <v>0</v>
      </c>
      <c r="AA241" s="65">
        <f t="shared" si="104"/>
        <v>0</v>
      </c>
      <c r="AB241" s="65">
        <f t="shared" si="104"/>
        <v>0</v>
      </c>
      <c r="AC241" s="65">
        <f t="shared" si="104"/>
        <v>0</v>
      </c>
      <c r="AD241" s="65">
        <f t="shared" si="104"/>
        <v>0</v>
      </c>
      <c r="AE241" s="65">
        <f t="shared" si="104"/>
        <v>0</v>
      </c>
      <c r="AF241" s="63">
        <f>SUM(H241:AE241)</f>
        <v>16509511</v>
      </c>
      <c r="AG241" s="59" t="str">
        <f>IF(ABS(AF241-F241)&lt;1,"ok","err")</f>
        <v>ok</v>
      </c>
    </row>
    <row r="242" spans="1:33">
      <c r="A242" s="61"/>
      <c r="W242" s="45"/>
      <c r="AG242" s="59"/>
    </row>
    <row r="243" spans="1:33" ht="15">
      <c r="A243" s="60" t="s">
        <v>1033</v>
      </c>
      <c r="W243" s="45"/>
      <c r="AG243" s="59"/>
    </row>
    <row r="244" spans="1:33">
      <c r="A244" s="61"/>
      <c r="W244" s="45"/>
      <c r="AG244" s="59"/>
    </row>
    <row r="245" spans="1:33" ht="15">
      <c r="A245" s="66" t="s">
        <v>996</v>
      </c>
      <c r="W245" s="45"/>
      <c r="AG245" s="59"/>
    </row>
    <row r="246" spans="1:33">
      <c r="A246" s="61">
        <v>580</v>
      </c>
      <c r="B246" s="45" t="s">
        <v>997</v>
      </c>
      <c r="C246" s="45" t="s">
        <v>998</v>
      </c>
      <c r="D246" s="45" t="s">
        <v>64</v>
      </c>
      <c r="F246" s="77">
        <v>1814624</v>
      </c>
      <c r="H246" s="64">
        <f t="shared" ref="H246:Q257" si="105">IF(VLOOKUP($D246,$C$6:$AE$653,H$2,)=0,0,((VLOOKUP($D246,$C$6:$AE$653,H$2,)/VLOOKUP($D246,$C$6:$AE$653,4,))*$F246))</f>
        <v>0</v>
      </c>
      <c r="I246" s="64">
        <f t="shared" si="105"/>
        <v>0</v>
      </c>
      <c r="J246" s="64">
        <f t="shared" si="105"/>
        <v>0</v>
      </c>
      <c r="K246" s="64">
        <f t="shared" si="105"/>
        <v>0</v>
      </c>
      <c r="L246" s="64">
        <f t="shared" si="105"/>
        <v>0</v>
      </c>
      <c r="M246" s="64">
        <f t="shared" si="105"/>
        <v>0</v>
      </c>
      <c r="N246" s="64">
        <f t="shared" si="105"/>
        <v>0</v>
      </c>
      <c r="O246" s="64">
        <f t="shared" si="105"/>
        <v>0</v>
      </c>
      <c r="P246" s="64">
        <f t="shared" si="105"/>
        <v>0</v>
      </c>
      <c r="Q246" s="64">
        <f t="shared" si="105"/>
        <v>0</v>
      </c>
      <c r="R246" s="64">
        <f t="shared" ref="R246:AE257" si="106">IF(VLOOKUP($D246,$C$6:$AE$653,R$2,)=0,0,((VLOOKUP($D246,$C$6:$AE$653,R$2,)/VLOOKUP($D246,$C$6:$AE$653,4,))*$F246))</f>
        <v>336694.95423976053</v>
      </c>
      <c r="S246" s="64">
        <f t="shared" si="106"/>
        <v>0</v>
      </c>
      <c r="T246" s="64">
        <f t="shared" si="106"/>
        <v>182918.09062910196</v>
      </c>
      <c r="U246" s="64">
        <f t="shared" si="106"/>
        <v>278034.71734831348</v>
      </c>
      <c r="V246" s="64">
        <f t="shared" si="106"/>
        <v>58766.155009527873</v>
      </c>
      <c r="W246" s="64">
        <f t="shared" si="106"/>
        <v>86953.27580664141</v>
      </c>
      <c r="X246" s="64">
        <f t="shared" si="106"/>
        <v>23619.462679762364</v>
      </c>
      <c r="Y246" s="64">
        <f t="shared" si="106"/>
        <v>16518.326827387926</v>
      </c>
      <c r="Z246" s="64">
        <f t="shared" si="106"/>
        <v>8203.3099562878961</v>
      </c>
      <c r="AA246" s="64">
        <f t="shared" si="106"/>
        <v>796842.23200671258</v>
      </c>
      <c r="AB246" s="64">
        <f t="shared" si="106"/>
        <v>26073.475496503932</v>
      </c>
      <c r="AC246" s="64">
        <f t="shared" si="106"/>
        <v>0</v>
      </c>
      <c r="AD246" s="64">
        <f t="shared" si="106"/>
        <v>0</v>
      </c>
      <c r="AE246" s="64">
        <f t="shared" si="106"/>
        <v>0</v>
      </c>
      <c r="AF246" s="64">
        <f t="shared" ref="AF246:AF257" si="107">SUM(H246:AE246)</f>
        <v>1814624</v>
      </c>
      <c r="AG246" s="59" t="str">
        <f t="shared" ref="AG246:AG257" si="108">IF(ABS(AF246-F246)&lt;1,"ok","err")</f>
        <v>ok</v>
      </c>
    </row>
    <row r="247" spans="1:33">
      <c r="A247" s="61">
        <v>581</v>
      </c>
      <c r="B247" s="45" t="s">
        <v>999</v>
      </c>
      <c r="C247" s="45" t="s">
        <v>1000</v>
      </c>
      <c r="D247" s="45" t="s">
        <v>948</v>
      </c>
      <c r="F247" s="80">
        <v>741674</v>
      </c>
      <c r="H247" s="64">
        <f t="shared" si="105"/>
        <v>0</v>
      </c>
      <c r="I247" s="64">
        <f t="shared" si="105"/>
        <v>0</v>
      </c>
      <c r="J247" s="64">
        <f t="shared" si="105"/>
        <v>0</v>
      </c>
      <c r="K247" s="64">
        <f t="shared" si="105"/>
        <v>0</v>
      </c>
      <c r="L247" s="64">
        <f t="shared" si="105"/>
        <v>0</v>
      </c>
      <c r="M247" s="64">
        <f t="shared" si="105"/>
        <v>0</v>
      </c>
      <c r="N247" s="64">
        <f t="shared" si="105"/>
        <v>0</v>
      </c>
      <c r="O247" s="64">
        <f t="shared" si="105"/>
        <v>0</v>
      </c>
      <c r="P247" s="64">
        <f t="shared" si="105"/>
        <v>0</v>
      </c>
      <c r="Q247" s="64">
        <f t="shared" si="105"/>
        <v>0</v>
      </c>
      <c r="R247" s="64">
        <f t="shared" si="106"/>
        <v>741674</v>
      </c>
      <c r="S247" s="64">
        <f t="shared" si="106"/>
        <v>0</v>
      </c>
      <c r="T247" s="64">
        <f t="shared" si="106"/>
        <v>0</v>
      </c>
      <c r="U247" s="64">
        <f t="shared" si="106"/>
        <v>0</v>
      </c>
      <c r="V247" s="64">
        <f t="shared" si="106"/>
        <v>0</v>
      </c>
      <c r="W247" s="64">
        <f t="shared" si="106"/>
        <v>0</v>
      </c>
      <c r="X247" s="64">
        <f t="shared" si="106"/>
        <v>0</v>
      </c>
      <c r="Y247" s="64">
        <f t="shared" si="106"/>
        <v>0</v>
      </c>
      <c r="Z247" s="64">
        <f t="shared" si="106"/>
        <v>0</v>
      </c>
      <c r="AA247" s="64">
        <f t="shared" si="106"/>
        <v>0</v>
      </c>
      <c r="AB247" s="64">
        <f t="shared" si="106"/>
        <v>0</v>
      </c>
      <c r="AC247" s="64">
        <f t="shared" si="106"/>
        <v>0</v>
      </c>
      <c r="AD247" s="64">
        <f t="shared" si="106"/>
        <v>0</v>
      </c>
      <c r="AE247" s="64">
        <f t="shared" si="106"/>
        <v>0</v>
      </c>
      <c r="AF247" s="64">
        <f t="shared" si="107"/>
        <v>741674</v>
      </c>
      <c r="AG247" s="59" t="str">
        <f t="shared" si="108"/>
        <v>ok</v>
      </c>
    </row>
    <row r="248" spans="1:33">
      <c r="A248" s="61">
        <v>582</v>
      </c>
      <c r="B248" s="45" t="s">
        <v>1153</v>
      </c>
      <c r="C248" s="45" t="s">
        <v>1159</v>
      </c>
      <c r="D248" s="45" t="s">
        <v>948</v>
      </c>
      <c r="F248" s="80">
        <v>1941657</v>
      </c>
      <c r="H248" s="64">
        <f t="shared" si="105"/>
        <v>0</v>
      </c>
      <c r="I248" s="64">
        <f t="shared" si="105"/>
        <v>0</v>
      </c>
      <c r="J248" s="64">
        <f t="shared" si="105"/>
        <v>0</v>
      </c>
      <c r="K248" s="64">
        <f t="shared" si="105"/>
        <v>0</v>
      </c>
      <c r="L248" s="64">
        <f t="shared" si="105"/>
        <v>0</v>
      </c>
      <c r="M248" s="64">
        <f t="shared" si="105"/>
        <v>0</v>
      </c>
      <c r="N248" s="64">
        <f t="shared" si="105"/>
        <v>0</v>
      </c>
      <c r="O248" s="64">
        <f t="shared" si="105"/>
        <v>0</v>
      </c>
      <c r="P248" s="64">
        <f t="shared" si="105"/>
        <v>0</v>
      </c>
      <c r="Q248" s="64">
        <f t="shared" si="105"/>
        <v>0</v>
      </c>
      <c r="R248" s="64">
        <f t="shared" si="106"/>
        <v>1941657</v>
      </c>
      <c r="S248" s="64">
        <f t="shared" si="106"/>
        <v>0</v>
      </c>
      <c r="T248" s="64">
        <f t="shared" si="106"/>
        <v>0</v>
      </c>
      <c r="U248" s="64">
        <f t="shared" si="106"/>
        <v>0</v>
      </c>
      <c r="V248" s="64">
        <f t="shared" si="106"/>
        <v>0</v>
      </c>
      <c r="W248" s="64">
        <f t="shared" si="106"/>
        <v>0</v>
      </c>
      <c r="X248" s="64">
        <f t="shared" si="106"/>
        <v>0</v>
      </c>
      <c r="Y248" s="64">
        <f t="shared" si="106"/>
        <v>0</v>
      </c>
      <c r="Z248" s="64">
        <f t="shared" si="106"/>
        <v>0</v>
      </c>
      <c r="AA248" s="64">
        <f t="shared" si="106"/>
        <v>0</v>
      </c>
      <c r="AB248" s="64">
        <f t="shared" si="106"/>
        <v>0</v>
      </c>
      <c r="AC248" s="64">
        <f t="shared" si="106"/>
        <v>0</v>
      </c>
      <c r="AD248" s="64">
        <f t="shared" si="106"/>
        <v>0</v>
      </c>
      <c r="AE248" s="64">
        <f t="shared" si="106"/>
        <v>0</v>
      </c>
      <c r="AF248" s="64">
        <f t="shared" si="107"/>
        <v>1941657</v>
      </c>
      <c r="AG248" s="59" t="str">
        <f t="shared" si="108"/>
        <v>ok</v>
      </c>
    </row>
    <row r="249" spans="1:33">
      <c r="A249" s="61">
        <v>583</v>
      </c>
      <c r="B249" s="45" t="s">
        <v>1001</v>
      </c>
      <c r="C249" s="45" t="s">
        <v>1002</v>
      </c>
      <c r="D249" s="45" t="s">
        <v>951</v>
      </c>
      <c r="F249" s="80">
        <v>5880672</v>
      </c>
      <c r="H249" s="64">
        <f t="shared" si="105"/>
        <v>0</v>
      </c>
      <c r="I249" s="64">
        <f t="shared" si="105"/>
        <v>0</v>
      </c>
      <c r="J249" s="64">
        <f t="shared" si="105"/>
        <v>0</v>
      </c>
      <c r="K249" s="64">
        <f t="shared" si="105"/>
        <v>0</v>
      </c>
      <c r="L249" s="64">
        <f t="shared" si="105"/>
        <v>0</v>
      </c>
      <c r="M249" s="64">
        <f t="shared" si="105"/>
        <v>0</v>
      </c>
      <c r="N249" s="64">
        <f t="shared" si="105"/>
        <v>0</v>
      </c>
      <c r="O249" s="64">
        <f t="shared" si="105"/>
        <v>0</v>
      </c>
      <c r="P249" s="64">
        <f t="shared" si="105"/>
        <v>0</v>
      </c>
      <c r="Q249" s="64">
        <f t="shared" si="105"/>
        <v>0</v>
      </c>
      <c r="R249" s="64">
        <f t="shared" si="106"/>
        <v>0</v>
      </c>
      <c r="S249" s="64">
        <f t="shared" si="106"/>
        <v>0</v>
      </c>
      <c r="T249" s="64">
        <f t="shared" si="106"/>
        <v>1756248.46157376</v>
      </c>
      <c r="U249" s="64">
        <f t="shared" si="106"/>
        <v>2547227.3080262397</v>
      </c>
      <c r="V249" s="64">
        <f t="shared" si="106"/>
        <v>643653.78162624</v>
      </c>
      <c r="W249" s="64">
        <f t="shared" si="106"/>
        <v>933542.44877376</v>
      </c>
      <c r="X249" s="64">
        <f t="shared" si="106"/>
        <v>0</v>
      </c>
      <c r="Y249" s="64">
        <f t="shared" si="106"/>
        <v>0</v>
      </c>
      <c r="Z249" s="64">
        <f t="shared" si="106"/>
        <v>0</v>
      </c>
      <c r="AA249" s="64">
        <f t="shared" si="106"/>
        <v>0</v>
      </c>
      <c r="AB249" s="64">
        <f t="shared" si="106"/>
        <v>0</v>
      </c>
      <c r="AC249" s="64">
        <f t="shared" si="106"/>
        <v>0</v>
      </c>
      <c r="AD249" s="64">
        <f t="shared" si="106"/>
        <v>0</v>
      </c>
      <c r="AE249" s="64">
        <f t="shared" si="106"/>
        <v>0</v>
      </c>
      <c r="AF249" s="64">
        <f t="shared" si="107"/>
        <v>5880672.0000000009</v>
      </c>
      <c r="AG249" s="59" t="str">
        <f t="shared" si="108"/>
        <v>ok</v>
      </c>
    </row>
    <row r="250" spans="1:33">
      <c r="A250" s="61">
        <v>584</v>
      </c>
      <c r="B250" s="45" t="s">
        <v>1003</v>
      </c>
      <c r="C250" s="45" t="s">
        <v>1004</v>
      </c>
      <c r="D250" s="45" t="s">
        <v>954</v>
      </c>
      <c r="F250" s="80">
        <v>535725</v>
      </c>
      <c r="H250" s="64">
        <f t="shared" si="105"/>
        <v>0</v>
      </c>
      <c r="I250" s="64">
        <f t="shared" si="105"/>
        <v>0</v>
      </c>
      <c r="J250" s="64">
        <f t="shared" si="105"/>
        <v>0</v>
      </c>
      <c r="K250" s="64">
        <f t="shared" si="105"/>
        <v>0</v>
      </c>
      <c r="L250" s="64">
        <f t="shared" si="105"/>
        <v>0</v>
      </c>
      <c r="M250" s="64">
        <f t="shared" si="105"/>
        <v>0</v>
      </c>
      <c r="N250" s="64">
        <f t="shared" si="105"/>
        <v>0</v>
      </c>
      <c r="O250" s="64">
        <f t="shared" si="105"/>
        <v>0</v>
      </c>
      <c r="P250" s="64">
        <f t="shared" si="105"/>
        <v>0</v>
      </c>
      <c r="Q250" s="64">
        <f t="shared" si="105"/>
        <v>0</v>
      </c>
      <c r="R250" s="64">
        <f t="shared" si="106"/>
        <v>0</v>
      </c>
      <c r="S250" s="64">
        <f t="shared" si="106"/>
        <v>0</v>
      </c>
      <c r="T250" s="64">
        <f t="shared" si="106"/>
        <v>168164.23821750001</v>
      </c>
      <c r="U250" s="64">
        <f t="shared" si="106"/>
        <v>303809.48678250005</v>
      </c>
      <c r="V250" s="64">
        <f t="shared" si="106"/>
        <v>22714.579282499999</v>
      </c>
      <c r="W250" s="64">
        <f t="shared" si="106"/>
        <v>41036.695717499999</v>
      </c>
      <c r="X250" s="64">
        <f t="shared" si="106"/>
        <v>0</v>
      </c>
      <c r="Y250" s="64">
        <f t="shared" si="106"/>
        <v>0</v>
      </c>
      <c r="Z250" s="64">
        <f t="shared" si="106"/>
        <v>0</v>
      </c>
      <c r="AA250" s="64">
        <f t="shared" si="106"/>
        <v>0</v>
      </c>
      <c r="AB250" s="64">
        <f t="shared" si="106"/>
        <v>0</v>
      </c>
      <c r="AC250" s="64">
        <f t="shared" si="106"/>
        <v>0</v>
      </c>
      <c r="AD250" s="64">
        <f t="shared" si="106"/>
        <v>0</v>
      </c>
      <c r="AE250" s="64">
        <f t="shared" si="106"/>
        <v>0</v>
      </c>
      <c r="AF250" s="64">
        <f t="shared" si="107"/>
        <v>535725.00000000012</v>
      </c>
      <c r="AG250" s="59" t="str">
        <f t="shared" si="108"/>
        <v>ok</v>
      </c>
    </row>
    <row r="251" spans="1:33">
      <c r="A251" s="61">
        <v>585</v>
      </c>
      <c r="B251" s="45" t="s">
        <v>1005</v>
      </c>
      <c r="C251" s="45" t="s">
        <v>1006</v>
      </c>
      <c r="D251" s="45" t="s">
        <v>962</v>
      </c>
      <c r="F251" s="80">
        <v>0</v>
      </c>
      <c r="H251" s="64">
        <f t="shared" si="105"/>
        <v>0</v>
      </c>
      <c r="I251" s="64">
        <f t="shared" si="105"/>
        <v>0</v>
      </c>
      <c r="J251" s="64">
        <f t="shared" si="105"/>
        <v>0</v>
      </c>
      <c r="K251" s="64">
        <f t="shared" si="105"/>
        <v>0</v>
      </c>
      <c r="L251" s="64">
        <f t="shared" si="105"/>
        <v>0</v>
      </c>
      <c r="M251" s="64">
        <f t="shared" si="105"/>
        <v>0</v>
      </c>
      <c r="N251" s="64">
        <f t="shared" si="105"/>
        <v>0</v>
      </c>
      <c r="O251" s="64">
        <f t="shared" si="105"/>
        <v>0</v>
      </c>
      <c r="P251" s="64">
        <f t="shared" si="105"/>
        <v>0</v>
      </c>
      <c r="Q251" s="64">
        <f t="shared" si="105"/>
        <v>0</v>
      </c>
      <c r="R251" s="64">
        <f t="shared" si="106"/>
        <v>0</v>
      </c>
      <c r="S251" s="64">
        <f t="shared" si="106"/>
        <v>0</v>
      </c>
      <c r="T251" s="64">
        <f t="shared" si="106"/>
        <v>0</v>
      </c>
      <c r="U251" s="64">
        <f t="shared" si="106"/>
        <v>0</v>
      </c>
      <c r="V251" s="64">
        <f t="shared" si="106"/>
        <v>0</v>
      </c>
      <c r="W251" s="64">
        <f t="shared" si="106"/>
        <v>0</v>
      </c>
      <c r="X251" s="64">
        <f t="shared" si="106"/>
        <v>0</v>
      </c>
      <c r="Y251" s="64">
        <f t="shared" si="106"/>
        <v>0</v>
      </c>
      <c r="Z251" s="64">
        <f t="shared" si="106"/>
        <v>0</v>
      </c>
      <c r="AA251" s="64">
        <f t="shared" si="106"/>
        <v>0</v>
      </c>
      <c r="AB251" s="64">
        <f t="shared" si="106"/>
        <v>0</v>
      </c>
      <c r="AC251" s="64">
        <f t="shared" si="106"/>
        <v>0</v>
      </c>
      <c r="AD251" s="64">
        <f t="shared" si="106"/>
        <v>0</v>
      </c>
      <c r="AE251" s="64">
        <f t="shared" si="106"/>
        <v>0</v>
      </c>
      <c r="AF251" s="64">
        <f t="shared" si="107"/>
        <v>0</v>
      </c>
      <c r="AG251" s="59" t="str">
        <f t="shared" si="108"/>
        <v>ok</v>
      </c>
    </row>
    <row r="252" spans="1:33">
      <c r="A252" s="61">
        <v>586</v>
      </c>
      <c r="B252" s="45" t="s">
        <v>1007</v>
      </c>
      <c r="C252" s="45" t="s">
        <v>1008</v>
      </c>
      <c r="D252" s="45" t="s">
        <v>959</v>
      </c>
      <c r="F252" s="80">
        <v>8277541</v>
      </c>
      <c r="H252" s="64">
        <f t="shared" si="105"/>
        <v>0</v>
      </c>
      <c r="I252" s="64">
        <f t="shared" si="105"/>
        <v>0</v>
      </c>
      <c r="J252" s="64">
        <f t="shared" si="105"/>
        <v>0</v>
      </c>
      <c r="K252" s="64">
        <f t="shared" si="105"/>
        <v>0</v>
      </c>
      <c r="L252" s="64">
        <f t="shared" si="105"/>
        <v>0</v>
      </c>
      <c r="M252" s="64">
        <f t="shared" si="105"/>
        <v>0</v>
      </c>
      <c r="N252" s="64">
        <f t="shared" si="105"/>
        <v>0</v>
      </c>
      <c r="O252" s="64">
        <f t="shared" si="105"/>
        <v>0</v>
      </c>
      <c r="P252" s="64">
        <f t="shared" si="105"/>
        <v>0</v>
      </c>
      <c r="Q252" s="64">
        <f t="shared" si="105"/>
        <v>0</v>
      </c>
      <c r="R252" s="64">
        <f t="shared" si="106"/>
        <v>0</v>
      </c>
      <c r="S252" s="64">
        <f t="shared" si="106"/>
        <v>0</v>
      </c>
      <c r="T252" s="64">
        <f t="shared" si="106"/>
        <v>0</v>
      </c>
      <c r="U252" s="64">
        <f t="shared" si="106"/>
        <v>0</v>
      </c>
      <c r="V252" s="64">
        <f t="shared" si="106"/>
        <v>0</v>
      </c>
      <c r="W252" s="64">
        <f t="shared" si="106"/>
        <v>0</v>
      </c>
      <c r="X252" s="64">
        <f t="shared" si="106"/>
        <v>0</v>
      </c>
      <c r="Y252" s="64">
        <f t="shared" si="106"/>
        <v>0</v>
      </c>
      <c r="Z252" s="64">
        <f t="shared" si="106"/>
        <v>0</v>
      </c>
      <c r="AA252" s="64">
        <f t="shared" si="106"/>
        <v>8277541</v>
      </c>
      <c r="AB252" s="64">
        <f t="shared" si="106"/>
        <v>0</v>
      </c>
      <c r="AC252" s="64">
        <f t="shared" si="106"/>
        <v>0</v>
      </c>
      <c r="AD252" s="64">
        <f t="shared" si="106"/>
        <v>0</v>
      </c>
      <c r="AE252" s="64">
        <f t="shared" si="106"/>
        <v>0</v>
      </c>
      <c r="AF252" s="64">
        <f t="shared" si="107"/>
        <v>8277541</v>
      </c>
      <c r="AG252" s="59" t="str">
        <f t="shared" si="108"/>
        <v>ok</v>
      </c>
    </row>
    <row r="253" spans="1:33">
      <c r="A253" s="61">
        <v>586</v>
      </c>
      <c r="B253" s="45" t="s">
        <v>27</v>
      </c>
      <c r="C253" s="45" t="s">
        <v>28</v>
      </c>
      <c r="D253" s="45" t="s">
        <v>42</v>
      </c>
      <c r="F253" s="80"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64">
        <f t="shared" si="105"/>
        <v>0</v>
      </c>
      <c r="L253" s="64">
        <f t="shared" si="105"/>
        <v>0</v>
      </c>
      <c r="M253" s="64">
        <f t="shared" si="105"/>
        <v>0</v>
      </c>
      <c r="N253" s="64">
        <f t="shared" si="105"/>
        <v>0</v>
      </c>
      <c r="O253" s="64">
        <f t="shared" si="105"/>
        <v>0</v>
      </c>
      <c r="P253" s="64">
        <f t="shared" si="105"/>
        <v>0</v>
      </c>
      <c r="Q253" s="64">
        <f t="shared" si="105"/>
        <v>0</v>
      </c>
      <c r="R253" s="64">
        <f t="shared" si="106"/>
        <v>0</v>
      </c>
      <c r="S253" s="64">
        <f t="shared" si="106"/>
        <v>0</v>
      </c>
      <c r="T253" s="64">
        <f t="shared" si="106"/>
        <v>0</v>
      </c>
      <c r="U253" s="64">
        <f t="shared" si="106"/>
        <v>0</v>
      </c>
      <c r="V253" s="64">
        <f t="shared" si="106"/>
        <v>0</v>
      </c>
      <c r="W253" s="64">
        <f t="shared" si="106"/>
        <v>0</v>
      </c>
      <c r="X253" s="64">
        <f t="shared" si="106"/>
        <v>0</v>
      </c>
      <c r="Y253" s="64">
        <f t="shared" si="106"/>
        <v>0</v>
      </c>
      <c r="Z253" s="64">
        <f t="shared" si="106"/>
        <v>0</v>
      </c>
      <c r="AA253" s="64">
        <f t="shared" si="106"/>
        <v>0</v>
      </c>
      <c r="AB253" s="64">
        <f t="shared" si="106"/>
        <v>0</v>
      </c>
      <c r="AC253" s="64">
        <f t="shared" si="106"/>
        <v>0</v>
      </c>
      <c r="AD253" s="64">
        <f t="shared" si="106"/>
        <v>0</v>
      </c>
      <c r="AE253" s="64">
        <f t="shared" si="106"/>
        <v>0</v>
      </c>
      <c r="AF253" s="64">
        <f t="shared" si="107"/>
        <v>0</v>
      </c>
      <c r="AG253" s="59" t="str">
        <f t="shared" si="108"/>
        <v>ok</v>
      </c>
    </row>
    <row r="254" spans="1:33">
      <c r="A254" s="61">
        <v>587</v>
      </c>
      <c r="B254" s="45" t="s">
        <v>1009</v>
      </c>
      <c r="C254" s="45" t="s">
        <v>1010</v>
      </c>
      <c r="D254" s="45" t="s">
        <v>944</v>
      </c>
      <c r="F254" s="80">
        <f>-79200</f>
        <v>-79200</v>
      </c>
      <c r="H254" s="64">
        <f t="shared" si="105"/>
        <v>0</v>
      </c>
      <c r="I254" s="64">
        <f t="shared" si="105"/>
        <v>0</v>
      </c>
      <c r="J254" s="64">
        <f t="shared" si="105"/>
        <v>0</v>
      </c>
      <c r="K254" s="64">
        <f t="shared" si="105"/>
        <v>0</v>
      </c>
      <c r="L254" s="64">
        <f t="shared" si="105"/>
        <v>0</v>
      </c>
      <c r="M254" s="64">
        <f t="shared" si="105"/>
        <v>0</v>
      </c>
      <c r="N254" s="64">
        <f t="shared" si="105"/>
        <v>0</v>
      </c>
      <c r="O254" s="64">
        <f t="shared" si="105"/>
        <v>0</v>
      </c>
      <c r="P254" s="64">
        <f t="shared" si="105"/>
        <v>0</v>
      </c>
      <c r="Q254" s="64">
        <f t="shared" si="105"/>
        <v>0</v>
      </c>
      <c r="R254" s="64">
        <f t="shared" si="106"/>
        <v>-8873.7543122379684</v>
      </c>
      <c r="S254" s="64">
        <f t="shared" si="106"/>
        <v>0</v>
      </c>
      <c r="T254" s="64">
        <f t="shared" si="106"/>
        <v>-15175.032628823605</v>
      </c>
      <c r="U254" s="64">
        <f t="shared" si="106"/>
        <v>-24149.116980579362</v>
      </c>
      <c r="V254" s="64">
        <f t="shared" si="106"/>
        <v>-4171.6734976716343</v>
      </c>
      <c r="W254" s="64">
        <f t="shared" si="106"/>
        <v>-6339.5089338972275</v>
      </c>
      <c r="X254" s="64">
        <f t="shared" si="106"/>
        <v>-5766.5113926825243</v>
      </c>
      <c r="Y254" s="64">
        <f t="shared" si="106"/>
        <v>-4032.8233173483941</v>
      </c>
      <c r="Z254" s="64">
        <f t="shared" si="106"/>
        <v>-2002.7754636929808</v>
      </c>
      <c r="AA254" s="64">
        <f t="shared" si="106"/>
        <v>-2323.1635964977295</v>
      </c>
      <c r="AB254" s="64">
        <f t="shared" si="106"/>
        <v>-6365.6398765685744</v>
      </c>
      <c r="AC254" s="64">
        <f t="shared" si="106"/>
        <v>0</v>
      </c>
      <c r="AD254" s="64">
        <f t="shared" si="106"/>
        <v>0</v>
      </c>
      <c r="AE254" s="64">
        <f t="shared" si="106"/>
        <v>0</v>
      </c>
      <c r="AF254" s="64">
        <f t="shared" si="107"/>
        <v>-79199.999999999985</v>
      </c>
      <c r="AG254" s="59" t="str">
        <f t="shared" si="108"/>
        <v>ok</v>
      </c>
    </row>
    <row r="255" spans="1:33">
      <c r="A255" s="61">
        <v>588</v>
      </c>
      <c r="B255" s="45" t="s">
        <v>1011</v>
      </c>
      <c r="C255" s="45" t="s">
        <v>1012</v>
      </c>
      <c r="D255" s="45" t="s">
        <v>944</v>
      </c>
      <c r="F255" s="80">
        <f>5593730</f>
        <v>5593730</v>
      </c>
      <c r="H255" s="64">
        <f t="shared" si="105"/>
        <v>0</v>
      </c>
      <c r="I255" s="64">
        <f t="shared" si="105"/>
        <v>0</v>
      </c>
      <c r="J255" s="64">
        <f t="shared" si="105"/>
        <v>0</v>
      </c>
      <c r="K255" s="64">
        <f t="shared" si="105"/>
        <v>0</v>
      </c>
      <c r="L255" s="64">
        <f t="shared" si="105"/>
        <v>0</v>
      </c>
      <c r="M255" s="64">
        <f t="shared" si="105"/>
        <v>0</v>
      </c>
      <c r="N255" s="64">
        <f t="shared" si="105"/>
        <v>0</v>
      </c>
      <c r="O255" s="64">
        <f t="shared" si="105"/>
        <v>0</v>
      </c>
      <c r="P255" s="64">
        <f t="shared" si="105"/>
        <v>0</v>
      </c>
      <c r="Q255" s="64">
        <f t="shared" si="105"/>
        <v>0</v>
      </c>
      <c r="R255" s="64">
        <f t="shared" si="106"/>
        <v>626734.66804286477</v>
      </c>
      <c r="S255" s="64">
        <f t="shared" si="106"/>
        <v>0</v>
      </c>
      <c r="T255" s="64">
        <f t="shared" si="106"/>
        <v>1071780.7483185539</v>
      </c>
      <c r="U255" s="64">
        <f t="shared" si="106"/>
        <v>1705601.5167648508</v>
      </c>
      <c r="V255" s="64">
        <f t="shared" si="106"/>
        <v>294636.55548144889</v>
      </c>
      <c r="W255" s="64">
        <f t="shared" si="106"/>
        <v>447746.22864657751</v>
      </c>
      <c r="X255" s="64">
        <f t="shared" si="106"/>
        <v>407276.61329027801</v>
      </c>
      <c r="Y255" s="64">
        <f t="shared" si="106"/>
        <v>284829.85826958629</v>
      </c>
      <c r="Z255" s="64">
        <f t="shared" si="106"/>
        <v>141451.83326418357</v>
      </c>
      <c r="AA255" s="64">
        <f t="shared" si="106"/>
        <v>164080.17556360157</v>
      </c>
      <c r="AB255" s="64">
        <f t="shared" si="106"/>
        <v>449591.80235805473</v>
      </c>
      <c r="AC255" s="64">
        <f t="shared" si="106"/>
        <v>0</v>
      </c>
      <c r="AD255" s="64">
        <f t="shared" si="106"/>
        <v>0</v>
      </c>
      <c r="AE255" s="64">
        <f t="shared" si="106"/>
        <v>0</v>
      </c>
      <c r="AF255" s="64">
        <f t="shared" si="107"/>
        <v>5593729.9999999991</v>
      </c>
      <c r="AG255" s="59" t="str">
        <f t="shared" si="108"/>
        <v>ok</v>
      </c>
    </row>
    <row r="256" spans="1:33">
      <c r="A256" s="61">
        <v>588</v>
      </c>
      <c r="B256" s="45" t="s">
        <v>174</v>
      </c>
      <c r="C256" s="45" t="s">
        <v>118</v>
      </c>
      <c r="D256" s="45" t="s">
        <v>944</v>
      </c>
      <c r="F256" s="80"/>
      <c r="H256" s="64">
        <f t="shared" si="105"/>
        <v>0</v>
      </c>
      <c r="I256" s="64">
        <f t="shared" si="105"/>
        <v>0</v>
      </c>
      <c r="J256" s="64">
        <f t="shared" si="105"/>
        <v>0</v>
      </c>
      <c r="K256" s="64">
        <f t="shared" si="105"/>
        <v>0</v>
      </c>
      <c r="L256" s="64">
        <f t="shared" si="105"/>
        <v>0</v>
      </c>
      <c r="M256" s="64">
        <f t="shared" si="105"/>
        <v>0</v>
      </c>
      <c r="N256" s="64">
        <f t="shared" si="105"/>
        <v>0</v>
      </c>
      <c r="O256" s="64">
        <f t="shared" si="105"/>
        <v>0</v>
      </c>
      <c r="P256" s="64">
        <f t="shared" si="105"/>
        <v>0</v>
      </c>
      <c r="Q256" s="64">
        <f t="shared" si="105"/>
        <v>0</v>
      </c>
      <c r="R256" s="64">
        <f t="shared" si="106"/>
        <v>0</v>
      </c>
      <c r="S256" s="64">
        <f t="shared" si="106"/>
        <v>0</v>
      </c>
      <c r="T256" s="64">
        <f t="shared" si="106"/>
        <v>0</v>
      </c>
      <c r="U256" s="64">
        <f t="shared" si="106"/>
        <v>0</v>
      </c>
      <c r="V256" s="64">
        <f t="shared" si="106"/>
        <v>0</v>
      </c>
      <c r="W256" s="64">
        <f t="shared" si="106"/>
        <v>0</v>
      </c>
      <c r="X256" s="64">
        <f t="shared" si="106"/>
        <v>0</v>
      </c>
      <c r="Y256" s="64">
        <f t="shared" si="106"/>
        <v>0</v>
      </c>
      <c r="Z256" s="64">
        <f t="shared" si="106"/>
        <v>0</v>
      </c>
      <c r="AA256" s="64">
        <f t="shared" si="106"/>
        <v>0</v>
      </c>
      <c r="AB256" s="64">
        <f t="shared" si="106"/>
        <v>0</v>
      </c>
      <c r="AC256" s="64">
        <f t="shared" si="106"/>
        <v>0</v>
      </c>
      <c r="AD256" s="64">
        <f t="shared" si="106"/>
        <v>0</v>
      </c>
      <c r="AE256" s="64">
        <f t="shared" si="106"/>
        <v>0</v>
      </c>
      <c r="AF256" s="64">
        <f t="shared" si="107"/>
        <v>0</v>
      </c>
      <c r="AG256" s="59" t="str">
        <f t="shared" si="108"/>
        <v>ok</v>
      </c>
    </row>
    <row r="257" spans="1:33">
      <c r="A257" s="61">
        <v>589</v>
      </c>
      <c r="B257" s="45" t="s">
        <v>1013</v>
      </c>
      <c r="C257" s="45" t="s">
        <v>1014</v>
      </c>
      <c r="D257" s="45" t="s">
        <v>944</v>
      </c>
      <c r="F257" s="80">
        <v>8165</v>
      </c>
      <c r="H257" s="64">
        <f t="shared" si="105"/>
        <v>0</v>
      </c>
      <c r="I257" s="64">
        <f t="shared" si="105"/>
        <v>0</v>
      </c>
      <c r="J257" s="64">
        <f t="shared" si="105"/>
        <v>0</v>
      </c>
      <c r="K257" s="64">
        <f t="shared" si="105"/>
        <v>0</v>
      </c>
      <c r="L257" s="64">
        <f t="shared" si="105"/>
        <v>0</v>
      </c>
      <c r="M257" s="64">
        <f t="shared" si="105"/>
        <v>0</v>
      </c>
      <c r="N257" s="64">
        <f t="shared" si="105"/>
        <v>0</v>
      </c>
      <c r="O257" s="64">
        <f t="shared" si="105"/>
        <v>0</v>
      </c>
      <c r="P257" s="64">
        <f t="shared" si="105"/>
        <v>0</v>
      </c>
      <c r="Q257" s="64">
        <f t="shared" si="105"/>
        <v>0</v>
      </c>
      <c r="R257" s="64">
        <f t="shared" si="106"/>
        <v>914.82580756847244</v>
      </c>
      <c r="S257" s="64">
        <f t="shared" si="106"/>
        <v>0</v>
      </c>
      <c r="T257" s="64">
        <f t="shared" si="106"/>
        <v>1564.4462299791001</v>
      </c>
      <c r="U257" s="64">
        <f t="shared" si="106"/>
        <v>2489.6154058892739</v>
      </c>
      <c r="V257" s="64">
        <f t="shared" si="106"/>
        <v>430.07214783445579</v>
      </c>
      <c r="W257" s="64">
        <f t="shared" si="106"/>
        <v>653.56174804634929</v>
      </c>
      <c r="X257" s="64">
        <f t="shared" si="106"/>
        <v>594.48946365218205</v>
      </c>
      <c r="Y257" s="64">
        <f t="shared" si="106"/>
        <v>415.75760588572774</v>
      </c>
      <c r="Z257" s="64">
        <f t="shared" si="106"/>
        <v>206.4730007708736</v>
      </c>
      <c r="AA257" s="64">
        <f t="shared" si="106"/>
        <v>239.50291370459547</v>
      </c>
      <c r="AB257" s="64">
        <f t="shared" si="106"/>
        <v>656.25567666896984</v>
      </c>
      <c r="AC257" s="64">
        <f t="shared" si="106"/>
        <v>0</v>
      </c>
      <c r="AD257" s="64">
        <f t="shared" si="106"/>
        <v>0</v>
      </c>
      <c r="AE257" s="64">
        <f t="shared" si="106"/>
        <v>0</v>
      </c>
      <c r="AF257" s="64">
        <f t="shared" si="107"/>
        <v>8165</v>
      </c>
      <c r="AG257" s="59" t="str">
        <f t="shared" si="108"/>
        <v>ok</v>
      </c>
    </row>
    <row r="258" spans="1:33">
      <c r="A258" s="61"/>
      <c r="F258" s="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G258" s="59"/>
    </row>
    <row r="259" spans="1:33">
      <c r="A259" s="61" t="s">
        <v>1015</v>
      </c>
      <c r="C259" s="45" t="s">
        <v>1016</v>
      </c>
      <c r="F259" s="77">
        <f t="shared" ref="F259:M259" si="109">SUM(F246:F258)</f>
        <v>24714588</v>
      </c>
      <c r="G259" s="63">
        <f t="shared" si="109"/>
        <v>0</v>
      </c>
      <c r="H259" s="63">
        <f t="shared" si="109"/>
        <v>0</v>
      </c>
      <c r="I259" s="63">
        <f t="shared" si="109"/>
        <v>0</v>
      </c>
      <c r="J259" s="63">
        <f t="shared" si="109"/>
        <v>0</v>
      </c>
      <c r="K259" s="63">
        <f t="shared" si="109"/>
        <v>0</v>
      </c>
      <c r="L259" s="63">
        <f t="shared" si="109"/>
        <v>0</v>
      </c>
      <c r="M259" s="63">
        <f t="shared" si="109"/>
        <v>0</v>
      </c>
      <c r="N259" s="63">
        <f>SUM(N246:N258)</f>
        <v>0</v>
      </c>
      <c r="O259" s="63">
        <f>SUM(O246:O258)</f>
        <v>0</v>
      </c>
      <c r="P259" s="63">
        <f>SUM(P246:P258)</f>
        <v>0</v>
      </c>
      <c r="Q259" s="63">
        <f t="shared" ref="Q259:AB259" si="110">SUM(Q246:Q258)</f>
        <v>0</v>
      </c>
      <c r="R259" s="63">
        <f t="shared" si="110"/>
        <v>3638801.6937779556</v>
      </c>
      <c r="S259" s="63">
        <f t="shared" si="110"/>
        <v>0</v>
      </c>
      <c r="T259" s="63">
        <f t="shared" si="110"/>
        <v>3165500.9523400711</v>
      </c>
      <c r="U259" s="63">
        <f t="shared" si="110"/>
        <v>4813013.5273472145</v>
      </c>
      <c r="V259" s="63">
        <f t="shared" si="110"/>
        <v>1016029.4700498796</v>
      </c>
      <c r="W259" s="63">
        <f t="shared" si="110"/>
        <v>1503592.7017586282</v>
      </c>
      <c r="X259" s="63">
        <f t="shared" si="110"/>
        <v>425724.05404101004</v>
      </c>
      <c r="Y259" s="63">
        <f t="shared" si="110"/>
        <v>297731.11938551156</v>
      </c>
      <c r="Z259" s="63">
        <f t="shared" si="110"/>
        <v>147858.84075754936</v>
      </c>
      <c r="AA259" s="63">
        <f t="shared" si="110"/>
        <v>9236379.74688752</v>
      </c>
      <c r="AB259" s="63">
        <f t="shared" si="110"/>
        <v>469955.89365465904</v>
      </c>
      <c r="AC259" s="63">
        <f>SUM(AC246:AC258)</f>
        <v>0</v>
      </c>
      <c r="AD259" s="63">
        <f>SUM(AD246:AD258)</f>
        <v>0</v>
      </c>
      <c r="AE259" s="63">
        <f>SUM(AE246:AE258)</f>
        <v>0</v>
      </c>
      <c r="AF259" s="64">
        <f>SUM(H259:AE259)</f>
        <v>24714588</v>
      </c>
      <c r="AG259" s="59" t="str">
        <f>IF(ABS(AF259-F259)&lt;1,"ok","err")</f>
        <v>ok</v>
      </c>
    </row>
    <row r="260" spans="1:33">
      <c r="A260" s="61"/>
      <c r="F260" s="77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4"/>
      <c r="AG260" s="59"/>
    </row>
    <row r="261" spans="1:33">
      <c r="A261" s="61"/>
      <c r="F261" s="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G261" s="59"/>
    </row>
    <row r="262" spans="1:33" ht="15">
      <c r="A262" s="66" t="s">
        <v>1017</v>
      </c>
      <c r="F262" s="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G262" s="59"/>
    </row>
    <row r="263" spans="1:33">
      <c r="A263" s="61">
        <v>590</v>
      </c>
      <c r="B263" s="61" t="s">
        <v>1018</v>
      </c>
      <c r="C263" s="45" t="s">
        <v>1019</v>
      </c>
      <c r="D263" s="45" t="s">
        <v>73</v>
      </c>
      <c r="F263" s="77">
        <v>77850</v>
      </c>
      <c r="H263" s="64">
        <f t="shared" ref="H263:Q271" si="111">IF(VLOOKUP($D263,$C$6:$AE$653,H$2,)=0,0,((VLOOKUP($D263,$C$6:$AE$653,H$2,)/VLOOKUP($D263,$C$6:$AE$653,4,))*$F263))</f>
        <v>0</v>
      </c>
      <c r="I263" s="64">
        <f t="shared" si="111"/>
        <v>0</v>
      </c>
      <c r="J263" s="64">
        <f t="shared" si="111"/>
        <v>0</v>
      </c>
      <c r="K263" s="64">
        <f t="shared" si="111"/>
        <v>0</v>
      </c>
      <c r="L263" s="64">
        <f t="shared" si="111"/>
        <v>0</v>
      </c>
      <c r="M263" s="64">
        <f t="shared" si="111"/>
        <v>0</v>
      </c>
      <c r="N263" s="64">
        <f t="shared" si="111"/>
        <v>0</v>
      </c>
      <c r="O263" s="64">
        <f t="shared" si="111"/>
        <v>0</v>
      </c>
      <c r="P263" s="64">
        <f t="shared" si="111"/>
        <v>0</v>
      </c>
      <c r="Q263" s="64">
        <f t="shared" si="111"/>
        <v>0</v>
      </c>
      <c r="R263" s="64">
        <f t="shared" ref="R263:AE271" si="112">IF(VLOOKUP($D263,$C$6:$AE$653,R$2,)=0,0,((VLOOKUP($D263,$C$6:$AE$653,R$2,)/VLOOKUP($D263,$C$6:$AE$653,4,))*$F263))</f>
        <v>4736.0094645903264</v>
      </c>
      <c r="S263" s="64">
        <f t="shared" si="112"/>
        <v>0</v>
      </c>
      <c r="T263" s="64">
        <f t="shared" si="112"/>
        <v>21381.116377059487</v>
      </c>
      <c r="U263" s="64">
        <f t="shared" si="112"/>
        <v>32084.851849457875</v>
      </c>
      <c r="V263" s="64">
        <f t="shared" si="112"/>
        <v>7138.2869506657107</v>
      </c>
      <c r="W263" s="64">
        <f t="shared" si="112"/>
        <v>10498.311680242781</v>
      </c>
      <c r="X263" s="64">
        <f t="shared" si="112"/>
        <v>1088.4088778245496</v>
      </c>
      <c r="Y263" s="64">
        <f t="shared" si="112"/>
        <v>761.18131091699013</v>
      </c>
      <c r="Z263" s="64">
        <f t="shared" si="112"/>
        <v>0</v>
      </c>
      <c r="AA263" s="64">
        <f t="shared" si="112"/>
        <v>0</v>
      </c>
      <c r="AB263" s="64">
        <f t="shared" si="112"/>
        <v>161.8334892422825</v>
      </c>
      <c r="AC263" s="64">
        <f t="shared" si="112"/>
        <v>0</v>
      </c>
      <c r="AD263" s="64">
        <f t="shared" si="112"/>
        <v>0</v>
      </c>
      <c r="AE263" s="64">
        <f t="shared" si="112"/>
        <v>0</v>
      </c>
      <c r="AF263" s="64">
        <f t="shared" ref="AF263:AF271" si="113">SUM(H263:AE263)</f>
        <v>77850</v>
      </c>
      <c r="AG263" s="59" t="str">
        <f>IF(ABS(AF263-F263)&lt;1,"ok","err")</f>
        <v>ok</v>
      </c>
    </row>
    <row r="264" spans="1:33">
      <c r="A264" s="61">
        <v>591</v>
      </c>
      <c r="B264" s="61" t="s">
        <v>266</v>
      </c>
      <c r="C264" s="45" t="s">
        <v>272</v>
      </c>
      <c r="D264" s="45" t="s">
        <v>948</v>
      </c>
      <c r="F264" s="80">
        <v>0</v>
      </c>
      <c r="H264" s="64">
        <f t="shared" si="111"/>
        <v>0</v>
      </c>
      <c r="I264" s="64">
        <f t="shared" si="111"/>
        <v>0</v>
      </c>
      <c r="J264" s="64">
        <f t="shared" si="111"/>
        <v>0</v>
      </c>
      <c r="K264" s="64">
        <f t="shared" si="111"/>
        <v>0</v>
      </c>
      <c r="L264" s="64">
        <f t="shared" si="111"/>
        <v>0</v>
      </c>
      <c r="M264" s="64">
        <f t="shared" si="111"/>
        <v>0</v>
      </c>
      <c r="N264" s="64">
        <f t="shared" si="111"/>
        <v>0</v>
      </c>
      <c r="O264" s="64">
        <f t="shared" si="111"/>
        <v>0</v>
      </c>
      <c r="P264" s="64">
        <f t="shared" si="111"/>
        <v>0</v>
      </c>
      <c r="Q264" s="64">
        <f t="shared" si="111"/>
        <v>0</v>
      </c>
      <c r="R264" s="64">
        <f t="shared" si="112"/>
        <v>0</v>
      </c>
      <c r="S264" s="64">
        <f t="shared" si="112"/>
        <v>0</v>
      </c>
      <c r="T264" s="64">
        <f t="shared" si="112"/>
        <v>0</v>
      </c>
      <c r="U264" s="64">
        <f t="shared" si="112"/>
        <v>0</v>
      </c>
      <c r="V264" s="64">
        <f t="shared" si="112"/>
        <v>0</v>
      </c>
      <c r="W264" s="64">
        <f t="shared" si="112"/>
        <v>0</v>
      </c>
      <c r="X264" s="64">
        <f t="shared" si="112"/>
        <v>0</v>
      </c>
      <c r="Y264" s="64">
        <f t="shared" si="112"/>
        <v>0</v>
      </c>
      <c r="Z264" s="64">
        <f t="shared" si="112"/>
        <v>0</v>
      </c>
      <c r="AA264" s="64">
        <f t="shared" si="112"/>
        <v>0</v>
      </c>
      <c r="AB264" s="64">
        <f t="shared" si="112"/>
        <v>0</v>
      </c>
      <c r="AC264" s="64">
        <f t="shared" si="112"/>
        <v>0</v>
      </c>
      <c r="AD264" s="64">
        <f t="shared" si="112"/>
        <v>0</v>
      </c>
      <c r="AE264" s="64">
        <f t="shared" si="112"/>
        <v>0</v>
      </c>
      <c r="AF264" s="64"/>
      <c r="AG264" s="59"/>
    </row>
    <row r="265" spans="1:33">
      <c r="A265" s="61">
        <v>592</v>
      </c>
      <c r="B265" s="61" t="s">
        <v>1020</v>
      </c>
      <c r="C265" s="45" t="s">
        <v>1021</v>
      </c>
      <c r="D265" s="45" t="s">
        <v>948</v>
      </c>
      <c r="F265" s="80">
        <v>1167866</v>
      </c>
      <c r="H265" s="64">
        <f t="shared" si="111"/>
        <v>0</v>
      </c>
      <c r="I265" s="64">
        <f t="shared" si="111"/>
        <v>0</v>
      </c>
      <c r="J265" s="64">
        <f t="shared" si="111"/>
        <v>0</v>
      </c>
      <c r="K265" s="64">
        <f t="shared" si="111"/>
        <v>0</v>
      </c>
      <c r="L265" s="64">
        <f t="shared" si="111"/>
        <v>0</v>
      </c>
      <c r="M265" s="64">
        <f t="shared" si="111"/>
        <v>0</v>
      </c>
      <c r="N265" s="64">
        <f t="shared" si="111"/>
        <v>0</v>
      </c>
      <c r="O265" s="64">
        <f t="shared" si="111"/>
        <v>0</v>
      </c>
      <c r="P265" s="64">
        <f t="shared" si="111"/>
        <v>0</v>
      </c>
      <c r="Q265" s="64">
        <f t="shared" si="111"/>
        <v>0</v>
      </c>
      <c r="R265" s="64">
        <f t="shared" si="112"/>
        <v>1167866</v>
      </c>
      <c r="S265" s="64">
        <f t="shared" si="112"/>
        <v>0</v>
      </c>
      <c r="T265" s="64">
        <f t="shared" si="112"/>
        <v>0</v>
      </c>
      <c r="U265" s="64">
        <f t="shared" si="112"/>
        <v>0</v>
      </c>
      <c r="V265" s="64">
        <f t="shared" si="112"/>
        <v>0</v>
      </c>
      <c r="W265" s="64">
        <f t="shared" si="112"/>
        <v>0</v>
      </c>
      <c r="X265" s="64">
        <f t="shared" si="112"/>
        <v>0</v>
      </c>
      <c r="Y265" s="64">
        <f t="shared" si="112"/>
        <v>0</v>
      </c>
      <c r="Z265" s="64">
        <f t="shared" si="112"/>
        <v>0</v>
      </c>
      <c r="AA265" s="64">
        <f t="shared" si="112"/>
        <v>0</v>
      </c>
      <c r="AB265" s="64">
        <f t="shared" si="112"/>
        <v>0</v>
      </c>
      <c r="AC265" s="64">
        <f t="shared" si="112"/>
        <v>0</v>
      </c>
      <c r="AD265" s="64">
        <f t="shared" si="112"/>
        <v>0</v>
      </c>
      <c r="AE265" s="64">
        <f t="shared" si="112"/>
        <v>0</v>
      </c>
      <c r="AF265" s="64">
        <f t="shared" si="113"/>
        <v>1167866</v>
      </c>
      <c r="AG265" s="59" t="str">
        <f t="shared" ref="AG265:AG271" si="114">IF(ABS(AF265-F265)&lt;1,"ok","err")</f>
        <v>ok</v>
      </c>
    </row>
    <row r="266" spans="1:33">
      <c r="A266" s="61">
        <v>593</v>
      </c>
      <c r="B266" s="61" t="s">
        <v>1022</v>
      </c>
      <c r="C266" s="45" t="s">
        <v>1023</v>
      </c>
      <c r="D266" s="45" t="s">
        <v>951</v>
      </c>
      <c r="F266" s="80">
        <v>23665349</v>
      </c>
      <c r="H266" s="64">
        <f t="shared" si="111"/>
        <v>0</v>
      </c>
      <c r="I266" s="64">
        <f t="shared" si="111"/>
        <v>0</v>
      </c>
      <c r="J266" s="64">
        <f t="shared" si="111"/>
        <v>0</v>
      </c>
      <c r="K266" s="64">
        <f t="shared" si="111"/>
        <v>0</v>
      </c>
      <c r="L266" s="64">
        <f t="shared" si="111"/>
        <v>0</v>
      </c>
      <c r="M266" s="64">
        <f t="shared" si="111"/>
        <v>0</v>
      </c>
      <c r="N266" s="64">
        <f t="shared" si="111"/>
        <v>0</v>
      </c>
      <c r="O266" s="64">
        <f t="shared" si="111"/>
        <v>0</v>
      </c>
      <c r="P266" s="64">
        <f t="shared" si="111"/>
        <v>0</v>
      </c>
      <c r="Q266" s="64">
        <f t="shared" si="111"/>
        <v>0</v>
      </c>
      <c r="R266" s="64">
        <f t="shared" si="112"/>
        <v>0</v>
      </c>
      <c r="S266" s="64">
        <f t="shared" si="112"/>
        <v>0</v>
      </c>
      <c r="T266" s="64">
        <f t="shared" si="112"/>
        <v>7067599.2087054206</v>
      </c>
      <c r="U266" s="64">
        <f t="shared" si="112"/>
        <v>10250703.18949458</v>
      </c>
      <c r="V266" s="64">
        <f t="shared" si="112"/>
        <v>2590229.7181945802</v>
      </c>
      <c r="W266" s="64">
        <f t="shared" si="112"/>
        <v>3756816.8836054201</v>
      </c>
      <c r="X266" s="64">
        <f t="shared" si="112"/>
        <v>0</v>
      </c>
      <c r="Y266" s="64">
        <f t="shared" si="112"/>
        <v>0</v>
      </c>
      <c r="Z266" s="64">
        <f t="shared" si="112"/>
        <v>0</v>
      </c>
      <c r="AA266" s="64">
        <f t="shared" si="112"/>
        <v>0</v>
      </c>
      <c r="AB266" s="64">
        <f t="shared" si="112"/>
        <v>0</v>
      </c>
      <c r="AC266" s="64">
        <f t="shared" si="112"/>
        <v>0</v>
      </c>
      <c r="AD266" s="64">
        <f t="shared" si="112"/>
        <v>0</v>
      </c>
      <c r="AE266" s="64">
        <f t="shared" si="112"/>
        <v>0</v>
      </c>
      <c r="AF266" s="64">
        <f t="shared" si="113"/>
        <v>23665349.000000004</v>
      </c>
      <c r="AG266" s="59" t="str">
        <f t="shared" si="114"/>
        <v>ok</v>
      </c>
    </row>
    <row r="267" spans="1:33">
      <c r="A267" s="61">
        <v>594</v>
      </c>
      <c r="B267" s="61" t="s">
        <v>1024</v>
      </c>
      <c r="C267" s="45" t="s">
        <v>1025</v>
      </c>
      <c r="D267" s="45" t="s">
        <v>954</v>
      </c>
      <c r="F267" s="80">
        <v>1604057</v>
      </c>
      <c r="H267" s="64">
        <f t="shared" si="111"/>
        <v>0</v>
      </c>
      <c r="I267" s="64">
        <f t="shared" si="111"/>
        <v>0</v>
      </c>
      <c r="J267" s="64">
        <f t="shared" si="111"/>
        <v>0</v>
      </c>
      <c r="K267" s="64">
        <f t="shared" si="111"/>
        <v>0</v>
      </c>
      <c r="L267" s="64">
        <f t="shared" si="111"/>
        <v>0</v>
      </c>
      <c r="M267" s="64">
        <f t="shared" si="111"/>
        <v>0</v>
      </c>
      <c r="N267" s="64">
        <f t="shared" si="111"/>
        <v>0</v>
      </c>
      <c r="O267" s="64">
        <f t="shared" si="111"/>
        <v>0</v>
      </c>
      <c r="P267" s="64">
        <f t="shared" si="111"/>
        <v>0</v>
      </c>
      <c r="Q267" s="64">
        <f t="shared" si="111"/>
        <v>0</v>
      </c>
      <c r="R267" s="64">
        <f t="shared" si="112"/>
        <v>0</v>
      </c>
      <c r="S267" s="64">
        <f t="shared" si="112"/>
        <v>0</v>
      </c>
      <c r="T267" s="64">
        <f t="shared" si="112"/>
        <v>503513.97351710004</v>
      </c>
      <c r="U267" s="64">
        <f t="shared" si="112"/>
        <v>909660.2434829002</v>
      </c>
      <c r="V267" s="64">
        <f t="shared" si="112"/>
        <v>68011.535582900004</v>
      </c>
      <c r="W267" s="64">
        <f t="shared" si="112"/>
        <v>122871.24741709999</v>
      </c>
      <c r="X267" s="64">
        <f t="shared" si="112"/>
        <v>0</v>
      </c>
      <c r="Y267" s="64">
        <f t="shared" si="112"/>
        <v>0</v>
      </c>
      <c r="Z267" s="64">
        <f t="shared" si="112"/>
        <v>0</v>
      </c>
      <c r="AA267" s="64">
        <f t="shared" si="112"/>
        <v>0</v>
      </c>
      <c r="AB267" s="64">
        <f t="shared" si="112"/>
        <v>0</v>
      </c>
      <c r="AC267" s="64">
        <f t="shared" si="112"/>
        <v>0</v>
      </c>
      <c r="AD267" s="64">
        <f t="shared" si="112"/>
        <v>0</v>
      </c>
      <c r="AE267" s="64">
        <f t="shared" si="112"/>
        <v>0</v>
      </c>
      <c r="AF267" s="64">
        <f t="shared" si="113"/>
        <v>1604057.0000000002</v>
      </c>
      <c r="AG267" s="59" t="str">
        <f t="shared" si="114"/>
        <v>ok</v>
      </c>
    </row>
    <row r="268" spans="1:33">
      <c r="A268" s="61">
        <v>595</v>
      </c>
      <c r="B268" s="61" t="s">
        <v>1026</v>
      </c>
      <c r="C268" s="45" t="s">
        <v>1027</v>
      </c>
      <c r="D268" s="45" t="s">
        <v>955</v>
      </c>
      <c r="F268" s="80">
        <v>334735</v>
      </c>
      <c r="H268" s="64">
        <f t="shared" si="111"/>
        <v>0</v>
      </c>
      <c r="I268" s="64">
        <f t="shared" si="111"/>
        <v>0</v>
      </c>
      <c r="J268" s="64">
        <f t="shared" si="111"/>
        <v>0</v>
      </c>
      <c r="K268" s="64">
        <f t="shared" si="111"/>
        <v>0</v>
      </c>
      <c r="L268" s="64">
        <f t="shared" si="111"/>
        <v>0</v>
      </c>
      <c r="M268" s="64">
        <f t="shared" si="111"/>
        <v>0</v>
      </c>
      <c r="N268" s="64">
        <f t="shared" si="111"/>
        <v>0</v>
      </c>
      <c r="O268" s="64">
        <f t="shared" si="111"/>
        <v>0</v>
      </c>
      <c r="P268" s="64">
        <f t="shared" si="111"/>
        <v>0</v>
      </c>
      <c r="Q268" s="64">
        <f t="shared" si="111"/>
        <v>0</v>
      </c>
      <c r="R268" s="64">
        <f t="shared" si="112"/>
        <v>0</v>
      </c>
      <c r="S268" s="64">
        <f t="shared" si="112"/>
        <v>0</v>
      </c>
      <c r="T268" s="64">
        <f t="shared" si="112"/>
        <v>0</v>
      </c>
      <c r="U268" s="64">
        <f t="shared" si="112"/>
        <v>0</v>
      </c>
      <c r="V268" s="64">
        <f t="shared" si="112"/>
        <v>0</v>
      </c>
      <c r="W268" s="64">
        <f t="shared" si="112"/>
        <v>0</v>
      </c>
      <c r="X268" s="64">
        <f t="shared" si="112"/>
        <v>196977.98352103587</v>
      </c>
      <c r="Y268" s="64">
        <f t="shared" si="112"/>
        <v>137757.01647896416</v>
      </c>
      <c r="Z268" s="64">
        <f t="shared" si="112"/>
        <v>0</v>
      </c>
      <c r="AA268" s="64">
        <f t="shared" si="112"/>
        <v>0</v>
      </c>
      <c r="AB268" s="64">
        <f t="shared" si="112"/>
        <v>0</v>
      </c>
      <c r="AC268" s="64">
        <f t="shared" si="112"/>
        <v>0</v>
      </c>
      <c r="AD268" s="64">
        <f t="shared" si="112"/>
        <v>0</v>
      </c>
      <c r="AE268" s="64">
        <f t="shared" si="112"/>
        <v>0</v>
      </c>
      <c r="AF268" s="64">
        <f t="shared" si="113"/>
        <v>334735</v>
      </c>
      <c r="AG268" s="59" t="str">
        <f t="shared" si="114"/>
        <v>ok</v>
      </c>
    </row>
    <row r="269" spans="1:33">
      <c r="A269" s="61">
        <v>596</v>
      </c>
      <c r="B269" s="61" t="s">
        <v>1161</v>
      </c>
      <c r="C269" s="45" t="s">
        <v>1162</v>
      </c>
      <c r="D269" s="45" t="s">
        <v>962</v>
      </c>
      <c r="F269" s="80">
        <v>355341</v>
      </c>
      <c r="H269" s="64">
        <f t="shared" si="111"/>
        <v>0</v>
      </c>
      <c r="I269" s="64">
        <f t="shared" si="111"/>
        <v>0</v>
      </c>
      <c r="J269" s="64">
        <f t="shared" si="111"/>
        <v>0</v>
      </c>
      <c r="K269" s="64">
        <f t="shared" si="111"/>
        <v>0</v>
      </c>
      <c r="L269" s="64">
        <f t="shared" si="111"/>
        <v>0</v>
      </c>
      <c r="M269" s="64">
        <f t="shared" si="111"/>
        <v>0</v>
      </c>
      <c r="N269" s="64">
        <f t="shared" si="111"/>
        <v>0</v>
      </c>
      <c r="O269" s="64">
        <f t="shared" si="111"/>
        <v>0</v>
      </c>
      <c r="P269" s="64">
        <f t="shared" si="111"/>
        <v>0</v>
      </c>
      <c r="Q269" s="64">
        <f t="shared" si="111"/>
        <v>0</v>
      </c>
      <c r="R269" s="64">
        <f t="shared" si="112"/>
        <v>0</v>
      </c>
      <c r="S269" s="64">
        <f t="shared" si="112"/>
        <v>0</v>
      </c>
      <c r="T269" s="64">
        <f t="shared" si="112"/>
        <v>0</v>
      </c>
      <c r="U269" s="64">
        <f t="shared" si="112"/>
        <v>0</v>
      </c>
      <c r="V269" s="64">
        <f t="shared" si="112"/>
        <v>0</v>
      </c>
      <c r="W269" s="64">
        <f t="shared" si="112"/>
        <v>0</v>
      </c>
      <c r="X269" s="64">
        <f t="shared" si="112"/>
        <v>0</v>
      </c>
      <c r="Y269" s="64">
        <f t="shared" si="112"/>
        <v>0</v>
      </c>
      <c r="Z269" s="64">
        <f t="shared" si="112"/>
        <v>0</v>
      </c>
      <c r="AA269" s="64">
        <f t="shared" si="112"/>
        <v>0</v>
      </c>
      <c r="AB269" s="64">
        <f t="shared" si="112"/>
        <v>355341</v>
      </c>
      <c r="AC269" s="64">
        <f t="shared" si="112"/>
        <v>0</v>
      </c>
      <c r="AD269" s="64">
        <f t="shared" si="112"/>
        <v>0</v>
      </c>
      <c r="AE269" s="64">
        <f t="shared" si="112"/>
        <v>0</v>
      </c>
      <c r="AF269" s="64">
        <f t="shared" si="113"/>
        <v>355341</v>
      </c>
      <c r="AG269" s="59" t="str">
        <f t="shared" si="114"/>
        <v>ok</v>
      </c>
    </row>
    <row r="270" spans="1:33">
      <c r="A270" s="61">
        <v>597</v>
      </c>
      <c r="B270" s="61" t="s">
        <v>1028</v>
      </c>
      <c r="C270" s="45" t="s">
        <v>1029</v>
      </c>
      <c r="D270" s="45" t="s">
        <v>959</v>
      </c>
      <c r="F270" s="80">
        <v>1427898</v>
      </c>
      <c r="H270" s="64">
        <f t="shared" si="111"/>
        <v>0</v>
      </c>
      <c r="I270" s="64">
        <f t="shared" si="111"/>
        <v>0</v>
      </c>
      <c r="J270" s="64">
        <f t="shared" si="111"/>
        <v>0</v>
      </c>
      <c r="K270" s="64">
        <f t="shared" si="111"/>
        <v>0</v>
      </c>
      <c r="L270" s="64">
        <f t="shared" si="111"/>
        <v>0</v>
      </c>
      <c r="M270" s="64">
        <f t="shared" si="111"/>
        <v>0</v>
      </c>
      <c r="N270" s="64">
        <f t="shared" si="111"/>
        <v>0</v>
      </c>
      <c r="O270" s="64">
        <f t="shared" si="111"/>
        <v>0</v>
      </c>
      <c r="P270" s="64">
        <f t="shared" si="111"/>
        <v>0</v>
      </c>
      <c r="Q270" s="64">
        <f t="shared" si="111"/>
        <v>0</v>
      </c>
      <c r="R270" s="64">
        <f t="shared" si="112"/>
        <v>0</v>
      </c>
      <c r="S270" s="64">
        <f t="shared" si="112"/>
        <v>0</v>
      </c>
      <c r="T270" s="64">
        <f t="shared" si="112"/>
        <v>0</v>
      </c>
      <c r="U270" s="64">
        <f t="shared" si="112"/>
        <v>0</v>
      </c>
      <c r="V270" s="64">
        <f t="shared" si="112"/>
        <v>0</v>
      </c>
      <c r="W270" s="64">
        <f t="shared" si="112"/>
        <v>0</v>
      </c>
      <c r="X270" s="64">
        <f t="shared" si="112"/>
        <v>0</v>
      </c>
      <c r="Y270" s="64">
        <f t="shared" si="112"/>
        <v>0</v>
      </c>
      <c r="Z270" s="64">
        <f t="shared" si="112"/>
        <v>0</v>
      </c>
      <c r="AA270" s="64">
        <f t="shared" si="112"/>
        <v>1427898</v>
      </c>
      <c r="AB270" s="64">
        <f t="shared" si="112"/>
        <v>0</v>
      </c>
      <c r="AC270" s="64">
        <f t="shared" si="112"/>
        <v>0</v>
      </c>
      <c r="AD270" s="64">
        <f t="shared" si="112"/>
        <v>0</v>
      </c>
      <c r="AE270" s="64">
        <f t="shared" si="112"/>
        <v>0</v>
      </c>
      <c r="AF270" s="64">
        <f t="shared" si="113"/>
        <v>1427898</v>
      </c>
      <c r="AG270" s="59" t="str">
        <f t="shared" si="114"/>
        <v>ok</v>
      </c>
    </row>
    <row r="271" spans="1:33">
      <c r="A271" s="61">
        <v>598</v>
      </c>
      <c r="B271" s="61" t="s">
        <v>273</v>
      </c>
      <c r="C271" s="45" t="s">
        <v>274</v>
      </c>
      <c r="D271" s="45" t="s">
        <v>944</v>
      </c>
      <c r="F271" s="80">
        <v>671832</v>
      </c>
      <c r="H271" s="64">
        <f t="shared" si="111"/>
        <v>0</v>
      </c>
      <c r="I271" s="64">
        <f t="shared" si="111"/>
        <v>0</v>
      </c>
      <c r="J271" s="64">
        <f t="shared" si="111"/>
        <v>0</v>
      </c>
      <c r="K271" s="64">
        <f t="shared" si="111"/>
        <v>0</v>
      </c>
      <c r="L271" s="64">
        <f t="shared" si="111"/>
        <v>0</v>
      </c>
      <c r="M271" s="64">
        <f t="shared" si="111"/>
        <v>0</v>
      </c>
      <c r="N271" s="64">
        <f t="shared" si="111"/>
        <v>0</v>
      </c>
      <c r="O271" s="64">
        <f t="shared" si="111"/>
        <v>0</v>
      </c>
      <c r="P271" s="64">
        <f t="shared" si="111"/>
        <v>0</v>
      </c>
      <c r="Q271" s="64">
        <f t="shared" si="111"/>
        <v>0</v>
      </c>
      <c r="R271" s="64">
        <f t="shared" si="112"/>
        <v>75273.637715902267</v>
      </c>
      <c r="S271" s="64">
        <f t="shared" si="112"/>
        <v>0</v>
      </c>
      <c r="T271" s="64">
        <f t="shared" si="112"/>
        <v>128725.66314504822</v>
      </c>
      <c r="U271" s="64">
        <f t="shared" si="112"/>
        <v>204850.37322344183</v>
      </c>
      <c r="V271" s="64">
        <f t="shared" si="112"/>
        <v>35387.168551612747</v>
      </c>
      <c r="W271" s="64">
        <f t="shared" si="112"/>
        <v>53776.325329268213</v>
      </c>
      <c r="X271" s="64">
        <f t="shared" si="112"/>
        <v>48915.743459200581</v>
      </c>
      <c r="Y271" s="64">
        <f t="shared" si="112"/>
        <v>34209.340340161696</v>
      </c>
      <c r="Z271" s="64">
        <f t="shared" si="112"/>
        <v>16988.99804701746</v>
      </c>
      <c r="AA271" s="64">
        <f t="shared" si="112"/>
        <v>19706.763199018467</v>
      </c>
      <c r="AB271" s="64">
        <f t="shared" si="112"/>
        <v>53997.986989328521</v>
      </c>
      <c r="AC271" s="64">
        <f t="shared" si="112"/>
        <v>0</v>
      </c>
      <c r="AD271" s="64">
        <f t="shared" si="112"/>
        <v>0</v>
      </c>
      <c r="AE271" s="64">
        <f t="shared" si="112"/>
        <v>0</v>
      </c>
      <c r="AF271" s="64">
        <f t="shared" si="113"/>
        <v>671832</v>
      </c>
      <c r="AG271" s="59" t="str">
        <f t="shared" si="114"/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59"/>
    </row>
    <row r="273" spans="1:33">
      <c r="A273" s="61" t="s">
        <v>1030</v>
      </c>
      <c r="B273" s="61"/>
      <c r="C273" s="45" t="s">
        <v>1031</v>
      </c>
      <c r="F273" s="77">
        <f t="shared" ref="F273:M273" si="115">SUM(F263:F272)</f>
        <v>29304928</v>
      </c>
      <c r="G273" s="63">
        <f t="shared" si="115"/>
        <v>0</v>
      </c>
      <c r="H273" s="63">
        <f t="shared" si="115"/>
        <v>0</v>
      </c>
      <c r="I273" s="63">
        <f t="shared" si="115"/>
        <v>0</v>
      </c>
      <c r="J273" s="63">
        <f t="shared" si="115"/>
        <v>0</v>
      </c>
      <c r="K273" s="63">
        <f t="shared" si="115"/>
        <v>0</v>
      </c>
      <c r="L273" s="63">
        <f t="shared" si="115"/>
        <v>0</v>
      </c>
      <c r="M273" s="63">
        <f t="shared" si="115"/>
        <v>0</v>
      </c>
      <c r="N273" s="63">
        <f>SUM(N263:N272)</f>
        <v>0</v>
      </c>
      <c r="O273" s="63">
        <f>SUM(O263:O272)</f>
        <v>0</v>
      </c>
      <c r="P273" s="63">
        <f>SUM(P263:P272)</f>
        <v>0</v>
      </c>
      <c r="Q273" s="63">
        <f t="shared" ref="Q273:AB273" si="116">SUM(Q263:Q272)</f>
        <v>0</v>
      </c>
      <c r="R273" s="63">
        <f t="shared" si="116"/>
        <v>1247875.6471804925</v>
      </c>
      <c r="S273" s="63">
        <f t="shared" si="116"/>
        <v>0</v>
      </c>
      <c r="T273" s="63">
        <f t="shared" si="116"/>
        <v>7721219.9617446288</v>
      </c>
      <c r="U273" s="63">
        <f t="shared" si="116"/>
        <v>11397298.658050381</v>
      </c>
      <c r="V273" s="63">
        <f t="shared" si="116"/>
        <v>2700766.7092797584</v>
      </c>
      <c r="W273" s="63">
        <f t="shared" si="116"/>
        <v>3943962.7680320311</v>
      </c>
      <c r="X273" s="63">
        <f t="shared" si="116"/>
        <v>246982.135858061</v>
      </c>
      <c r="Y273" s="63">
        <f t="shared" si="116"/>
        <v>172727.53813004284</v>
      </c>
      <c r="Z273" s="63">
        <f t="shared" si="116"/>
        <v>16988.99804701746</v>
      </c>
      <c r="AA273" s="63">
        <f t="shared" si="116"/>
        <v>1447604.7631990185</v>
      </c>
      <c r="AB273" s="63">
        <f t="shared" si="116"/>
        <v>409500.82047857082</v>
      </c>
      <c r="AC273" s="63">
        <f>SUM(AC263:AC272)</f>
        <v>0</v>
      </c>
      <c r="AD273" s="63">
        <f>SUM(AD263:AD272)</f>
        <v>0</v>
      </c>
      <c r="AE273" s="63">
        <f>SUM(AE263:AE272)</f>
        <v>0</v>
      </c>
      <c r="AF273" s="64">
        <f>SUM(H273:AE273)</f>
        <v>29304928</v>
      </c>
      <c r="AG273" s="59" t="str">
        <f>IF(ABS(AF273-F273)&lt;1,"ok","err")</f>
        <v>ok</v>
      </c>
    </row>
    <row r="274" spans="1:33">
      <c r="A274" s="61"/>
      <c r="B274" s="61"/>
      <c r="F274" s="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1163</v>
      </c>
      <c r="B275" s="61"/>
      <c r="F275" s="77">
        <f>F259+F273</f>
        <v>54019516</v>
      </c>
      <c r="G275" s="64">
        <f t="shared" ref="G275:M275" si="117">G259+G273</f>
        <v>0</v>
      </c>
      <c r="H275" s="64">
        <f t="shared" si="117"/>
        <v>0</v>
      </c>
      <c r="I275" s="64">
        <f t="shared" si="117"/>
        <v>0</v>
      </c>
      <c r="J275" s="64">
        <f t="shared" si="117"/>
        <v>0</v>
      </c>
      <c r="K275" s="64">
        <f t="shared" si="117"/>
        <v>0</v>
      </c>
      <c r="L275" s="64">
        <f t="shared" si="117"/>
        <v>0</v>
      </c>
      <c r="M275" s="64">
        <f t="shared" si="117"/>
        <v>0</v>
      </c>
      <c r="N275" s="64">
        <f>N259+N273</f>
        <v>0</v>
      </c>
      <c r="O275" s="64">
        <f>O259+O273</f>
        <v>0</v>
      </c>
      <c r="P275" s="64">
        <f>P259+P273</f>
        <v>0</v>
      </c>
      <c r="Q275" s="64">
        <f t="shared" ref="Q275:AB275" si="118">Q259+Q273</f>
        <v>0</v>
      </c>
      <c r="R275" s="64">
        <f t="shared" si="118"/>
        <v>4886677.3409584481</v>
      </c>
      <c r="S275" s="64">
        <f t="shared" si="118"/>
        <v>0</v>
      </c>
      <c r="T275" s="64">
        <f t="shared" si="118"/>
        <v>10886720.914084699</v>
      </c>
      <c r="U275" s="64">
        <f t="shared" si="118"/>
        <v>16210312.185397595</v>
      </c>
      <c r="V275" s="64">
        <f t="shared" si="118"/>
        <v>3716796.1793296379</v>
      </c>
      <c r="W275" s="64">
        <f t="shared" si="118"/>
        <v>5447555.4697906598</v>
      </c>
      <c r="X275" s="64">
        <f t="shared" si="118"/>
        <v>672706.189899071</v>
      </c>
      <c r="Y275" s="64">
        <f t="shared" si="118"/>
        <v>470458.6575155544</v>
      </c>
      <c r="Z275" s="64">
        <f t="shared" si="118"/>
        <v>164847.83880456683</v>
      </c>
      <c r="AA275" s="64">
        <f t="shared" si="118"/>
        <v>10683984.510086538</v>
      </c>
      <c r="AB275" s="64">
        <f t="shared" si="118"/>
        <v>879456.71413322981</v>
      </c>
      <c r="AC275" s="64">
        <f>AC259+AC273</f>
        <v>0</v>
      </c>
      <c r="AD275" s="64">
        <f>AD259+AD273</f>
        <v>0</v>
      </c>
      <c r="AE275" s="64">
        <f>AE259+AE273</f>
        <v>0</v>
      </c>
      <c r="AF275" s="64">
        <f>SUM(H275:AE275)</f>
        <v>54019516.000000007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1164</v>
      </c>
      <c r="B277" s="61"/>
      <c r="F277" s="77">
        <f t="shared" ref="F277:M277" si="119">F275+F241</f>
        <v>70529027</v>
      </c>
      <c r="G277" s="64">
        <f t="shared" si="119"/>
        <v>0</v>
      </c>
      <c r="H277" s="64">
        <f t="shared" si="119"/>
        <v>0</v>
      </c>
      <c r="I277" s="64">
        <f t="shared" si="119"/>
        <v>0</v>
      </c>
      <c r="J277" s="64">
        <f t="shared" si="119"/>
        <v>0</v>
      </c>
      <c r="K277" s="64">
        <f t="shared" si="119"/>
        <v>0</v>
      </c>
      <c r="L277" s="64">
        <f t="shared" si="119"/>
        <v>0</v>
      </c>
      <c r="M277" s="64">
        <f t="shared" si="119"/>
        <v>0</v>
      </c>
      <c r="N277" s="64">
        <f>N275+N241</f>
        <v>16509511</v>
      </c>
      <c r="O277" s="64">
        <f>O275+O241</f>
        <v>0</v>
      </c>
      <c r="P277" s="64">
        <f>P275+P241</f>
        <v>0</v>
      </c>
      <c r="Q277" s="64">
        <f t="shared" ref="Q277:AB277" si="120">Q275+Q241</f>
        <v>0</v>
      </c>
      <c r="R277" s="64">
        <f t="shared" si="120"/>
        <v>4886677.3409584481</v>
      </c>
      <c r="S277" s="64">
        <f t="shared" si="120"/>
        <v>0</v>
      </c>
      <c r="T277" s="64">
        <f t="shared" si="120"/>
        <v>10886720.914084699</v>
      </c>
      <c r="U277" s="64">
        <f t="shared" si="120"/>
        <v>16210312.185397595</v>
      </c>
      <c r="V277" s="64">
        <f t="shared" si="120"/>
        <v>3716796.1793296379</v>
      </c>
      <c r="W277" s="64">
        <f t="shared" si="120"/>
        <v>5447555.4697906598</v>
      </c>
      <c r="X277" s="64">
        <f t="shared" si="120"/>
        <v>672706.189899071</v>
      </c>
      <c r="Y277" s="64">
        <f t="shared" si="120"/>
        <v>470458.6575155544</v>
      </c>
      <c r="Z277" s="64">
        <f t="shared" si="120"/>
        <v>164847.83880456683</v>
      </c>
      <c r="AA277" s="64">
        <f t="shared" si="120"/>
        <v>10683984.510086538</v>
      </c>
      <c r="AB277" s="64">
        <f t="shared" si="120"/>
        <v>879456.71413322981</v>
      </c>
      <c r="AC277" s="64">
        <f>AC275+AC241</f>
        <v>0</v>
      </c>
      <c r="AD277" s="64">
        <f>AD275+AD241</f>
        <v>0</v>
      </c>
      <c r="AE277" s="64">
        <f>AE275+AE241</f>
        <v>0</v>
      </c>
      <c r="AF277" s="64">
        <f>SUM(H277:AE277)</f>
        <v>70529027.000000015</v>
      </c>
      <c r="AG277" s="59" t="str">
        <f>IF(ABS(AF277-F277)&lt;1,"ok","err")</f>
        <v>ok</v>
      </c>
    </row>
    <row r="278" spans="1:33">
      <c r="A278" s="61"/>
      <c r="B278" s="61"/>
      <c r="F278" s="80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>
      <c r="A279" s="61" t="s">
        <v>276</v>
      </c>
      <c r="B279" s="61"/>
      <c r="C279" s="45" t="s">
        <v>1032</v>
      </c>
      <c r="F279" s="77">
        <f>F223+F241+F275</f>
        <v>580874289.65152061</v>
      </c>
      <c r="G279" s="63">
        <f>G277+G221</f>
        <v>0</v>
      </c>
      <c r="H279" s="63">
        <f t="shared" ref="H279:M279" si="121">H223+H241+H275</f>
        <v>22381959.218989</v>
      </c>
      <c r="I279" s="63">
        <f t="shared" si="121"/>
        <v>23446518.932840079</v>
      </c>
      <c r="J279" s="63">
        <f t="shared" si="121"/>
        <v>19272959.500648879</v>
      </c>
      <c r="K279" s="63">
        <f t="shared" si="121"/>
        <v>445243824.99904263</v>
      </c>
      <c r="L279" s="63">
        <f t="shared" si="121"/>
        <v>0</v>
      </c>
      <c r="M279" s="63">
        <f t="shared" si="121"/>
        <v>0</v>
      </c>
      <c r="N279" s="63">
        <f>N223+N241+N275</f>
        <v>16509511</v>
      </c>
      <c r="O279" s="63">
        <f>O223+O241+O275</f>
        <v>0</v>
      </c>
      <c r="P279" s="63">
        <f>P223+P241+P275</f>
        <v>0</v>
      </c>
      <c r="Q279" s="63">
        <f t="shared" ref="Q279:AB279" si="122">Q223+Q241+Q275</f>
        <v>0</v>
      </c>
      <c r="R279" s="63">
        <f t="shared" si="122"/>
        <v>4886677.3409584481</v>
      </c>
      <c r="S279" s="63">
        <f t="shared" si="122"/>
        <v>0</v>
      </c>
      <c r="T279" s="63">
        <f t="shared" si="122"/>
        <v>10886720.914084699</v>
      </c>
      <c r="U279" s="63">
        <f t="shared" si="122"/>
        <v>16210312.185397595</v>
      </c>
      <c r="V279" s="63">
        <f t="shared" si="122"/>
        <v>3716796.1793296379</v>
      </c>
      <c r="W279" s="63">
        <f t="shared" si="122"/>
        <v>5447555.4697906598</v>
      </c>
      <c r="X279" s="63">
        <f t="shared" si="122"/>
        <v>672706.189899071</v>
      </c>
      <c r="Y279" s="63">
        <f t="shared" si="122"/>
        <v>470458.6575155544</v>
      </c>
      <c r="Z279" s="63">
        <f t="shared" si="122"/>
        <v>164847.83880456683</v>
      </c>
      <c r="AA279" s="63">
        <f t="shared" si="122"/>
        <v>10683984.510086538</v>
      </c>
      <c r="AB279" s="63">
        <f t="shared" si="122"/>
        <v>879456.71413322981</v>
      </c>
      <c r="AC279" s="63">
        <f>AC223+AC241+AC275</f>
        <v>0</v>
      </c>
      <c r="AD279" s="63">
        <f>AD223+AD241+AD275</f>
        <v>0</v>
      </c>
      <c r="AE279" s="63">
        <f>AE223+AE241+AE275</f>
        <v>0</v>
      </c>
      <c r="AF279" s="64">
        <f>SUM(H279:AE279)</f>
        <v>580874289.65152073</v>
      </c>
      <c r="AG279" s="59" t="str">
        <f>IF(ABS(AF279-F279)&lt;1,"ok","err")</f>
        <v>ok</v>
      </c>
    </row>
    <row r="280" spans="1:33" ht="15">
      <c r="A280" s="66"/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0" t="s">
        <v>1033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ht="15">
      <c r="A283" s="66"/>
      <c r="B283" s="61"/>
      <c r="F283" s="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G283" s="59"/>
    </row>
    <row r="284" spans="1:33" ht="15">
      <c r="A284" s="66" t="s">
        <v>1034</v>
      </c>
      <c r="B284" s="61"/>
      <c r="F284" s="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G284" s="59"/>
    </row>
    <row r="285" spans="1:33">
      <c r="A285" s="61">
        <v>901</v>
      </c>
      <c r="B285" s="61" t="s">
        <v>1035</v>
      </c>
      <c r="C285" s="45" t="s">
        <v>1036</v>
      </c>
      <c r="D285" s="45" t="s">
        <v>662</v>
      </c>
      <c r="F285" s="77">
        <v>1267536.8055433794</v>
      </c>
      <c r="H285" s="64">
        <f t="shared" ref="H285:Q289" si="123">IF(VLOOKUP($D285,$C$6:$AE$653,H$2,)=0,0,((VLOOKUP($D285,$C$6:$AE$653,H$2,)/VLOOKUP($D285,$C$6:$AE$653,4,))*$F285))</f>
        <v>0</v>
      </c>
      <c r="I285" s="64">
        <f t="shared" si="123"/>
        <v>0</v>
      </c>
      <c r="J285" s="64">
        <f t="shared" si="123"/>
        <v>0</v>
      </c>
      <c r="K285" s="64">
        <f t="shared" si="123"/>
        <v>0</v>
      </c>
      <c r="L285" s="64">
        <f t="shared" si="123"/>
        <v>0</v>
      </c>
      <c r="M285" s="64">
        <f t="shared" si="123"/>
        <v>0</v>
      </c>
      <c r="N285" s="64">
        <f t="shared" si="123"/>
        <v>0</v>
      </c>
      <c r="O285" s="64">
        <f t="shared" si="123"/>
        <v>0</v>
      </c>
      <c r="P285" s="64">
        <f t="shared" si="123"/>
        <v>0</v>
      </c>
      <c r="Q285" s="64">
        <f t="shared" si="123"/>
        <v>0</v>
      </c>
      <c r="R285" s="64">
        <f t="shared" ref="R285:AE289" si="124">IF(VLOOKUP($D285,$C$6:$AE$653,R$2,)=0,0,((VLOOKUP($D285,$C$6:$AE$653,R$2,)/VLOOKUP($D285,$C$6:$AE$653,4,))*$F285))</f>
        <v>0</v>
      </c>
      <c r="S285" s="64">
        <f t="shared" si="124"/>
        <v>0</v>
      </c>
      <c r="T285" s="64">
        <f t="shared" si="124"/>
        <v>0</v>
      </c>
      <c r="U285" s="64">
        <f t="shared" si="124"/>
        <v>0</v>
      </c>
      <c r="V285" s="64">
        <f t="shared" si="124"/>
        <v>0</v>
      </c>
      <c r="W285" s="64">
        <f t="shared" si="124"/>
        <v>0</v>
      </c>
      <c r="X285" s="64">
        <f t="shared" si="124"/>
        <v>0</v>
      </c>
      <c r="Y285" s="64">
        <f t="shared" si="124"/>
        <v>0</v>
      </c>
      <c r="Z285" s="64">
        <f t="shared" si="124"/>
        <v>0</v>
      </c>
      <c r="AA285" s="64">
        <f t="shared" si="124"/>
        <v>0</v>
      </c>
      <c r="AB285" s="64">
        <f t="shared" si="124"/>
        <v>0</v>
      </c>
      <c r="AC285" s="64">
        <f t="shared" si="124"/>
        <v>1267536.8055433794</v>
      </c>
      <c r="AD285" s="64">
        <f t="shared" si="124"/>
        <v>0</v>
      </c>
      <c r="AE285" s="64">
        <f t="shared" si="124"/>
        <v>0</v>
      </c>
      <c r="AF285" s="64">
        <f>SUM(H285:AE285)</f>
        <v>1267536.8055433794</v>
      </c>
      <c r="AG285" s="59" t="str">
        <f>IF(ABS(AF285-F285)&lt;1,"ok","err")</f>
        <v>ok</v>
      </c>
    </row>
    <row r="286" spans="1:33">
      <c r="A286" s="61">
        <v>902</v>
      </c>
      <c r="B286" s="61" t="s">
        <v>1038</v>
      </c>
      <c r="C286" s="45" t="s">
        <v>1039</v>
      </c>
      <c r="D286" s="45" t="s">
        <v>662</v>
      </c>
      <c r="F286" s="80">
        <v>2546374.3200000003</v>
      </c>
      <c r="H286" s="64">
        <f t="shared" si="123"/>
        <v>0</v>
      </c>
      <c r="I286" s="64">
        <f t="shared" si="123"/>
        <v>0</v>
      </c>
      <c r="J286" s="64">
        <f t="shared" si="123"/>
        <v>0</v>
      </c>
      <c r="K286" s="64">
        <f t="shared" si="123"/>
        <v>0</v>
      </c>
      <c r="L286" s="64">
        <f t="shared" si="123"/>
        <v>0</v>
      </c>
      <c r="M286" s="64">
        <f t="shared" si="123"/>
        <v>0</v>
      </c>
      <c r="N286" s="64">
        <f t="shared" si="123"/>
        <v>0</v>
      </c>
      <c r="O286" s="64">
        <f t="shared" si="123"/>
        <v>0</v>
      </c>
      <c r="P286" s="64">
        <f t="shared" si="123"/>
        <v>0</v>
      </c>
      <c r="Q286" s="64">
        <f t="shared" si="123"/>
        <v>0</v>
      </c>
      <c r="R286" s="64">
        <f t="shared" si="124"/>
        <v>0</v>
      </c>
      <c r="S286" s="64">
        <f t="shared" si="124"/>
        <v>0</v>
      </c>
      <c r="T286" s="64">
        <f t="shared" si="124"/>
        <v>0</v>
      </c>
      <c r="U286" s="64">
        <f t="shared" si="124"/>
        <v>0</v>
      </c>
      <c r="V286" s="64">
        <f t="shared" si="124"/>
        <v>0</v>
      </c>
      <c r="W286" s="64">
        <f t="shared" si="124"/>
        <v>0</v>
      </c>
      <c r="X286" s="64">
        <f t="shared" si="124"/>
        <v>0</v>
      </c>
      <c r="Y286" s="64">
        <f t="shared" si="124"/>
        <v>0</v>
      </c>
      <c r="Z286" s="64">
        <f t="shared" si="124"/>
        <v>0</v>
      </c>
      <c r="AA286" s="64">
        <f t="shared" si="124"/>
        <v>0</v>
      </c>
      <c r="AB286" s="64">
        <f t="shared" si="124"/>
        <v>0</v>
      </c>
      <c r="AC286" s="64">
        <f t="shared" si="124"/>
        <v>2546374.3200000003</v>
      </c>
      <c r="AD286" s="64">
        <f t="shared" si="124"/>
        <v>0</v>
      </c>
      <c r="AE286" s="64">
        <f t="shared" si="124"/>
        <v>0</v>
      </c>
      <c r="AF286" s="64">
        <f>SUM(H286:AE286)</f>
        <v>2546374.3200000003</v>
      </c>
      <c r="AG286" s="59" t="str">
        <f>IF(ABS(AF286-F286)&lt;1,"ok","err")</f>
        <v>ok</v>
      </c>
    </row>
    <row r="287" spans="1:33">
      <c r="A287" s="61">
        <v>903</v>
      </c>
      <c r="B287" s="61" t="s">
        <v>29</v>
      </c>
      <c r="C287" s="45" t="s">
        <v>1040</v>
      </c>
      <c r="D287" s="45" t="s">
        <v>662</v>
      </c>
      <c r="F287" s="80">
        <v>7699623.5280121109</v>
      </c>
      <c r="H287" s="64">
        <f t="shared" si="123"/>
        <v>0</v>
      </c>
      <c r="I287" s="64">
        <f t="shared" si="123"/>
        <v>0</v>
      </c>
      <c r="J287" s="64">
        <f t="shared" si="123"/>
        <v>0</v>
      </c>
      <c r="K287" s="64">
        <f t="shared" si="123"/>
        <v>0</v>
      </c>
      <c r="L287" s="64">
        <f t="shared" si="123"/>
        <v>0</v>
      </c>
      <c r="M287" s="64">
        <f t="shared" si="123"/>
        <v>0</v>
      </c>
      <c r="N287" s="64">
        <f t="shared" si="123"/>
        <v>0</v>
      </c>
      <c r="O287" s="64">
        <f t="shared" si="123"/>
        <v>0</v>
      </c>
      <c r="P287" s="64">
        <f t="shared" si="123"/>
        <v>0</v>
      </c>
      <c r="Q287" s="64">
        <f t="shared" si="123"/>
        <v>0</v>
      </c>
      <c r="R287" s="64">
        <f t="shared" si="124"/>
        <v>0</v>
      </c>
      <c r="S287" s="64">
        <f t="shared" si="124"/>
        <v>0</v>
      </c>
      <c r="T287" s="64">
        <f t="shared" si="124"/>
        <v>0</v>
      </c>
      <c r="U287" s="64">
        <f t="shared" si="124"/>
        <v>0</v>
      </c>
      <c r="V287" s="64">
        <f t="shared" si="124"/>
        <v>0</v>
      </c>
      <c r="W287" s="64">
        <f t="shared" si="124"/>
        <v>0</v>
      </c>
      <c r="X287" s="64">
        <f t="shared" si="124"/>
        <v>0</v>
      </c>
      <c r="Y287" s="64">
        <f t="shared" si="124"/>
        <v>0</v>
      </c>
      <c r="Z287" s="64">
        <f t="shared" si="124"/>
        <v>0</v>
      </c>
      <c r="AA287" s="64">
        <f t="shared" si="124"/>
        <v>0</v>
      </c>
      <c r="AB287" s="64">
        <f t="shared" si="124"/>
        <v>0</v>
      </c>
      <c r="AC287" s="64">
        <f t="shared" si="124"/>
        <v>7699623.5280121109</v>
      </c>
      <c r="AD287" s="64">
        <f t="shared" si="124"/>
        <v>0</v>
      </c>
      <c r="AE287" s="64">
        <f t="shared" si="124"/>
        <v>0</v>
      </c>
      <c r="AF287" s="64">
        <f>SUM(H287:AE287)</f>
        <v>7699623.5280121109</v>
      </c>
      <c r="AG287" s="59" t="str">
        <f>IF(ABS(AF287-F287)&lt;1,"ok","err")</f>
        <v>ok</v>
      </c>
    </row>
    <row r="288" spans="1:33">
      <c r="A288" s="61">
        <v>904</v>
      </c>
      <c r="B288" s="61" t="s">
        <v>1041</v>
      </c>
      <c r="C288" s="45" t="s">
        <v>1042</v>
      </c>
      <c r="D288" s="45" t="s">
        <v>662</v>
      </c>
      <c r="F288" s="80">
        <v>2477177.410444241</v>
      </c>
      <c r="H288" s="64">
        <f t="shared" si="123"/>
        <v>0</v>
      </c>
      <c r="I288" s="64">
        <f t="shared" si="123"/>
        <v>0</v>
      </c>
      <c r="J288" s="64">
        <f t="shared" si="123"/>
        <v>0</v>
      </c>
      <c r="K288" s="64">
        <f t="shared" si="123"/>
        <v>0</v>
      </c>
      <c r="L288" s="64">
        <f t="shared" si="123"/>
        <v>0</v>
      </c>
      <c r="M288" s="64">
        <f t="shared" si="123"/>
        <v>0</v>
      </c>
      <c r="N288" s="64">
        <f t="shared" si="123"/>
        <v>0</v>
      </c>
      <c r="O288" s="64">
        <f t="shared" si="123"/>
        <v>0</v>
      </c>
      <c r="P288" s="64">
        <f t="shared" si="123"/>
        <v>0</v>
      </c>
      <c r="Q288" s="64">
        <f t="shared" si="123"/>
        <v>0</v>
      </c>
      <c r="R288" s="64">
        <f t="shared" si="124"/>
        <v>0</v>
      </c>
      <c r="S288" s="64">
        <f t="shared" si="124"/>
        <v>0</v>
      </c>
      <c r="T288" s="64">
        <f t="shared" si="124"/>
        <v>0</v>
      </c>
      <c r="U288" s="64">
        <f t="shared" si="124"/>
        <v>0</v>
      </c>
      <c r="V288" s="64">
        <f t="shared" si="124"/>
        <v>0</v>
      </c>
      <c r="W288" s="64">
        <f t="shared" si="124"/>
        <v>0</v>
      </c>
      <c r="X288" s="64">
        <f t="shared" si="124"/>
        <v>0</v>
      </c>
      <c r="Y288" s="64">
        <f t="shared" si="124"/>
        <v>0</v>
      </c>
      <c r="Z288" s="64">
        <f t="shared" si="124"/>
        <v>0</v>
      </c>
      <c r="AA288" s="64">
        <f t="shared" si="124"/>
        <v>0</v>
      </c>
      <c r="AB288" s="64">
        <f t="shared" si="124"/>
        <v>0</v>
      </c>
      <c r="AC288" s="64">
        <f t="shared" si="124"/>
        <v>2477177.410444241</v>
      </c>
      <c r="AD288" s="64">
        <f t="shared" si="124"/>
        <v>0</v>
      </c>
      <c r="AE288" s="64">
        <f t="shared" si="124"/>
        <v>0</v>
      </c>
      <c r="AF288" s="64">
        <f>SUM(H288:AE288)</f>
        <v>2477177.410444241</v>
      </c>
      <c r="AG288" s="59" t="str">
        <f>IF(ABS(AF288-F288)&lt;1,"ok","err")</f>
        <v>ok</v>
      </c>
    </row>
    <row r="289" spans="1:33">
      <c r="A289" s="61">
        <v>905</v>
      </c>
      <c r="B289" s="61" t="s">
        <v>30</v>
      </c>
      <c r="C289" s="45" t="s">
        <v>1040</v>
      </c>
      <c r="D289" s="45" t="s">
        <v>662</v>
      </c>
      <c r="F289" s="80">
        <v>1288</v>
      </c>
      <c r="H289" s="64">
        <f t="shared" si="123"/>
        <v>0</v>
      </c>
      <c r="I289" s="64">
        <f t="shared" si="123"/>
        <v>0</v>
      </c>
      <c r="J289" s="64">
        <f t="shared" si="123"/>
        <v>0</v>
      </c>
      <c r="K289" s="64">
        <f t="shared" si="123"/>
        <v>0</v>
      </c>
      <c r="L289" s="64">
        <f t="shared" si="123"/>
        <v>0</v>
      </c>
      <c r="M289" s="64">
        <f t="shared" si="123"/>
        <v>0</v>
      </c>
      <c r="N289" s="64">
        <f t="shared" si="123"/>
        <v>0</v>
      </c>
      <c r="O289" s="64">
        <f t="shared" si="123"/>
        <v>0</v>
      </c>
      <c r="P289" s="64">
        <f t="shared" si="123"/>
        <v>0</v>
      </c>
      <c r="Q289" s="64">
        <f t="shared" si="123"/>
        <v>0</v>
      </c>
      <c r="R289" s="64">
        <f t="shared" si="124"/>
        <v>0</v>
      </c>
      <c r="S289" s="64">
        <f t="shared" si="124"/>
        <v>0</v>
      </c>
      <c r="T289" s="64">
        <f t="shared" si="124"/>
        <v>0</v>
      </c>
      <c r="U289" s="64">
        <f t="shared" si="124"/>
        <v>0</v>
      </c>
      <c r="V289" s="64">
        <f t="shared" si="124"/>
        <v>0</v>
      </c>
      <c r="W289" s="64">
        <f t="shared" si="124"/>
        <v>0</v>
      </c>
      <c r="X289" s="64">
        <f t="shared" si="124"/>
        <v>0</v>
      </c>
      <c r="Y289" s="64">
        <f t="shared" si="124"/>
        <v>0</v>
      </c>
      <c r="Z289" s="64">
        <f t="shared" si="124"/>
        <v>0</v>
      </c>
      <c r="AA289" s="64">
        <f t="shared" si="124"/>
        <v>0</v>
      </c>
      <c r="AB289" s="64">
        <f t="shared" si="124"/>
        <v>0</v>
      </c>
      <c r="AC289" s="64">
        <f t="shared" si="124"/>
        <v>1288</v>
      </c>
      <c r="AD289" s="64">
        <f t="shared" si="124"/>
        <v>0</v>
      </c>
      <c r="AE289" s="64">
        <f t="shared" si="124"/>
        <v>0</v>
      </c>
      <c r="AF289" s="64">
        <f>SUM(H289:AE289)</f>
        <v>1288</v>
      </c>
      <c r="AG289" s="59" t="str">
        <f>IF(ABS(AF289-F289)&lt;1,"ok","err")</f>
        <v>ok</v>
      </c>
    </row>
    <row r="290" spans="1:33" ht="15">
      <c r="A290" s="66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59"/>
    </row>
    <row r="291" spans="1:33">
      <c r="A291" s="61" t="s">
        <v>1043</v>
      </c>
      <c r="B291" s="61"/>
      <c r="C291" s="45" t="s">
        <v>1044</v>
      </c>
      <c r="F291" s="77">
        <f t="shared" ref="F291:M291" si="125">SUM(F285:F290)</f>
        <v>13992000.063999731</v>
      </c>
      <c r="G291" s="63">
        <f t="shared" si="125"/>
        <v>0</v>
      </c>
      <c r="H291" s="63">
        <f t="shared" si="125"/>
        <v>0</v>
      </c>
      <c r="I291" s="63">
        <f t="shared" si="125"/>
        <v>0</v>
      </c>
      <c r="J291" s="63">
        <f t="shared" si="125"/>
        <v>0</v>
      </c>
      <c r="K291" s="63">
        <f t="shared" si="125"/>
        <v>0</v>
      </c>
      <c r="L291" s="63">
        <f t="shared" si="125"/>
        <v>0</v>
      </c>
      <c r="M291" s="63">
        <f t="shared" si="125"/>
        <v>0</v>
      </c>
      <c r="N291" s="63">
        <f>SUM(N285:N290)</f>
        <v>0</v>
      </c>
      <c r="O291" s="63">
        <f>SUM(O285:O290)</f>
        <v>0</v>
      </c>
      <c r="P291" s="63">
        <f>SUM(P285:P290)</f>
        <v>0</v>
      </c>
      <c r="Q291" s="63">
        <f t="shared" ref="Q291:AB291" si="126">SUM(Q285:Q290)</f>
        <v>0</v>
      </c>
      <c r="R291" s="63">
        <f t="shared" si="126"/>
        <v>0</v>
      </c>
      <c r="S291" s="63">
        <f t="shared" si="126"/>
        <v>0</v>
      </c>
      <c r="T291" s="63">
        <f t="shared" si="126"/>
        <v>0</v>
      </c>
      <c r="U291" s="63">
        <f t="shared" si="126"/>
        <v>0</v>
      </c>
      <c r="V291" s="63">
        <f t="shared" si="126"/>
        <v>0</v>
      </c>
      <c r="W291" s="63">
        <f t="shared" si="126"/>
        <v>0</v>
      </c>
      <c r="X291" s="63">
        <f t="shared" si="126"/>
        <v>0</v>
      </c>
      <c r="Y291" s="63">
        <f t="shared" si="126"/>
        <v>0</v>
      </c>
      <c r="Z291" s="63">
        <f t="shared" si="126"/>
        <v>0</v>
      </c>
      <c r="AA291" s="63">
        <f t="shared" si="126"/>
        <v>0</v>
      </c>
      <c r="AB291" s="63">
        <f t="shared" si="126"/>
        <v>0</v>
      </c>
      <c r="AC291" s="63">
        <f>SUM(AC285:AC290)</f>
        <v>13992000.063999731</v>
      </c>
      <c r="AD291" s="63">
        <f>SUM(AD285:AD290)</f>
        <v>0</v>
      </c>
      <c r="AE291" s="63">
        <f>SUM(AE285:AE290)</f>
        <v>0</v>
      </c>
      <c r="AF291" s="64">
        <f>SUM(H291:AE291)</f>
        <v>13992000.063999731</v>
      </c>
      <c r="AG291" s="59" t="str">
        <f>IF(ABS(AF291-F291)&lt;1,"ok","err")</f>
        <v>ok</v>
      </c>
    </row>
    <row r="292" spans="1:33">
      <c r="A292" s="61"/>
      <c r="B292" s="61"/>
      <c r="F292" s="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G292" s="59"/>
    </row>
    <row r="293" spans="1:33" ht="15">
      <c r="A293" s="66" t="s">
        <v>1045</v>
      </c>
      <c r="B293" s="61"/>
      <c r="F293" s="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G293" s="59"/>
    </row>
    <row r="294" spans="1:33">
      <c r="A294" s="61">
        <v>907</v>
      </c>
      <c r="B294" s="61" t="s">
        <v>1166</v>
      </c>
      <c r="C294" s="45" t="s">
        <v>1046</v>
      </c>
      <c r="D294" s="45" t="s">
        <v>663</v>
      </c>
      <c r="F294" s="77">
        <v>364585.26</v>
      </c>
      <c r="H294" s="64">
        <f t="shared" ref="H294:Q304" si="127">IF(VLOOKUP($D294,$C$6:$AE$653,H$2,)=0,0,((VLOOKUP($D294,$C$6:$AE$653,H$2,)/VLOOKUP($D294,$C$6:$AE$653,4,))*$F294))</f>
        <v>0</v>
      </c>
      <c r="I294" s="64">
        <f t="shared" si="127"/>
        <v>0</v>
      </c>
      <c r="J294" s="64">
        <f t="shared" si="127"/>
        <v>0</v>
      </c>
      <c r="K294" s="64">
        <f t="shared" si="127"/>
        <v>0</v>
      </c>
      <c r="L294" s="64">
        <f t="shared" si="127"/>
        <v>0</v>
      </c>
      <c r="M294" s="64">
        <f t="shared" si="127"/>
        <v>0</v>
      </c>
      <c r="N294" s="64">
        <f t="shared" si="127"/>
        <v>0</v>
      </c>
      <c r="O294" s="64">
        <f t="shared" si="127"/>
        <v>0</v>
      </c>
      <c r="P294" s="64">
        <f t="shared" si="127"/>
        <v>0</v>
      </c>
      <c r="Q294" s="64">
        <f t="shared" si="127"/>
        <v>0</v>
      </c>
      <c r="R294" s="64">
        <f t="shared" ref="R294:AE304" si="128">IF(VLOOKUP($D294,$C$6:$AE$653,R$2,)=0,0,((VLOOKUP($D294,$C$6:$AE$653,R$2,)/VLOOKUP($D294,$C$6:$AE$653,4,))*$F294))</f>
        <v>0</v>
      </c>
      <c r="S294" s="64">
        <f t="shared" si="128"/>
        <v>0</v>
      </c>
      <c r="T294" s="64">
        <f t="shared" si="128"/>
        <v>0</v>
      </c>
      <c r="U294" s="64">
        <f t="shared" si="128"/>
        <v>0</v>
      </c>
      <c r="V294" s="64">
        <f t="shared" si="128"/>
        <v>0</v>
      </c>
      <c r="W294" s="64">
        <f t="shared" si="128"/>
        <v>0</v>
      </c>
      <c r="X294" s="64">
        <f t="shared" si="128"/>
        <v>0</v>
      </c>
      <c r="Y294" s="64">
        <f t="shared" si="128"/>
        <v>0</v>
      </c>
      <c r="Z294" s="64">
        <f t="shared" si="128"/>
        <v>0</v>
      </c>
      <c r="AA294" s="64">
        <f t="shared" si="128"/>
        <v>0</v>
      </c>
      <c r="AB294" s="64">
        <f t="shared" si="128"/>
        <v>0</v>
      </c>
      <c r="AC294" s="64">
        <f t="shared" si="128"/>
        <v>0</v>
      </c>
      <c r="AD294" s="64">
        <f t="shared" si="128"/>
        <v>364585.26</v>
      </c>
      <c r="AE294" s="64">
        <f t="shared" si="128"/>
        <v>0</v>
      </c>
      <c r="AF294" s="64">
        <f t="shared" ref="AF294:AF304" si="129">SUM(H294:AE294)</f>
        <v>364585.26</v>
      </c>
      <c r="AG294" s="59" t="str">
        <f t="shared" ref="AG294:AG304" si="130">IF(ABS(AF294-F294)&lt;1,"ok","err")</f>
        <v>ok</v>
      </c>
    </row>
    <row r="295" spans="1:33">
      <c r="A295" s="61">
        <v>908</v>
      </c>
      <c r="B295" s="61" t="s">
        <v>1048</v>
      </c>
      <c r="C295" s="45" t="s">
        <v>1049</v>
      </c>
      <c r="D295" s="45" t="s">
        <v>663</v>
      </c>
      <c r="F295" s="80">
        <v>289821.47999998368</v>
      </c>
      <c r="H295" s="64">
        <f t="shared" si="127"/>
        <v>0</v>
      </c>
      <c r="I295" s="64">
        <f t="shared" si="127"/>
        <v>0</v>
      </c>
      <c r="J295" s="64">
        <f t="shared" si="127"/>
        <v>0</v>
      </c>
      <c r="K295" s="64">
        <f t="shared" si="127"/>
        <v>0</v>
      </c>
      <c r="L295" s="64">
        <f t="shared" si="127"/>
        <v>0</v>
      </c>
      <c r="M295" s="64">
        <f t="shared" si="127"/>
        <v>0</v>
      </c>
      <c r="N295" s="64">
        <f t="shared" si="127"/>
        <v>0</v>
      </c>
      <c r="O295" s="64">
        <f t="shared" si="127"/>
        <v>0</v>
      </c>
      <c r="P295" s="64">
        <f t="shared" si="127"/>
        <v>0</v>
      </c>
      <c r="Q295" s="64">
        <f t="shared" si="127"/>
        <v>0</v>
      </c>
      <c r="R295" s="64">
        <f t="shared" si="128"/>
        <v>0</v>
      </c>
      <c r="S295" s="64">
        <f t="shared" si="128"/>
        <v>0</v>
      </c>
      <c r="T295" s="64">
        <f t="shared" si="128"/>
        <v>0</v>
      </c>
      <c r="U295" s="64">
        <f t="shared" si="128"/>
        <v>0</v>
      </c>
      <c r="V295" s="64">
        <f t="shared" si="128"/>
        <v>0</v>
      </c>
      <c r="W295" s="64">
        <f t="shared" si="128"/>
        <v>0</v>
      </c>
      <c r="X295" s="64">
        <f t="shared" si="128"/>
        <v>0</v>
      </c>
      <c r="Y295" s="64">
        <f t="shared" si="128"/>
        <v>0</v>
      </c>
      <c r="Z295" s="64">
        <f t="shared" si="128"/>
        <v>0</v>
      </c>
      <c r="AA295" s="64">
        <f t="shared" si="128"/>
        <v>0</v>
      </c>
      <c r="AB295" s="64">
        <f t="shared" si="128"/>
        <v>0</v>
      </c>
      <c r="AC295" s="64">
        <f t="shared" si="128"/>
        <v>0</v>
      </c>
      <c r="AD295" s="64">
        <f t="shared" si="128"/>
        <v>289821.47999998368</v>
      </c>
      <c r="AE295" s="64">
        <f t="shared" si="128"/>
        <v>0</v>
      </c>
      <c r="AF295" s="64">
        <f t="shared" si="129"/>
        <v>289821.47999998368</v>
      </c>
      <c r="AG295" s="59" t="str">
        <f t="shared" si="130"/>
        <v>ok</v>
      </c>
    </row>
    <row r="296" spans="1:33">
      <c r="A296" s="61">
        <v>908</v>
      </c>
      <c r="B296" s="61" t="s">
        <v>184</v>
      </c>
      <c r="C296" s="45" t="s">
        <v>32</v>
      </c>
      <c r="D296" s="45" t="s">
        <v>663</v>
      </c>
      <c r="F296" s="80"/>
      <c r="H296" s="64">
        <f t="shared" si="127"/>
        <v>0</v>
      </c>
      <c r="I296" s="64">
        <f t="shared" si="127"/>
        <v>0</v>
      </c>
      <c r="J296" s="64">
        <f t="shared" si="127"/>
        <v>0</v>
      </c>
      <c r="K296" s="64">
        <f t="shared" si="127"/>
        <v>0</v>
      </c>
      <c r="L296" s="64">
        <f t="shared" si="127"/>
        <v>0</v>
      </c>
      <c r="M296" s="64">
        <f t="shared" si="127"/>
        <v>0</v>
      </c>
      <c r="N296" s="64">
        <f t="shared" si="127"/>
        <v>0</v>
      </c>
      <c r="O296" s="64">
        <f t="shared" si="127"/>
        <v>0</v>
      </c>
      <c r="P296" s="64">
        <f t="shared" si="127"/>
        <v>0</v>
      </c>
      <c r="Q296" s="64">
        <f t="shared" si="127"/>
        <v>0</v>
      </c>
      <c r="R296" s="64">
        <f t="shared" si="128"/>
        <v>0</v>
      </c>
      <c r="S296" s="64">
        <f t="shared" si="128"/>
        <v>0</v>
      </c>
      <c r="T296" s="64">
        <f t="shared" si="128"/>
        <v>0</v>
      </c>
      <c r="U296" s="64">
        <f t="shared" si="128"/>
        <v>0</v>
      </c>
      <c r="V296" s="64">
        <f t="shared" si="128"/>
        <v>0</v>
      </c>
      <c r="W296" s="64">
        <f t="shared" si="128"/>
        <v>0</v>
      </c>
      <c r="X296" s="64">
        <f t="shared" si="128"/>
        <v>0</v>
      </c>
      <c r="Y296" s="64">
        <f t="shared" si="128"/>
        <v>0</v>
      </c>
      <c r="Z296" s="64">
        <f t="shared" si="128"/>
        <v>0</v>
      </c>
      <c r="AA296" s="64">
        <f t="shared" si="128"/>
        <v>0</v>
      </c>
      <c r="AB296" s="64">
        <f t="shared" si="128"/>
        <v>0</v>
      </c>
      <c r="AC296" s="64">
        <f t="shared" si="128"/>
        <v>0</v>
      </c>
      <c r="AD296" s="64">
        <f t="shared" si="128"/>
        <v>0</v>
      </c>
      <c r="AE296" s="64">
        <f t="shared" si="128"/>
        <v>0</v>
      </c>
      <c r="AF296" s="64">
        <f t="shared" si="129"/>
        <v>0</v>
      </c>
      <c r="AG296" s="59" t="str">
        <f t="shared" si="130"/>
        <v>ok</v>
      </c>
    </row>
    <row r="297" spans="1:33">
      <c r="A297" s="61">
        <v>909</v>
      </c>
      <c r="B297" s="61" t="s">
        <v>1050</v>
      </c>
      <c r="C297" s="45" t="s">
        <v>1051</v>
      </c>
      <c r="D297" s="45" t="s">
        <v>663</v>
      </c>
      <c r="F297" s="80">
        <v>257471.76</v>
      </c>
      <c r="H297" s="64">
        <f t="shared" si="127"/>
        <v>0</v>
      </c>
      <c r="I297" s="64">
        <f t="shared" si="127"/>
        <v>0</v>
      </c>
      <c r="J297" s="64">
        <f t="shared" si="127"/>
        <v>0</v>
      </c>
      <c r="K297" s="64">
        <f t="shared" si="127"/>
        <v>0</v>
      </c>
      <c r="L297" s="64">
        <f t="shared" si="127"/>
        <v>0</v>
      </c>
      <c r="M297" s="64">
        <f t="shared" si="127"/>
        <v>0</v>
      </c>
      <c r="N297" s="64">
        <f t="shared" si="127"/>
        <v>0</v>
      </c>
      <c r="O297" s="64">
        <f t="shared" si="127"/>
        <v>0</v>
      </c>
      <c r="P297" s="64">
        <f t="shared" si="127"/>
        <v>0</v>
      </c>
      <c r="Q297" s="64">
        <f t="shared" si="127"/>
        <v>0</v>
      </c>
      <c r="R297" s="64">
        <f t="shared" si="128"/>
        <v>0</v>
      </c>
      <c r="S297" s="64">
        <f t="shared" si="128"/>
        <v>0</v>
      </c>
      <c r="T297" s="64">
        <f t="shared" si="128"/>
        <v>0</v>
      </c>
      <c r="U297" s="64">
        <f t="shared" si="128"/>
        <v>0</v>
      </c>
      <c r="V297" s="64">
        <f t="shared" si="128"/>
        <v>0</v>
      </c>
      <c r="W297" s="64">
        <f t="shared" si="128"/>
        <v>0</v>
      </c>
      <c r="X297" s="64">
        <f t="shared" si="128"/>
        <v>0</v>
      </c>
      <c r="Y297" s="64">
        <f t="shared" si="128"/>
        <v>0</v>
      </c>
      <c r="Z297" s="64">
        <f t="shared" si="128"/>
        <v>0</v>
      </c>
      <c r="AA297" s="64">
        <f t="shared" si="128"/>
        <v>0</v>
      </c>
      <c r="AB297" s="64">
        <f t="shared" si="128"/>
        <v>0</v>
      </c>
      <c r="AC297" s="64">
        <f t="shared" si="128"/>
        <v>0</v>
      </c>
      <c r="AD297" s="64">
        <f t="shared" si="128"/>
        <v>257471.76</v>
      </c>
      <c r="AE297" s="64">
        <f t="shared" si="128"/>
        <v>0</v>
      </c>
      <c r="AF297" s="64">
        <f t="shared" si="129"/>
        <v>257471.76</v>
      </c>
      <c r="AG297" s="59" t="str">
        <f t="shared" si="130"/>
        <v>ok</v>
      </c>
    </row>
    <row r="298" spans="1:33">
      <c r="A298" s="61">
        <v>909</v>
      </c>
      <c r="B298" s="61" t="s">
        <v>33</v>
      </c>
      <c r="C298" s="45" t="s">
        <v>34</v>
      </c>
      <c r="D298" s="45" t="s">
        <v>663</v>
      </c>
      <c r="F298" s="80"/>
      <c r="H298" s="64">
        <f t="shared" si="127"/>
        <v>0</v>
      </c>
      <c r="I298" s="64">
        <f t="shared" si="127"/>
        <v>0</v>
      </c>
      <c r="J298" s="64">
        <f t="shared" si="127"/>
        <v>0</v>
      </c>
      <c r="K298" s="64">
        <f t="shared" si="127"/>
        <v>0</v>
      </c>
      <c r="L298" s="64">
        <f t="shared" si="127"/>
        <v>0</v>
      </c>
      <c r="M298" s="64">
        <f t="shared" si="127"/>
        <v>0</v>
      </c>
      <c r="N298" s="64">
        <f t="shared" si="127"/>
        <v>0</v>
      </c>
      <c r="O298" s="64">
        <f t="shared" si="127"/>
        <v>0</v>
      </c>
      <c r="P298" s="64">
        <f t="shared" si="127"/>
        <v>0</v>
      </c>
      <c r="Q298" s="64">
        <f t="shared" si="127"/>
        <v>0</v>
      </c>
      <c r="R298" s="64">
        <f t="shared" si="128"/>
        <v>0</v>
      </c>
      <c r="S298" s="64">
        <f t="shared" si="128"/>
        <v>0</v>
      </c>
      <c r="T298" s="64">
        <f t="shared" si="128"/>
        <v>0</v>
      </c>
      <c r="U298" s="64">
        <f t="shared" si="128"/>
        <v>0</v>
      </c>
      <c r="V298" s="64">
        <f t="shared" si="128"/>
        <v>0</v>
      </c>
      <c r="W298" s="64">
        <f t="shared" si="128"/>
        <v>0</v>
      </c>
      <c r="X298" s="64">
        <f t="shared" si="128"/>
        <v>0</v>
      </c>
      <c r="Y298" s="64">
        <f t="shared" si="128"/>
        <v>0</v>
      </c>
      <c r="Z298" s="64">
        <f t="shared" si="128"/>
        <v>0</v>
      </c>
      <c r="AA298" s="64">
        <f t="shared" si="128"/>
        <v>0</v>
      </c>
      <c r="AB298" s="64">
        <f t="shared" si="128"/>
        <v>0</v>
      </c>
      <c r="AC298" s="64">
        <f t="shared" si="128"/>
        <v>0</v>
      </c>
      <c r="AD298" s="64">
        <f t="shared" si="128"/>
        <v>0</v>
      </c>
      <c r="AE298" s="64">
        <f t="shared" si="128"/>
        <v>0</v>
      </c>
      <c r="AF298" s="64">
        <f t="shared" si="129"/>
        <v>0</v>
      </c>
      <c r="AG298" s="59" t="str">
        <f t="shared" si="130"/>
        <v>ok</v>
      </c>
    </row>
    <row r="299" spans="1:33">
      <c r="A299" s="61">
        <v>910</v>
      </c>
      <c r="B299" s="61" t="s">
        <v>1052</v>
      </c>
      <c r="C299" s="45" t="s">
        <v>1053</v>
      </c>
      <c r="D299" s="45" t="s">
        <v>663</v>
      </c>
      <c r="F299" s="80">
        <v>823663.43999999971</v>
      </c>
      <c r="H299" s="64">
        <f t="shared" si="127"/>
        <v>0</v>
      </c>
      <c r="I299" s="64">
        <f t="shared" si="127"/>
        <v>0</v>
      </c>
      <c r="J299" s="64">
        <f t="shared" si="127"/>
        <v>0</v>
      </c>
      <c r="K299" s="64">
        <f t="shared" si="127"/>
        <v>0</v>
      </c>
      <c r="L299" s="64">
        <f t="shared" si="127"/>
        <v>0</v>
      </c>
      <c r="M299" s="64">
        <f t="shared" si="127"/>
        <v>0</v>
      </c>
      <c r="N299" s="64">
        <f t="shared" si="127"/>
        <v>0</v>
      </c>
      <c r="O299" s="64">
        <f t="shared" si="127"/>
        <v>0</v>
      </c>
      <c r="P299" s="64">
        <f t="shared" si="127"/>
        <v>0</v>
      </c>
      <c r="Q299" s="64">
        <f t="shared" si="127"/>
        <v>0</v>
      </c>
      <c r="R299" s="64">
        <f t="shared" si="128"/>
        <v>0</v>
      </c>
      <c r="S299" s="64">
        <f t="shared" si="128"/>
        <v>0</v>
      </c>
      <c r="T299" s="64">
        <f t="shared" si="128"/>
        <v>0</v>
      </c>
      <c r="U299" s="64">
        <f t="shared" si="128"/>
        <v>0</v>
      </c>
      <c r="V299" s="64">
        <f t="shared" si="128"/>
        <v>0</v>
      </c>
      <c r="W299" s="64">
        <f t="shared" si="128"/>
        <v>0</v>
      </c>
      <c r="X299" s="64">
        <f t="shared" si="128"/>
        <v>0</v>
      </c>
      <c r="Y299" s="64">
        <f t="shared" si="128"/>
        <v>0</v>
      </c>
      <c r="Z299" s="64">
        <f t="shared" si="128"/>
        <v>0</v>
      </c>
      <c r="AA299" s="64">
        <f t="shared" si="128"/>
        <v>0</v>
      </c>
      <c r="AB299" s="64">
        <f t="shared" si="128"/>
        <v>0</v>
      </c>
      <c r="AC299" s="64">
        <f t="shared" si="128"/>
        <v>0</v>
      </c>
      <c r="AD299" s="64">
        <f t="shared" si="128"/>
        <v>823663.43999999971</v>
      </c>
      <c r="AE299" s="64">
        <f t="shared" si="128"/>
        <v>0</v>
      </c>
      <c r="AF299" s="64">
        <f t="shared" si="129"/>
        <v>823663.43999999971</v>
      </c>
      <c r="AG299" s="59" t="str">
        <f t="shared" si="130"/>
        <v>ok</v>
      </c>
    </row>
    <row r="300" spans="1:33">
      <c r="A300" s="61">
        <v>911</v>
      </c>
      <c r="B300" s="61" t="s">
        <v>149</v>
      </c>
      <c r="C300" s="45" t="s">
        <v>171</v>
      </c>
      <c r="D300" s="45" t="s">
        <v>663</v>
      </c>
      <c r="F300" s="80"/>
      <c r="H300" s="64">
        <f t="shared" si="127"/>
        <v>0</v>
      </c>
      <c r="I300" s="64">
        <f t="shared" si="127"/>
        <v>0</v>
      </c>
      <c r="J300" s="64">
        <f t="shared" si="127"/>
        <v>0</v>
      </c>
      <c r="K300" s="64">
        <f t="shared" si="127"/>
        <v>0</v>
      </c>
      <c r="L300" s="64">
        <f t="shared" si="127"/>
        <v>0</v>
      </c>
      <c r="M300" s="64">
        <f t="shared" si="127"/>
        <v>0</v>
      </c>
      <c r="N300" s="64">
        <f t="shared" si="127"/>
        <v>0</v>
      </c>
      <c r="O300" s="64">
        <f t="shared" si="127"/>
        <v>0</v>
      </c>
      <c r="P300" s="64">
        <f t="shared" si="127"/>
        <v>0</v>
      </c>
      <c r="Q300" s="64">
        <f t="shared" si="127"/>
        <v>0</v>
      </c>
      <c r="R300" s="64">
        <f t="shared" si="128"/>
        <v>0</v>
      </c>
      <c r="S300" s="64">
        <f t="shared" si="128"/>
        <v>0</v>
      </c>
      <c r="T300" s="64">
        <f t="shared" si="128"/>
        <v>0</v>
      </c>
      <c r="U300" s="64">
        <f t="shared" si="128"/>
        <v>0</v>
      </c>
      <c r="V300" s="64">
        <f t="shared" si="128"/>
        <v>0</v>
      </c>
      <c r="W300" s="64">
        <f t="shared" si="128"/>
        <v>0</v>
      </c>
      <c r="X300" s="64">
        <f t="shared" si="128"/>
        <v>0</v>
      </c>
      <c r="Y300" s="64">
        <f t="shared" si="128"/>
        <v>0</v>
      </c>
      <c r="Z300" s="64">
        <f t="shared" si="128"/>
        <v>0</v>
      </c>
      <c r="AA300" s="64">
        <f t="shared" si="128"/>
        <v>0</v>
      </c>
      <c r="AB300" s="64">
        <f t="shared" si="128"/>
        <v>0</v>
      </c>
      <c r="AC300" s="64">
        <f t="shared" si="128"/>
        <v>0</v>
      </c>
      <c r="AD300" s="64">
        <f t="shared" si="128"/>
        <v>0</v>
      </c>
      <c r="AE300" s="64">
        <f t="shared" si="128"/>
        <v>0</v>
      </c>
      <c r="AF300" s="64">
        <f t="shared" si="129"/>
        <v>0</v>
      </c>
      <c r="AG300" s="59" t="str">
        <f t="shared" si="130"/>
        <v>ok</v>
      </c>
    </row>
    <row r="301" spans="1:33">
      <c r="A301" s="61">
        <v>912</v>
      </c>
      <c r="B301" s="61" t="s">
        <v>149</v>
      </c>
      <c r="C301" s="45" t="s">
        <v>150</v>
      </c>
      <c r="D301" s="45" t="s">
        <v>663</v>
      </c>
      <c r="F301" s="80"/>
      <c r="H301" s="64">
        <f t="shared" si="127"/>
        <v>0</v>
      </c>
      <c r="I301" s="64">
        <f t="shared" si="127"/>
        <v>0</v>
      </c>
      <c r="J301" s="64">
        <f t="shared" si="127"/>
        <v>0</v>
      </c>
      <c r="K301" s="64">
        <f t="shared" si="127"/>
        <v>0</v>
      </c>
      <c r="L301" s="64">
        <f t="shared" si="127"/>
        <v>0</v>
      </c>
      <c r="M301" s="64">
        <f t="shared" si="127"/>
        <v>0</v>
      </c>
      <c r="N301" s="64">
        <f t="shared" si="127"/>
        <v>0</v>
      </c>
      <c r="O301" s="64">
        <f t="shared" si="127"/>
        <v>0</v>
      </c>
      <c r="P301" s="64">
        <f t="shared" si="127"/>
        <v>0</v>
      </c>
      <c r="Q301" s="64">
        <f t="shared" si="127"/>
        <v>0</v>
      </c>
      <c r="R301" s="64">
        <f t="shared" si="128"/>
        <v>0</v>
      </c>
      <c r="S301" s="64">
        <f t="shared" si="128"/>
        <v>0</v>
      </c>
      <c r="T301" s="64">
        <f t="shared" si="128"/>
        <v>0</v>
      </c>
      <c r="U301" s="64">
        <f t="shared" si="128"/>
        <v>0</v>
      </c>
      <c r="V301" s="64">
        <f t="shared" si="128"/>
        <v>0</v>
      </c>
      <c r="W301" s="64">
        <f t="shared" si="128"/>
        <v>0</v>
      </c>
      <c r="X301" s="64">
        <f t="shared" si="128"/>
        <v>0</v>
      </c>
      <c r="Y301" s="64">
        <f t="shared" si="128"/>
        <v>0</v>
      </c>
      <c r="Z301" s="64">
        <f t="shared" si="128"/>
        <v>0</v>
      </c>
      <c r="AA301" s="64">
        <f t="shared" si="128"/>
        <v>0</v>
      </c>
      <c r="AB301" s="64">
        <f t="shared" si="128"/>
        <v>0</v>
      </c>
      <c r="AC301" s="64">
        <f t="shared" si="128"/>
        <v>0</v>
      </c>
      <c r="AD301" s="64">
        <f t="shared" si="128"/>
        <v>0</v>
      </c>
      <c r="AE301" s="64">
        <f t="shared" si="128"/>
        <v>0</v>
      </c>
      <c r="AF301" s="64">
        <f t="shared" si="129"/>
        <v>0</v>
      </c>
      <c r="AG301" s="59" t="str">
        <f t="shared" si="130"/>
        <v>ok</v>
      </c>
    </row>
    <row r="302" spans="1:33">
      <c r="A302" s="61">
        <v>913</v>
      </c>
      <c r="B302" s="61" t="s">
        <v>159</v>
      </c>
      <c r="C302" s="45" t="s">
        <v>139</v>
      </c>
      <c r="D302" s="45" t="s">
        <v>663</v>
      </c>
      <c r="F302" s="80">
        <v>950846.51999999955</v>
      </c>
      <c r="H302" s="64">
        <f t="shared" si="127"/>
        <v>0</v>
      </c>
      <c r="I302" s="64">
        <f t="shared" si="127"/>
        <v>0</v>
      </c>
      <c r="J302" s="64">
        <f t="shared" si="127"/>
        <v>0</v>
      </c>
      <c r="K302" s="64">
        <f t="shared" si="127"/>
        <v>0</v>
      </c>
      <c r="L302" s="64">
        <f t="shared" si="127"/>
        <v>0</v>
      </c>
      <c r="M302" s="64">
        <f t="shared" si="127"/>
        <v>0</v>
      </c>
      <c r="N302" s="64">
        <f t="shared" si="127"/>
        <v>0</v>
      </c>
      <c r="O302" s="64">
        <f t="shared" si="127"/>
        <v>0</v>
      </c>
      <c r="P302" s="64">
        <f t="shared" si="127"/>
        <v>0</v>
      </c>
      <c r="Q302" s="64">
        <f t="shared" si="127"/>
        <v>0</v>
      </c>
      <c r="R302" s="64">
        <f t="shared" si="128"/>
        <v>0</v>
      </c>
      <c r="S302" s="64">
        <f t="shared" si="128"/>
        <v>0</v>
      </c>
      <c r="T302" s="64">
        <f t="shared" si="128"/>
        <v>0</v>
      </c>
      <c r="U302" s="64">
        <f t="shared" si="128"/>
        <v>0</v>
      </c>
      <c r="V302" s="64">
        <f t="shared" si="128"/>
        <v>0</v>
      </c>
      <c r="W302" s="64">
        <f t="shared" si="128"/>
        <v>0</v>
      </c>
      <c r="X302" s="64">
        <f t="shared" si="128"/>
        <v>0</v>
      </c>
      <c r="Y302" s="64">
        <f t="shared" si="128"/>
        <v>0</v>
      </c>
      <c r="Z302" s="64">
        <f t="shared" si="128"/>
        <v>0</v>
      </c>
      <c r="AA302" s="64">
        <f t="shared" si="128"/>
        <v>0</v>
      </c>
      <c r="AB302" s="64">
        <f t="shared" si="128"/>
        <v>0</v>
      </c>
      <c r="AC302" s="64">
        <f t="shared" si="128"/>
        <v>0</v>
      </c>
      <c r="AD302" s="64">
        <f t="shared" si="128"/>
        <v>950846.51999999955</v>
      </c>
      <c r="AE302" s="64">
        <f t="shared" si="128"/>
        <v>0</v>
      </c>
      <c r="AF302" s="64">
        <f t="shared" si="129"/>
        <v>950846.51999999955</v>
      </c>
      <c r="AG302" s="59" t="str">
        <f t="shared" si="130"/>
        <v>ok</v>
      </c>
    </row>
    <row r="303" spans="1:33">
      <c r="A303" s="61">
        <v>915</v>
      </c>
      <c r="B303" s="61" t="s">
        <v>160</v>
      </c>
      <c r="C303" s="45" t="s">
        <v>162</v>
      </c>
      <c r="D303" s="45" t="s">
        <v>663</v>
      </c>
      <c r="F303" s="80"/>
      <c r="H303" s="64">
        <f t="shared" si="127"/>
        <v>0</v>
      </c>
      <c r="I303" s="64">
        <f t="shared" si="127"/>
        <v>0</v>
      </c>
      <c r="J303" s="64">
        <f t="shared" si="127"/>
        <v>0</v>
      </c>
      <c r="K303" s="64">
        <f t="shared" si="127"/>
        <v>0</v>
      </c>
      <c r="L303" s="64">
        <f t="shared" si="127"/>
        <v>0</v>
      </c>
      <c r="M303" s="64">
        <f t="shared" si="127"/>
        <v>0</v>
      </c>
      <c r="N303" s="64">
        <f t="shared" si="127"/>
        <v>0</v>
      </c>
      <c r="O303" s="64">
        <f t="shared" si="127"/>
        <v>0</v>
      </c>
      <c r="P303" s="64">
        <f t="shared" si="127"/>
        <v>0</v>
      </c>
      <c r="Q303" s="64">
        <f t="shared" si="127"/>
        <v>0</v>
      </c>
      <c r="R303" s="64">
        <f t="shared" si="128"/>
        <v>0</v>
      </c>
      <c r="S303" s="64">
        <f t="shared" si="128"/>
        <v>0</v>
      </c>
      <c r="T303" s="64">
        <f t="shared" si="128"/>
        <v>0</v>
      </c>
      <c r="U303" s="64">
        <f t="shared" si="128"/>
        <v>0</v>
      </c>
      <c r="V303" s="64">
        <f t="shared" si="128"/>
        <v>0</v>
      </c>
      <c r="W303" s="64">
        <f t="shared" si="128"/>
        <v>0</v>
      </c>
      <c r="X303" s="64">
        <f t="shared" si="128"/>
        <v>0</v>
      </c>
      <c r="Y303" s="64">
        <f t="shared" si="128"/>
        <v>0</v>
      </c>
      <c r="Z303" s="64">
        <f t="shared" si="128"/>
        <v>0</v>
      </c>
      <c r="AA303" s="64">
        <f t="shared" si="128"/>
        <v>0</v>
      </c>
      <c r="AB303" s="64">
        <f t="shared" si="128"/>
        <v>0</v>
      </c>
      <c r="AC303" s="64">
        <f t="shared" si="128"/>
        <v>0</v>
      </c>
      <c r="AD303" s="64">
        <f t="shared" si="128"/>
        <v>0</v>
      </c>
      <c r="AE303" s="64">
        <f t="shared" si="128"/>
        <v>0</v>
      </c>
      <c r="AF303" s="64">
        <f t="shared" si="129"/>
        <v>0</v>
      </c>
      <c r="AG303" s="59" t="str">
        <f t="shared" si="130"/>
        <v>ok</v>
      </c>
    </row>
    <row r="304" spans="1:33">
      <c r="A304" s="61">
        <v>916</v>
      </c>
      <c r="B304" s="61" t="s">
        <v>161</v>
      </c>
      <c r="C304" s="45" t="s">
        <v>163</v>
      </c>
      <c r="D304" s="45" t="s">
        <v>663</v>
      </c>
      <c r="F304" s="80"/>
      <c r="H304" s="64">
        <f t="shared" si="127"/>
        <v>0</v>
      </c>
      <c r="I304" s="64">
        <f t="shared" si="127"/>
        <v>0</v>
      </c>
      <c r="J304" s="64">
        <f t="shared" si="127"/>
        <v>0</v>
      </c>
      <c r="K304" s="64">
        <f t="shared" si="127"/>
        <v>0</v>
      </c>
      <c r="L304" s="64">
        <f t="shared" si="127"/>
        <v>0</v>
      </c>
      <c r="M304" s="64">
        <f t="shared" si="127"/>
        <v>0</v>
      </c>
      <c r="N304" s="64">
        <f t="shared" si="127"/>
        <v>0</v>
      </c>
      <c r="O304" s="64">
        <f t="shared" si="127"/>
        <v>0</v>
      </c>
      <c r="P304" s="64">
        <f t="shared" si="127"/>
        <v>0</v>
      </c>
      <c r="Q304" s="64">
        <f t="shared" si="127"/>
        <v>0</v>
      </c>
      <c r="R304" s="64">
        <f t="shared" si="128"/>
        <v>0</v>
      </c>
      <c r="S304" s="64">
        <f t="shared" si="128"/>
        <v>0</v>
      </c>
      <c r="T304" s="64">
        <f t="shared" si="128"/>
        <v>0</v>
      </c>
      <c r="U304" s="64">
        <f t="shared" si="128"/>
        <v>0</v>
      </c>
      <c r="V304" s="64">
        <f t="shared" si="128"/>
        <v>0</v>
      </c>
      <c r="W304" s="64">
        <f t="shared" si="128"/>
        <v>0</v>
      </c>
      <c r="X304" s="64">
        <f t="shared" si="128"/>
        <v>0</v>
      </c>
      <c r="Y304" s="64">
        <f t="shared" si="128"/>
        <v>0</v>
      </c>
      <c r="Z304" s="64">
        <f t="shared" si="128"/>
        <v>0</v>
      </c>
      <c r="AA304" s="64">
        <f t="shared" si="128"/>
        <v>0</v>
      </c>
      <c r="AB304" s="64">
        <f t="shared" si="128"/>
        <v>0</v>
      </c>
      <c r="AC304" s="64">
        <f t="shared" si="128"/>
        <v>0</v>
      </c>
      <c r="AD304" s="64">
        <f t="shared" si="128"/>
        <v>0</v>
      </c>
      <c r="AE304" s="64">
        <f t="shared" si="128"/>
        <v>0</v>
      </c>
      <c r="AF304" s="64">
        <f t="shared" si="129"/>
        <v>0</v>
      </c>
      <c r="AG304" s="59" t="str">
        <f t="shared" si="130"/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59"/>
    </row>
    <row r="306" spans="1:33">
      <c r="A306" s="61" t="s">
        <v>1054</v>
      </c>
      <c r="B306" s="61"/>
      <c r="C306" s="45" t="s">
        <v>1055</v>
      </c>
      <c r="F306" s="77">
        <f t="shared" ref="F306:M306" si="131">SUM(F294:F305)</f>
        <v>2686388.4599999832</v>
      </c>
      <c r="G306" s="63">
        <f t="shared" si="131"/>
        <v>0</v>
      </c>
      <c r="H306" s="63">
        <f t="shared" si="131"/>
        <v>0</v>
      </c>
      <c r="I306" s="63">
        <f t="shared" si="131"/>
        <v>0</v>
      </c>
      <c r="J306" s="63">
        <f t="shared" si="131"/>
        <v>0</v>
      </c>
      <c r="K306" s="63">
        <f t="shared" si="131"/>
        <v>0</v>
      </c>
      <c r="L306" s="63">
        <f t="shared" si="131"/>
        <v>0</v>
      </c>
      <c r="M306" s="63">
        <f t="shared" si="131"/>
        <v>0</v>
      </c>
      <c r="N306" s="63">
        <f>SUM(N294:N305)</f>
        <v>0</v>
      </c>
      <c r="O306" s="63">
        <f>SUM(O294:O305)</f>
        <v>0</v>
      </c>
      <c r="P306" s="63">
        <f>SUM(P294:P305)</f>
        <v>0</v>
      </c>
      <c r="Q306" s="63">
        <f t="shared" ref="Q306:AB306" si="132">SUM(Q294:Q305)</f>
        <v>0</v>
      </c>
      <c r="R306" s="63">
        <f t="shared" si="132"/>
        <v>0</v>
      </c>
      <c r="S306" s="63">
        <f t="shared" si="132"/>
        <v>0</v>
      </c>
      <c r="T306" s="63">
        <f t="shared" si="132"/>
        <v>0</v>
      </c>
      <c r="U306" s="63">
        <f t="shared" si="132"/>
        <v>0</v>
      </c>
      <c r="V306" s="63">
        <f t="shared" si="132"/>
        <v>0</v>
      </c>
      <c r="W306" s="63">
        <f t="shared" si="132"/>
        <v>0</v>
      </c>
      <c r="X306" s="63">
        <f t="shared" si="132"/>
        <v>0</v>
      </c>
      <c r="Y306" s="63">
        <f t="shared" si="132"/>
        <v>0</v>
      </c>
      <c r="Z306" s="63">
        <f t="shared" si="132"/>
        <v>0</v>
      </c>
      <c r="AA306" s="63">
        <f t="shared" si="132"/>
        <v>0</v>
      </c>
      <c r="AB306" s="63">
        <f t="shared" si="132"/>
        <v>0</v>
      </c>
      <c r="AC306" s="63">
        <f>SUM(AC294:AC305)</f>
        <v>0</v>
      </c>
      <c r="AD306" s="63">
        <f>SUM(AD294:AD305)</f>
        <v>2686388.4599999832</v>
      </c>
      <c r="AE306" s="63">
        <f>SUM(AE294:AE305)</f>
        <v>0</v>
      </c>
      <c r="AF306" s="64">
        <f>SUM(H306:AE306)</f>
        <v>2686388.4599999832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 t="s">
        <v>277</v>
      </c>
      <c r="B308" s="61"/>
      <c r="C308" s="45" t="s">
        <v>18</v>
      </c>
      <c r="F308" s="80">
        <f>F279+F291+F306</f>
        <v>597552678.17552042</v>
      </c>
      <c r="G308" s="64">
        <f>G277+G291+G306</f>
        <v>0</v>
      </c>
      <c r="H308" s="64">
        <f t="shared" ref="H308:M308" si="133">H279+H291+H306</f>
        <v>22381959.218989</v>
      </c>
      <c r="I308" s="64">
        <f t="shared" si="133"/>
        <v>23446518.932840079</v>
      </c>
      <c r="J308" s="64">
        <f t="shared" si="133"/>
        <v>19272959.500648879</v>
      </c>
      <c r="K308" s="64">
        <f t="shared" si="133"/>
        <v>445243824.99904263</v>
      </c>
      <c r="L308" s="64">
        <f t="shared" si="133"/>
        <v>0</v>
      </c>
      <c r="M308" s="64">
        <f t="shared" si="133"/>
        <v>0</v>
      </c>
      <c r="N308" s="64">
        <f>N279+N291+N306</f>
        <v>16509511</v>
      </c>
      <c r="O308" s="64">
        <f>O279+O291+O306</f>
        <v>0</v>
      </c>
      <c r="P308" s="64">
        <f>P279+P291+P306</f>
        <v>0</v>
      </c>
      <c r="Q308" s="64">
        <f t="shared" ref="Q308:AB308" si="134">Q279+Q291+Q306</f>
        <v>0</v>
      </c>
      <c r="R308" s="64">
        <f t="shared" si="134"/>
        <v>4886677.3409584481</v>
      </c>
      <c r="S308" s="64">
        <f t="shared" si="134"/>
        <v>0</v>
      </c>
      <c r="T308" s="64">
        <f t="shared" si="134"/>
        <v>10886720.914084699</v>
      </c>
      <c r="U308" s="64">
        <f t="shared" si="134"/>
        <v>16210312.185397595</v>
      </c>
      <c r="V308" s="64">
        <f t="shared" si="134"/>
        <v>3716796.1793296379</v>
      </c>
      <c r="W308" s="64">
        <f t="shared" si="134"/>
        <v>5447555.4697906598</v>
      </c>
      <c r="X308" s="64">
        <f t="shared" si="134"/>
        <v>672706.189899071</v>
      </c>
      <c r="Y308" s="64">
        <f t="shared" si="134"/>
        <v>470458.6575155544</v>
      </c>
      <c r="Z308" s="64">
        <f t="shared" si="134"/>
        <v>164847.83880456683</v>
      </c>
      <c r="AA308" s="64">
        <f t="shared" si="134"/>
        <v>10683984.510086538</v>
      </c>
      <c r="AB308" s="64">
        <f t="shared" si="134"/>
        <v>879456.71413322981</v>
      </c>
      <c r="AC308" s="64">
        <f>AC279+AC291+AC306</f>
        <v>13992000.063999731</v>
      </c>
      <c r="AD308" s="64">
        <f>AD279+AD291+AD306</f>
        <v>2686388.4599999832</v>
      </c>
      <c r="AE308" s="64">
        <f>AE279+AE291+AE306</f>
        <v>0</v>
      </c>
      <c r="AF308" s="64">
        <f>AF279+AF291+AF306</f>
        <v>597552678.17552054</v>
      </c>
      <c r="AG308" s="59" t="str">
        <f>IF(ABS(AF308-F308)&lt;1,"ok","err")</f>
        <v>ok</v>
      </c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>
      <c r="A312" s="61"/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0" t="s">
        <v>1033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/>
      <c r="B315" s="61"/>
      <c r="F315" s="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G315" s="59"/>
    </row>
    <row r="316" spans="1:33" ht="15">
      <c r="A316" s="66" t="s">
        <v>1056</v>
      </c>
      <c r="B316" s="61"/>
      <c r="F316" s="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G316" s="59"/>
    </row>
    <row r="317" spans="1:33">
      <c r="A317" s="61">
        <v>920</v>
      </c>
      <c r="B317" s="61" t="s">
        <v>1057</v>
      </c>
      <c r="C317" s="45" t="s">
        <v>1058</v>
      </c>
      <c r="D317" s="45" t="s">
        <v>664</v>
      </c>
      <c r="F317" s="77">
        <v>27330835.082028419</v>
      </c>
      <c r="H317" s="64">
        <f t="shared" ref="H317:Q329" si="135">IF(VLOOKUP($D317,$C$6:$AE$653,H$2,)=0,0,((VLOOKUP($D317,$C$6:$AE$653,H$2,)/VLOOKUP($D317,$C$6:$AE$653,4,))*$F317))</f>
        <v>3179338.5381462662</v>
      </c>
      <c r="I317" s="64">
        <f t="shared" si="135"/>
        <v>3330558.3527875682</v>
      </c>
      <c r="J317" s="64">
        <f t="shared" si="135"/>
        <v>2737707.7352798884</v>
      </c>
      <c r="K317" s="64">
        <f t="shared" si="135"/>
        <v>6907179.7829127796</v>
      </c>
      <c r="L317" s="64">
        <f t="shared" si="135"/>
        <v>0</v>
      </c>
      <c r="M317" s="64">
        <f t="shared" si="135"/>
        <v>0</v>
      </c>
      <c r="N317" s="64">
        <f t="shared" si="135"/>
        <v>1638278.838608051</v>
      </c>
      <c r="O317" s="64">
        <f t="shared" si="135"/>
        <v>0</v>
      </c>
      <c r="P317" s="64">
        <f t="shared" si="135"/>
        <v>0</v>
      </c>
      <c r="Q317" s="64">
        <f t="shared" si="135"/>
        <v>0</v>
      </c>
      <c r="R317" s="64">
        <f t="shared" ref="R317:AE329" si="136">IF(VLOOKUP($D317,$C$6:$AE$653,R$2,)=0,0,((VLOOKUP($D317,$C$6:$AE$653,R$2,)/VLOOKUP($D317,$C$6:$AE$653,4,))*$F317))</f>
        <v>1025945.5674434847</v>
      </c>
      <c r="S317" s="64">
        <f t="shared" si="136"/>
        <v>0</v>
      </c>
      <c r="T317" s="64">
        <f t="shared" si="136"/>
        <v>970303.73746063665</v>
      </c>
      <c r="U317" s="64">
        <f t="shared" si="136"/>
        <v>1465760.4116971965</v>
      </c>
      <c r="V317" s="64">
        <f t="shared" si="136"/>
        <v>317639.39281326148</v>
      </c>
      <c r="W317" s="64">
        <f t="shared" si="136"/>
        <v>468593.02180088632</v>
      </c>
      <c r="X317" s="64">
        <f t="shared" si="136"/>
        <v>88572.803000029235</v>
      </c>
      <c r="Y317" s="64">
        <f t="shared" si="136"/>
        <v>61943.598286252309</v>
      </c>
      <c r="Z317" s="64">
        <f t="shared" si="136"/>
        <v>22462.996606719778</v>
      </c>
      <c r="AA317" s="64">
        <f t="shared" si="136"/>
        <v>2181980.7430216302</v>
      </c>
      <c r="AB317" s="64">
        <f t="shared" si="136"/>
        <v>74949.645016968541</v>
      </c>
      <c r="AC317" s="64">
        <f t="shared" si="136"/>
        <v>2243650.2794324192</v>
      </c>
      <c r="AD317" s="64">
        <f t="shared" si="136"/>
        <v>615969.63771438028</v>
      </c>
      <c r="AE317" s="64">
        <f t="shared" si="136"/>
        <v>0</v>
      </c>
      <c r="AF317" s="64">
        <f t="shared" ref="AF317:AF328" si="137">SUM(H317:AE317)</f>
        <v>27330835.082028419</v>
      </c>
      <c r="AG317" s="59" t="str">
        <f t="shared" ref="AG317:AG328" si="138">IF(ABS(AF317-F317)&lt;1,"ok","err")</f>
        <v>ok</v>
      </c>
    </row>
    <row r="318" spans="1:33">
      <c r="A318" s="61">
        <v>921</v>
      </c>
      <c r="B318" s="61" t="s">
        <v>1059</v>
      </c>
      <c r="C318" s="45" t="s">
        <v>1060</v>
      </c>
      <c r="D318" s="45" t="s">
        <v>664</v>
      </c>
      <c r="F318" s="80">
        <v>5910352.8560832748</v>
      </c>
      <c r="H318" s="64">
        <f t="shared" si="135"/>
        <v>687538.91174531181</v>
      </c>
      <c r="I318" s="64">
        <f t="shared" si="135"/>
        <v>720240.52736295178</v>
      </c>
      <c r="J318" s="64">
        <f t="shared" si="135"/>
        <v>592035.28482642572</v>
      </c>
      <c r="K318" s="64">
        <f t="shared" si="135"/>
        <v>1493692.7333136345</v>
      </c>
      <c r="L318" s="64">
        <f t="shared" si="135"/>
        <v>0</v>
      </c>
      <c r="M318" s="64">
        <f t="shared" si="135"/>
        <v>0</v>
      </c>
      <c r="N318" s="64">
        <f t="shared" si="135"/>
        <v>354281.38158847846</v>
      </c>
      <c r="O318" s="64">
        <f t="shared" si="135"/>
        <v>0</v>
      </c>
      <c r="P318" s="64">
        <f t="shared" si="135"/>
        <v>0</v>
      </c>
      <c r="Q318" s="64">
        <f t="shared" si="135"/>
        <v>0</v>
      </c>
      <c r="R318" s="64">
        <f t="shared" si="136"/>
        <v>221862.97259218415</v>
      </c>
      <c r="S318" s="64">
        <f t="shared" si="136"/>
        <v>0</v>
      </c>
      <c r="T318" s="64">
        <f t="shared" si="136"/>
        <v>209830.30517569996</v>
      </c>
      <c r="U318" s="64">
        <f t="shared" si="136"/>
        <v>316973.89448977524</v>
      </c>
      <c r="V318" s="64">
        <f t="shared" si="136"/>
        <v>68690.213339031441</v>
      </c>
      <c r="W318" s="64">
        <f t="shared" si="136"/>
        <v>101334.26572694436</v>
      </c>
      <c r="X318" s="64">
        <f t="shared" si="136"/>
        <v>19154.062347943142</v>
      </c>
      <c r="Y318" s="64">
        <f t="shared" si="136"/>
        <v>13395.438593384348</v>
      </c>
      <c r="Z318" s="64">
        <f t="shared" si="136"/>
        <v>4857.6721403589754</v>
      </c>
      <c r="AA318" s="64">
        <f t="shared" si="136"/>
        <v>471858.10743545974</v>
      </c>
      <c r="AB318" s="64">
        <f t="shared" si="136"/>
        <v>16208.024641726057</v>
      </c>
      <c r="AC318" s="64">
        <f t="shared" si="136"/>
        <v>485194.27954893134</v>
      </c>
      <c r="AD318" s="64">
        <f t="shared" si="136"/>
        <v>133204.78121503387</v>
      </c>
      <c r="AE318" s="64">
        <f t="shared" si="136"/>
        <v>0</v>
      </c>
      <c r="AF318" s="64">
        <f t="shared" si="137"/>
        <v>5910352.8560832758</v>
      </c>
      <c r="AG318" s="59" t="str">
        <f t="shared" si="138"/>
        <v>ok</v>
      </c>
    </row>
    <row r="319" spans="1:33">
      <c r="A319" s="61">
        <v>922</v>
      </c>
      <c r="B319" s="61" t="s">
        <v>278</v>
      </c>
      <c r="C319" s="45" t="s">
        <v>279</v>
      </c>
      <c r="D319" s="45" t="s">
        <v>664</v>
      </c>
      <c r="F319" s="80">
        <v>-4320827.16</v>
      </c>
      <c r="H319" s="64">
        <f t="shared" si="135"/>
        <v>-502632.7320488714</v>
      </c>
      <c r="I319" s="64">
        <f t="shared" si="135"/>
        <v>-526539.60061952646</v>
      </c>
      <c r="J319" s="64">
        <f t="shared" si="135"/>
        <v>-432813.77620685217</v>
      </c>
      <c r="K319" s="64">
        <f t="shared" si="135"/>
        <v>-1091980.1724110893</v>
      </c>
      <c r="L319" s="64">
        <f t="shared" si="135"/>
        <v>0</v>
      </c>
      <c r="M319" s="64">
        <f t="shared" si="135"/>
        <v>0</v>
      </c>
      <c r="N319" s="64">
        <f t="shared" si="135"/>
        <v>-259001.22262146263</v>
      </c>
      <c r="O319" s="64">
        <f t="shared" si="135"/>
        <v>0</v>
      </c>
      <c r="P319" s="64">
        <f t="shared" si="135"/>
        <v>0</v>
      </c>
      <c r="Q319" s="64">
        <f t="shared" si="135"/>
        <v>0</v>
      </c>
      <c r="R319" s="64">
        <f t="shared" si="136"/>
        <v>-162195.3174568869</v>
      </c>
      <c r="S319" s="64">
        <f t="shared" si="136"/>
        <v>0</v>
      </c>
      <c r="T319" s="64">
        <f t="shared" si="136"/>
        <v>-153398.70624832265</v>
      </c>
      <c r="U319" s="64">
        <f t="shared" si="136"/>
        <v>-231727.1820603291</v>
      </c>
      <c r="V319" s="64">
        <f t="shared" si="136"/>
        <v>-50216.720836895423</v>
      </c>
      <c r="W319" s="64">
        <f t="shared" si="136"/>
        <v>-74081.507188015035</v>
      </c>
      <c r="X319" s="64">
        <f t="shared" si="136"/>
        <v>-14002.783730948197</v>
      </c>
      <c r="Y319" s="64">
        <f t="shared" si="136"/>
        <v>-9792.8797660252239</v>
      </c>
      <c r="Z319" s="64">
        <f t="shared" si="136"/>
        <v>-3551.2535764823483</v>
      </c>
      <c r="AA319" s="64">
        <f t="shared" si="136"/>
        <v>-344956.95534909808</v>
      </c>
      <c r="AB319" s="64">
        <f t="shared" si="136"/>
        <v>-11849.051112039475</v>
      </c>
      <c r="AC319" s="64">
        <f t="shared" si="136"/>
        <v>-354706.50771618111</v>
      </c>
      <c r="AD319" s="64">
        <f t="shared" si="136"/>
        <v>-97380.791050974571</v>
      </c>
      <c r="AE319" s="64">
        <f t="shared" si="136"/>
        <v>0</v>
      </c>
      <c r="AF319" s="64">
        <f>SUM(H319:AE319)</f>
        <v>-4320827.16</v>
      </c>
      <c r="AG319" s="59" t="str">
        <f t="shared" si="138"/>
        <v>ok</v>
      </c>
    </row>
    <row r="320" spans="1:33">
      <c r="A320" s="61">
        <v>923</v>
      </c>
      <c r="B320" s="61" t="s">
        <v>1061</v>
      </c>
      <c r="C320" s="45" t="s">
        <v>1062</v>
      </c>
      <c r="D320" s="45" t="s">
        <v>664</v>
      </c>
      <c r="F320" s="80">
        <v>15873533.059545619</v>
      </c>
      <c r="H320" s="64">
        <f t="shared" si="135"/>
        <v>1846534.7012370415</v>
      </c>
      <c r="I320" s="64">
        <f t="shared" si="135"/>
        <v>1934361.9747090279</v>
      </c>
      <c r="J320" s="64">
        <f t="shared" si="135"/>
        <v>1590039.0205023261</v>
      </c>
      <c r="K320" s="64">
        <f t="shared" si="135"/>
        <v>4011635.4404548206</v>
      </c>
      <c r="L320" s="64">
        <f t="shared" si="135"/>
        <v>0</v>
      </c>
      <c r="M320" s="64">
        <f t="shared" si="135"/>
        <v>0</v>
      </c>
      <c r="N320" s="64">
        <f t="shared" si="135"/>
        <v>951499.40451321402</v>
      </c>
      <c r="O320" s="64">
        <f t="shared" si="135"/>
        <v>0</v>
      </c>
      <c r="P320" s="64">
        <f t="shared" si="135"/>
        <v>0</v>
      </c>
      <c r="Q320" s="64">
        <f t="shared" si="135"/>
        <v>0</v>
      </c>
      <c r="R320" s="64">
        <f t="shared" si="136"/>
        <v>595861.07900585188</v>
      </c>
      <c r="S320" s="64">
        <f t="shared" si="136"/>
        <v>0</v>
      </c>
      <c r="T320" s="64">
        <f t="shared" si="136"/>
        <v>563544.74380879349</v>
      </c>
      <c r="U320" s="64">
        <f t="shared" si="136"/>
        <v>851302.06532722793</v>
      </c>
      <c r="V320" s="64">
        <f t="shared" si="136"/>
        <v>184482.44950081105</v>
      </c>
      <c r="W320" s="64">
        <f t="shared" si="136"/>
        <v>272155.12444842228</v>
      </c>
      <c r="X320" s="64">
        <f t="shared" si="136"/>
        <v>51442.384119542927</v>
      </c>
      <c r="Y320" s="64">
        <f t="shared" si="136"/>
        <v>35976.352433906832</v>
      </c>
      <c r="Z320" s="64">
        <f t="shared" si="136"/>
        <v>13046.330936579785</v>
      </c>
      <c r="AA320" s="64">
        <f t="shared" si="136"/>
        <v>1267277.1745061215</v>
      </c>
      <c r="AB320" s="64">
        <f t="shared" si="136"/>
        <v>43530.161607113296</v>
      </c>
      <c r="AC320" s="64">
        <f t="shared" si="136"/>
        <v>1303094.3539682745</v>
      </c>
      <c r="AD320" s="64">
        <f t="shared" si="136"/>
        <v>357750.29846654384</v>
      </c>
      <c r="AE320" s="64">
        <f t="shared" si="136"/>
        <v>0</v>
      </c>
      <c r="AF320" s="64">
        <f t="shared" si="137"/>
        <v>15873533.059545616</v>
      </c>
      <c r="AG320" s="59" t="str">
        <f t="shared" si="138"/>
        <v>ok</v>
      </c>
    </row>
    <row r="321" spans="1:33">
      <c r="A321" s="61">
        <v>924</v>
      </c>
      <c r="B321" s="61" t="s">
        <v>1063</v>
      </c>
      <c r="C321" s="45" t="s">
        <v>1064</v>
      </c>
      <c r="D321" s="45" t="s">
        <v>977</v>
      </c>
      <c r="F321" s="80">
        <v>4610557.8865446681</v>
      </c>
      <c r="H321" s="64">
        <f t="shared" si="135"/>
        <v>891485.99720293563</v>
      </c>
      <c r="I321" s="64">
        <f t="shared" si="135"/>
        <v>933888.00807244994</v>
      </c>
      <c r="J321" s="64">
        <f t="shared" si="135"/>
        <v>767652.79354591982</v>
      </c>
      <c r="K321" s="64">
        <f t="shared" si="135"/>
        <v>0</v>
      </c>
      <c r="L321" s="64">
        <f t="shared" si="135"/>
        <v>0</v>
      </c>
      <c r="M321" s="64">
        <f t="shared" si="135"/>
        <v>0</v>
      </c>
      <c r="N321" s="64">
        <f t="shared" si="135"/>
        <v>491106.04908541584</v>
      </c>
      <c r="O321" s="64">
        <f t="shared" si="135"/>
        <v>0</v>
      </c>
      <c r="P321" s="64">
        <f t="shared" si="135"/>
        <v>0</v>
      </c>
      <c r="Q321" s="64">
        <f t="shared" si="135"/>
        <v>0</v>
      </c>
      <c r="R321" s="64">
        <f t="shared" si="136"/>
        <v>171024.25213284703</v>
      </c>
      <c r="S321" s="64">
        <f t="shared" si="136"/>
        <v>0</v>
      </c>
      <c r="T321" s="64">
        <f t="shared" si="136"/>
        <v>292469.0627119214</v>
      </c>
      <c r="U321" s="64">
        <f t="shared" si="136"/>
        <v>465426.98005243874</v>
      </c>
      <c r="V321" s="64">
        <f t="shared" si="136"/>
        <v>80400.844442781861</v>
      </c>
      <c r="W321" s="64">
        <f t="shared" si="136"/>
        <v>122181.63092638491</v>
      </c>
      <c r="X321" s="64">
        <f t="shared" si="136"/>
        <v>111138.22443663614</v>
      </c>
      <c r="Y321" s="64">
        <f t="shared" si="136"/>
        <v>77724.778888933492</v>
      </c>
      <c r="Z321" s="64">
        <f t="shared" si="136"/>
        <v>38599.578466549108</v>
      </c>
      <c r="AA321" s="64">
        <f t="shared" si="136"/>
        <v>44774.432860433313</v>
      </c>
      <c r="AB321" s="64">
        <f t="shared" si="136"/>
        <v>122685.25371902071</v>
      </c>
      <c r="AC321" s="64">
        <f t="shared" si="136"/>
        <v>0</v>
      </c>
      <c r="AD321" s="64">
        <f t="shared" si="136"/>
        <v>0</v>
      </c>
      <c r="AE321" s="64">
        <f t="shared" si="136"/>
        <v>0</v>
      </c>
      <c r="AF321" s="64">
        <f t="shared" si="137"/>
        <v>4610557.8865446681</v>
      </c>
      <c r="AG321" s="59" t="str">
        <f t="shared" si="138"/>
        <v>ok</v>
      </c>
    </row>
    <row r="322" spans="1:33">
      <c r="A322" s="61">
        <v>925</v>
      </c>
      <c r="B322" s="61" t="s">
        <v>1383</v>
      </c>
      <c r="C322" s="45" t="s">
        <v>1065</v>
      </c>
      <c r="D322" s="45" t="s">
        <v>664</v>
      </c>
      <c r="F322" s="80">
        <v>2835056.0199999954</v>
      </c>
      <c r="H322" s="64">
        <f t="shared" si="135"/>
        <v>329796.10155111999</v>
      </c>
      <c r="I322" s="64">
        <f t="shared" si="135"/>
        <v>345482.29059566959</v>
      </c>
      <c r="J322" s="64">
        <f t="shared" si="135"/>
        <v>283985.27789622743</v>
      </c>
      <c r="K322" s="64">
        <f t="shared" si="135"/>
        <v>716488.96076525585</v>
      </c>
      <c r="L322" s="64">
        <f t="shared" si="135"/>
        <v>0</v>
      </c>
      <c r="M322" s="64">
        <f t="shared" si="135"/>
        <v>0</v>
      </c>
      <c r="N322" s="64">
        <f t="shared" si="135"/>
        <v>169940.37210697791</v>
      </c>
      <c r="O322" s="64">
        <f t="shared" si="135"/>
        <v>0</v>
      </c>
      <c r="P322" s="64">
        <f t="shared" si="135"/>
        <v>0</v>
      </c>
      <c r="Q322" s="64">
        <f t="shared" si="135"/>
        <v>0</v>
      </c>
      <c r="R322" s="64">
        <f t="shared" si="136"/>
        <v>106422.40342980012</v>
      </c>
      <c r="S322" s="64">
        <f t="shared" si="136"/>
        <v>0</v>
      </c>
      <c r="T322" s="64">
        <f t="shared" si="136"/>
        <v>100650.61838981729</v>
      </c>
      <c r="U322" s="64">
        <f t="shared" si="136"/>
        <v>152044.85580436199</v>
      </c>
      <c r="V322" s="64">
        <f t="shared" si="136"/>
        <v>32949.065408415823</v>
      </c>
      <c r="W322" s="64">
        <f t="shared" si="136"/>
        <v>48607.642737566697</v>
      </c>
      <c r="X322" s="64">
        <f t="shared" si="136"/>
        <v>9187.7492070714252</v>
      </c>
      <c r="Y322" s="64">
        <f t="shared" si="136"/>
        <v>6425.4740367365112</v>
      </c>
      <c r="Z322" s="64">
        <f t="shared" si="136"/>
        <v>2330.1100594250097</v>
      </c>
      <c r="AA322" s="64">
        <f t="shared" si="136"/>
        <v>226339.13755146135</v>
      </c>
      <c r="AB322" s="64">
        <f t="shared" si="136"/>
        <v>7774.6048250805643</v>
      </c>
      <c r="AC322" s="64">
        <f t="shared" si="136"/>
        <v>232736.18286410096</v>
      </c>
      <c r="AD322" s="64">
        <f t="shared" si="136"/>
        <v>63895.172770906924</v>
      </c>
      <c r="AE322" s="64">
        <f t="shared" si="136"/>
        <v>0</v>
      </c>
      <c r="AF322" s="64">
        <f t="shared" si="137"/>
        <v>2835056.0199999949</v>
      </c>
      <c r="AG322" s="59" t="str">
        <f t="shared" si="138"/>
        <v>ok</v>
      </c>
    </row>
    <row r="323" spans="1:33">
      <c r="A323" s="61">
        <v>926</v>
      </c>
      <c r="B323" s="61" t="s">
        <v>1066</v>
      </c>
      <c r="C323" s="45" t="s">
        <v>1067</v>
      </c>
      <c r="D323" s="45" t="s">
        <v>664</v>
      </c>
      <c r="F323" s="80">
        <v>29197096.379999936</v>
      </c>
      <c r="H323" s="64">
        <f t="shared" si="135"/>
        <v>3396436.7881296091</v>
      </c>
      <c r="I323" s="64">
        <f t="shared" si="135"/>
        <v>3557982.5107318079</v>
      </c>
      <c r="J323" s="64">
        <f t="shared" si="135"/>
        <v>2924649.6262311004</v>
      </c>
      <c r="K323" s="64">
        <f t="shared" si="135"/>
        <v>7378830.2929792553</v>
      </c>
      <c r="L323" s="64">
        <f t="shared" si="135"/>
        <v>0</v>
      </c>
      <c r="M323" s="64">
        <f t="shared" si="135"/>
        <v>0</v>
      </c>
      <c r="N323" s="64">
        <f t="shared" si="135"/>
        <v>1750147.2239904788</v>
      </c>
      <c r="O323" s="64">
        <f t="shared" si="135"/>
        <v>0</v>
      </c>
      <c r="P323" s="64">
        <f t="shared" si="135"/>
        <v>0</v>
      </c>
      <c r="Q323" s="64">
        <f t="shared" si="135"/>
        <v>0</v>
      </c>
      <c r="R323" s="64">
        <f t="shared" si="136"/>
        <v>1096001.3304890937</v>
      </c>
      <c r="S323" s="64">
        <f t="shared" si="136"/>
        <v>0</v>
      </c>
      <c r="T323" s="64">
        <f t="shared" si="136"/>
        <v>1036560.0485855987</v>
      </c>
      <c r="U323" s="64">
        <f t="shared" si="136"/>
        <v>1565848.5326872508</v>
      </c>
      <c r="V323" s="64">
        <f t="shared" si="136"/>
        <v>339329.11080904858</v>
      </c>
      <c r="W323" s="64">
        <f t="shared" si="136"/>
        <v>500590.47151150869</v>
      </c>
      <c r="X323" s="64">
        <f t="shared" si="136"/>
        <v>94620.916560983111</v>
      </c>
      <c r="Y323" s="64">
        <f t="shared" si="136"/>
        <v>66173.360742897581</v>
      </c>
      <c r="Z323" s="64">
        <f t="shared" si="136"/>
        <v>23996.861967136541</v>
      </c>
      <c r="AA323" s="64">
        <f t="shared" si="136"/>
        <v>2330975.3200771287</v>
      </c>
      <c r="AB323" s="64">
        <f t="shared" si="136"/>
        <v>80067.513584542903</v>
      </c>
      <c r="AC323" s="64">
        <f t="shared" si="136"/>
        <v>2396855.9048778359</v>
      </c>
      <c r="AD323" s="64">
        <f t="shared" si="136"/>
        <v>658030.5660446597</v>
      </c>
      <c r="AE323" s="64">
        <f t="shared" si="136"/>
        <v>0</v>
      </c>
      <c r="AF323" s="64">
        <f t="shared" si="137"/>
        <v>29197096.379999928</v>
      </c>
      <c r="AG323" s="59" t="str">
        <f t="shared" si="138"/>
        <v>ok</v>
      </c>
    </row>
    <row r="324" spans="1:33">
      <c r="A324" s="61">
        <v>927</v>
      </c>
      <c r="B324" s="61" t="s">
        <v>598</v>
      </c>
      <c r="C324" s="45" t="s">
        <v>597</v>
      </c>
      <c r="D324" s="45" t="s">
        <v>977</v>
      </c>
      <c r="F324" s="80">
        <v>0</v>
      </c>
      <c r="H324" s="64">
        <f t="shared" si="135"/>
        <v>0</v>
      </c>
      <c r="I324" s="64">
        <f t="shared" si="135"/>
        <v>0</v>
      </c>
      <c r="J324" s="64">
        <f t="shared" si="135"/>
        <v>0</v>
      </c>
      <c r="K324" s="64">
        <f t="shared" si="135"/>
        <v>0</v>
      </c>
      <c r="L324" s="64">
        <f t="shared" si="135"/>
        <v>0</v>
      </c>
      <c r="M324" s="64">
        <f t="shared" si="135"/>
        <v>0</v>
      </c>
      <c r="N324" s="64">
        <f t="shared" si="135"/>
        <v>0</v>
      </c>
      <c r="O324" s="64">
        <f t="shared" si="135"/>
        <v>0</v>
      </c>
      <c r="P324" s="64">
        <f t="shared" si="135"/>
        <v>0</v>
      </c>
      <c r="Q324" s="64">
        <f t="shared" si="135"/>
        <v>0</v>
      </c>
      <c r="R324" s="64">
        <f t="shared" si="136"/>
        <v>0</v>
      </c>
      <c r="S324" s="64">
        <f t="shared" si="136"/>
        <v>0</v>
      </c>
      <c r="T324" s="64">
        <f t="shared" si="136"/>
        <v>0</v>
      </c>
      <c r="U324" s="64">
        <f t="shared" si="136"/>
        <v>0</v>
      </c>
      <c r="V324" s="64">
        <f t="shared" si="136"/>
        <v>0</v>
      </c>
      <c r="W324" s="64">
        <f t="shared" si="136"/>
        <v>0</v>
      </c>
      <c r="X324" s="64">
        <f t="shared" si="136"/>
        <v>0</v>
      </c>
      <c r="Y324" s="64">
        <f t="shared" si="136"/>
        <v>0</v>
      </c>
      <c r="Z324" s="64">
        <f t="shared" si="136"/>
        <v>0</v>
      </c>
      <c r="AA324" s="64">
        <f t="shared" si="136"/>
        <v>0</v>
      </c>
      <c r="AB324" s="64">
        <f t="shared" si="136"/>
        <v>0</v>
      </c>
      <c r="AC324" s="64">
        <f t="shared" si="136"/>
        <v>0</v>
      </c>
      <c r="AD324" s="64">
        <f t="shared" si="136"/>
        <v>0</v>
      </c>
      <c r="AE324" s="64">
        <f t="shared" si="136"/>
        <v>0</v>
      </c>
      <c r="AF324" s="64">
        <f>SUM(H324:AE324)</f>
        <v>0</v>
      </c>
      <c r="AG324" s="59" t="str">
        <f t="shared" si="138"/>
        <v>ok</v>
      </c>
    </row>
    <row r="325" spans="1:33">
      <c r="A325" s="61">
        <v>928</v>
      </c>
      <c r="B325" s="61" t="s">
        <v>896</v>
      </c>
      <c r="C325" s="45" t="s">
        <v>1068</v>
      </c>
      <c r="D325" s="45" t="s">
        <v>977</v>
      </c>
      <c r="F325" s="80">
        <v>1404079.9999999988</v>
      </c>
      <c r="H325" s="64">
        <f t="shared" si="135"/>
        <v>271489.41402637563</v>
      </c>
      <c r="I325" s="64">
        <f t="shared" si="135"/>
        <v>284402.34493120504</v>
      </c>
      <c r="J325" s="64">
        <f t="shared" si="135"/>
        <v>233777.76852287477</v>
      </c>
      <c r="K325" s="64">
        <f t="shared" si="135"/>
        <v>0</v>
      </c>
      <c r="L325" s="64">
        <f t="shared" si="135"/>
        <v>0</v>
      </c>
      <c r="M325" s="64">
        <f t="shared" si="135"/>
        <v>0</v>
      </c>
      <c r="N325" s="64">
        <f t="shared" si="135"/>
        <v>149559.3805279446</v>
      </c>
      <c r="O325" s="64">
        <f t="shared" si="135"/>
        <v>0</v>
      </c>
      <c r="P325" s="64">
        <f t="shared" si="135"/>
        <v>0</v>
      </c>
      <c r="Q325" s="64">
        <f t="shared" si="135"/>
        <v>0</v>
      </c>
      <c r="R325" s="64">
        <f t="shared" si="136"/>
        <v>52083.009875113348</v>
      </c>
      <c r="S325" s="64">
        <f t="shared" si="136"/>
        <v>0</v>
      </c>
      <c r="T325" s="64">
        <f t="shared" si="136"/>
        <v>89067.304147939314</v>
      </c>
      <c r="U325" s="64">
        <f t="shared" si="136"/>
        <v>141739.18433150474</v>
      </c>
      <c r="V325" s="64">
        <f t="shared" si="136"/>
        <v>24484.936626579187</v>
      </c>
      <c r="W325" s="64">
        <f t="shared" si="136"/>
        <v>37208.682457230083</v>
      </c>
      <c r="X325" s="64">
        <f t="shared" si="136"/>
        <v>33845.569670081648</v>
      </c>
      <c r="Y325" s="64">
        <f t="shared" si="136"/>
        <v>23669.978824224519</v>
      </c>
      <c r="Z325" s="64">
        <f t="shared" si="136"/>
        <v>11754.954056965436</v>
      </c>
      <c r="AA325" s="64">
        <f t="shared" si="136"/>
        <v>13635.418367513883</v>
      </c>
      <c r="AB325" s="64">
        <f t="shared" si="136"/>
        <v>37362.053634446558</v>
      </c>
      <c r="AC325" s="64">
        <f t="shared" si="136"/>
        <v>0</v>
      </c>
      <c r="AD325" s="64">
        <f t="shared" si="136"/>
        <v>0</v>
      </c>
      <c r="AE325" s="64">
        <f t="shared" si="136"/>
        <v>0</v>
      </c>
      <c r="AF325" s="64">
        <f t="shared" si="137"/>
        <v>1404079.9999999986</v>
      </c>
      <c r="AG325" s="59" t="str">
        <f t="shared" si="138"/>
        <v>ok</v>
      </c>
    </row>
    <row r="326" spans="1:33">
      <c r="A326" s="61">
        <v>929</v>
      </c>
      <c r="B326" s="61" t="s">
        <v>1167</v>
      </c>
      <c r="C326" s="45" t="s">
        <v>1168</v>
      </c>
      <c r="D326" s="45" t="s">
        <v>664</v>
      </c>
      <c r="F326" s="80">
        <v>-229428</v>
      </c>
      <c r="H326" s="64">
        <f t="shared" si="135"/>
        <v>-26688.876499403523</v>
      </c>
      <c r="I326" s="64">
        <f t="shared" si="135"/>
        <v>-27958.287387486409</v>
      </c>
      <c r="J326" s="64">
        <f t="shared" si="135"/>
        <v>-22981.617956591832</v>
      </c>
      <c r="K326" s="64">
        <f t="shared" si="135"/>
        <v>-57982.145019642812</v>
      </c>
      <c r="L326" s="64">
        <f t="shared" si="135"/>
        <v>0</v>
      </c>
      <c r="M326" s="64">
        <f t="shared" si="135"/>
        <v>0</v>
      </c>
      <c r="N326" s="64">
        <f t="shared" si="135"/>
        <v>-13752.490044891527</v>
      </c>
      <c r="O326" s="64">
        <f t="shared" si="135"/>
        <v>0</v>
      </c>
      <c r="P326" s="64">
        <f t="shared" si="135"/>
        <v>0</v>
      </c>
      <c r="Q326" s="64">
        <f t="shared" si="135"/>
        <v>0</v>
      </c>
      <c r="R326" s="64">
        <f t="shared" si="136"/>
        <v>-8612.2739733701001</v>
      </c>
      <c r="S326" s="64">
        <f t="shared" si="136"/>
        <v>0</v>
      </c>
      <c r="T326" s="64">
        <f t="shared" si="136"/>
        <v>-8145.1900466993375</v>
      </c>
      <c r="U326" s="64">
        <f t="shared" si="136"/>
        <v>-12304.288497792442</v>
      </c>
      <c r="V326" s="64">
        <f t="shared" si="136"/>
        <v>-2666.4158045533213</v>
      </c>
      <c r="W326" s="64">
        <f t="shared" si="136"/>
        <v>-3933.5922039362281</v>
      </c>
      <c r="X326" s="64">
        <f t="shared" si="136"/>
        <v>-743.5221421409467</v>
      </c>
      <c r="Y326" s="64">
        <f t="shared" si="136"/>
        <v>-519.98396042290085</v>
      </c>
      <c r="Z326" s="64">
        <f t="shared" si="136"/>
        <v>-188.56505372114728</v>
      </c>
      <c r="AA326" s="64">
        <f t="shared" si="136"/>
        <v>-18316.581853700638</v>
      </c>
      <c r="AB326" s="64">
        <f t="shared" si="136"/>
        <v>-629.16288892541411</v>
      </c>
      <c r="AC326" s="64">
        <f t="shared" si="136"/>
        <v>-18834.265208680088</v>
      </c>
      <c r="AD326" s="64">
        <f t="shared" si="136"/>
        <v>-5170.7414580413333</v>
      </c>
      <c r="AE326" s="64">
        <f t="shared" si="136"/>
        <v>0</v>
      </c>
      <c r="AF326" s="64">
        <f t="shared" si="137"/>
        <v>-229427.99999999991</v>
      </c>
      <c r="AG326" s="59" t="str">
        <f t="shared" si="138"/>
        <v>ok</v>
      </c>
    </row>
    <row r="327" spans="1:33">
      <c r="A327" s="61">
        <v>930</v>
      </c>
      <c r="B327" s="61" t="s">
        <v>1069</v>
      </c>
      <c r="C327" s="45" t="s">
        <v>1070</v>
      </c>
      <c r="D327" s="45" t="s">
        <v>664</v>
      </c>
      <c r="F327" s="80">
        <f>34017+3682668</f>
        <v>3716685</v>
      </c>
      <c r="H327" s="64">
        <f t="shared" si="135"/>
        <v>432354.14575459657</v>
      </c>
      <c r="I327" s="64">
        <f t="shared" si="135"/>
        <v>452918.3332407549</v>
      </c>
      <c r="J327" s="64">
        <f t="shared" si="135"/>
        <v>372297.34267393476</v>
      </c>
      <c r="K327" s="64">
        <f t="shared" si="135"/>
        <v>939298.46689301718</v>
      </c>
      <c r="L327" s="64">
        <f t="shared" si="135"/>
        <v>0</v>
      </c>
      <c r="M327" s="64">
        <f t="shared" si="135"/>
        <v>0</v>
      </c>
      <c r="N327" s="64">
        <f t="shared" si="135"/>
        <v>222787.42552128626</v>
      </c>
      <c r="O327" s="64">
        <f t="shared" si="135"/>
        <v>0</v>
      </c>
      <c r="P327" s="64">
        <f t="shared" si="135"/>
        <v>0</v>
      </c>
      <c r="Q327" s="64">
        <f t="shared" si="135"/>
        <v>0</v>
      </c>
      <c r="R327" s="64">
        <f t="shared" si="136"/>
        <v>139517.01402058618</v>
      </c>
      <c r="S327" s="64">
        <f t="shared" si="136"/>
        <v>0</v>
      </c>
      <c r="T327" s="64">
        <f t="shared" si="136"/>
        <v>131950.35335145111</v>
      </c>
      <c r="U327" s="64">
        <f t="shared" si="136"/>
        <v>199326.86723249865</v>
      </c>
      <c r="V327" s="64">
        <f t="shared" si="136"/>
        <v>43195.371203803639</v>
      </c>
      <c r="W327" s="64">
        <f t="shared" si="136"/>
        <v>63723.360446356681</v>
      </c>
      <c r="X327" s="64">
        <f t="shared" si="136"/>
        <v>12044.90120152346</v>
      </c>
      <c r="Y327" s="64">
        <f t="shared" si="136"/>
        <v>8423.6300100440621</v>
      </c>
      <c r="Z327" s="64">
        <f t="shared" si="136"/>
        <v>3054.7139263280083</v>
      </c>
      <c r="AA327" s="64">
        <f t="shared" si="136"/>
        <v>296724.74600711925</v>
      </c>
      <c r="AB327" s="64">
        <f t="shared" si="136"/>
        <v>10192.30552428541</v>
      </c>
      <c r="AC327" s="64">
        <f t="shared" si="136"/>
        <v>305111.10669631936</v>
      </c>
      <c r="AD327" s="64">
        <f t="shared" si="136"/>
        <v>83764.916296094423</v>
      </c>
      <c r="AE327" s="64">
        <f t="shared" si="136"/>
        <v>0</v>
      </c>
      <c r="AF327" s="64">
        <f t="shared" si="137"/>
        <v>3716685</v>
      </c>
      <c r="AG327" s="59" t="str">
        <f t="shared" si="138"/>
        <v>ok</v>
      </c>
    </row>
    <row r="328" spans="1:33">
      <c r="A328" s="61">
        <v>931</v>
      </c>
      <c r="B328" s="61" t="s">
        <v>1071</v>
      </c>
      <c r="C328" s="45" t="s">
        <v>1072</v>
      </c>
      <c r="D328" s="45" t="s">
        <v>967</v>
      </c>
      <c r="F328" s="80">
        <v>1123824.78</v>
      </c>
      <c r="H328" s="64">
        <f t="shared" si="135"/>
        <v>216717.3194121402</v>
      </c>
      <c r="I328" s="64">
        <f t="shared" si="135"/>
        <v>227025.10906016288</v>
      </c>
      <c r="J328" s="64">
        <f t="shared" si="135"/>
        <v>186613.87411410143</v>
      </c>
      <c r="K328" s="64">
        <f t="shared" si="135"/>
        <v>0</v>
      </c>
      <c r="L328" s="64">
        <f t="shared" si="135"/>
        <v>0</v>
      </c>
      <c r="M328" s="64">
        <f t="shared" si="135"/>
        <v>0</v>
      </c>
      <c r="N328" s="64">
        <f t="shared" si="135"/>
        <v>120907.46423681639</v>
      </c>
      <c r="O328" s="64">
        <f t="shared" si="135"/>
        <v>0</v>
      </c>
      <c r="P328" s="64">
        <f t="shared" si="135"/>
        <v>0</v>
      </c>
      <c r="Q328" s="64">
        <f t="shared" si="135"/>
        <v>0</v>
      </c>
      <c r="R328" s="64">
        <f t="shared" si="136"/>
        <v>41742.612339004932</v>
      </c>
      <c r="S328" s="64">
        <f t="shared" si="136"/>
        <v>0</v>
      </c>
      <c r="T328" s="64">
        <f t="shared" si="136"/>
        <v>71384.160747287926</v>
      </c>
      <c r="U328" s="64">
        <f t="shared" si="136"/>
        <v>113598.7309294092</v>
      </c>
      <c r="V328" s="64">
        <f t="shared" si="136"/>
        <v>19623.774052212906</v>
      </c>
      <c r="W328" s="64">
        <f t="shared" si="136"/>
        <v>29821.38726585851</v>
      </c>
      <c r="X328" s="64">
        <f t="shared" si="136"/>
        <v>27125.976350419711</v>
      </c>
      <c r="Y328" s="64">
        <f t="shared" si="136"/>
        <v>18970.615417604258</v>
      </c>
      <c r="Z328" s="64">
        <f t="shared" si="136"/>
        <v>9421.1623222102353</v>
      </c>
      <c r="AA328" s="64">
        <f t="shared" si="136"/>
        <v>10928.28514250763</v>
      </c>
      <c r="AB328" s="64">
        <f t="shared" si="136"/>
        <v>29944.30861026383</v>
      </c>
      <c r="AC328" s="64">
        <f t="shared" si="136"/>
        <v>0</v>
      </c>
      <c r="AD328" s="64">
        <f t="shared" si="136"/>
        <v>0</v>
      </c>
      <c r="AE328" s="64">
        <f t="shared" si="136"/>
        <v>0</v>
      </c>
      <c r="AF328" s="64">
        <f t="shared" si="137"/>
        <v>1123824.78</v>
      </c>
      <c r="AG328" s="59" t="str">
        <f t="shared" si="138"/>
        <v>ok</v>
      </c>
    </row>
    <row r="329" spans="1:33">
      <c r="A329" s="61">
        <v>935</v>
      </c>
      <c r="B329" s="61" t="s">
        <v>1073</v>
      </c>
      <c r="C329" s="45" t="s">
        <v>282</v>
      </c>
      <c r="D329" s="45" t="s">
        <v>967</v>
      </c>
      <c r="F329" s="80">
        <v>617458.73851252708</v>
      </c>
      <c r="H329" s="64">
        <f t="shared" si="135"/>
        <v>119070.16559826744</v>
      </c>
      <c r="I329" s="64">
        <f t="shared" si="135"/>
        <v>124733.53492966853</v>
      </c>
      <c r="J329" s="64">
        <f t="shared" si="135"/>
        <v>102530.54510813385</v>
      </c>
      <c r="K329" s="64">
        <f t="shared" si="135"/>
        <v>0</v>
      </c>
      <c r="L329" s="64">
        <f t="shared" si="135"/>
        <v>0</v>
      </c>
      <c r="M329" s="64">
        <f t="shared" si="135"/>
        <v>0</v>
      </c>
      <c r="N329" s="64">
        <f t="shared" si="135"/>
        <v>66429.724342270798</v>
      </c>
      <c r="O329" s="64">
        <f t="shared" si="135"/>
        <v>0</v>
      </c>
      <c r="P329" s="64">
        <f t="shared" si="135"/>
        <v>0</v>
      </c>
      <c r="Q329" s="64">
        <f t="shared" si="135"/>
        <v>0</v>
      </c>
      <c r="R329" s="64">
        <f t="shared" si="136"/>
        <v>22934.483396121086</v>
      </c>
      <c r="S329" s="64">
        <f t="shared" si="136"/>
        <v>0</v>
      </c>
      <c r="T329" s="64">
        <f t="shared" si="136"/>
        <v>39220.325649694118</v>
      </c>
      <c r="U329" s="64">
        <f t="shared" si="136"/>
        <v>62414.115033392474</v>
      </c>
      <c r="V329" s="64">
        <f t="shared" si="136"/>
        <v>10781.814911693122</v>
      </c>
      <c r="W329" s="64">
        <f t="shared" si="136"/>
        <v>16384.650427329547</v>
      </c>
      <c r="X329" s="64">
        <f t="shared" si="136"/>
        <v>14903.721146147711</v>
      </c>
      <c r="Y329" s="64">
        <f t="shared" si="136"/>
        <v>10422.952468231055</v>
      </c>
      <c r="Z329" s="64">
        <f t="shared" si="136"/>
        <v>5176.233080386145</v>
      </c>
      <c r="AA329" s="64">
        <f t="shared" si="136"/>
        <v>6004.2857910625116</v>
      </c>
      <c r="AB329" s="64">
        <f t="shared" si="136"/>
        <v>16452.186630128683</v>
      </c>
      <c r="AC329" s="64">
        <f t="shared" si="136"/>
        <v>0</v>
      </c>
      <c r="AD329" s="64">
        <f t="shared" si="136"/>
        <v>0</v>
      </c>
      <c r="AE329" s="64">
        <f t="shared" si="136"/>
        <v>0</v>
      </c>
      <c r="AF329" s="64"/>
      <c r="AG329" s="59"/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1074</v>
      </c>
      <c r="B331" s="61"/>
      <c r="C331" s="45" t="s">
        <v>1075</v>
      </c>
      <c r="F331" s="77">
        <f t="shared" ref="F331:M331" si="139">SUM(F317:F330)</f>
        <v>88069224.642714441</v>
      </c>
      <c r="G331" s="63">
        <f t="shared" si="139"/>
        <v>0</v>
      </c>
      <c r="H331" s="63">
        <f t="shared" si="139"/>
        <v>10841440.474255389</v>
      </c>
      <c r="I331" s="63">
        <f t="shared" si="139"/>
        <v>11357095.098414253</v>
      </c>
      <c r="J331" s="63">
        <f t="shared" si="139"/>
        <v>9335493.8745374903</v>
      </c>
      <c r="K331" s="63">
        <f t="shared" si="139"/>
        <v>20297163.359888032</v>
      </c>
      <c r="L331" s="63">
        <f t="shared" si="139"/>
        <v>0</v>
      </c>
      <c r="M331" s="63">
        <f t="shared" si="139"/>
        <v>0</v>
      </c>
      <c r="N331" s="63">
        <f>SUM(N317:N330)</f>
        <v>5642183.5518545788</v>
      </c>
      <c r="O331" s="63">
        <f>SUM(O317:O330)</f>
        <v>0</v>
      </c>
      <c r="P331" s="63">
        <f>SUM(P317:P330)</f>
        <v>0</v>
      </c>
      <c r="Q331" s="63">
        <f t="shared" ref="Q331:AB331" si="140">SUM(Q317:Q330)</f>
        <v>0</v>
      </c>
      <c r="R331" s="63">
        <f t="shared" si="140"/>
        <v>3302587.1332938303</v>
      </c>
      <c r="S331" s="63">
        <f t="shared" si="140"/>
        <v>0</v>
      </c>
      <c r="T331" s="63">
        <f t="shared" si="140"/>
        <v>3343436.7637338173</v>
      </c>
      <c r="U331" s="63">
        <f t="shared" si="140"/>
        <v>5090404.1670269342</v>
      </c>
      <c r="V331" s="63">
        <f t="shared" si="140"/>
        <v>1068693.8364661904</v>
      </c>
      <c r="W331" s="63">
        <f t="shared" si="140"/>
        <v>1582585.1383565369</v>
      </c>
      <c r="X331" s="63">
        <f t="shared" si="140"/>
        <v>447290.00216728932</v>
      </c>
      <c r="Y331" s="63">
        <f t="shared" si="140"/>
        <v>312813.3159757668</v>
      </c>
      <c r="Z331" s="63">
        <f t="shared" si="140"/>
        <v>130960.79493245554</v>
      </c>
      <c r="AA331" s="63">
        <f t="shared" si="140"/>
        <v>6487224.1135576386</v>
      </c>
      <c r="AB331" s="63">
        <f t="shared" si="140"/>
        <v>426687.84379261173</v>
      </c>
      <c r="AC331" s="63">
        <f>SUM(AC317:AC330)</f>
        <v>6593101.3344630199</v>
      </c>
      <c r="AD331" s="63">
        <f>SUM(AD317:AD330)</f>
        <v>1810063.8399986033</v>
      </c>
      <c r="AE331" s="63">
        <f>SUM(AE317:AE330)</f>
        <v>0</v>
      </c>
      <c r="AF331" s="64">
        <f>SUM(H331:AE331)</f>
        <v>88069224.642714441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1076</v>
      </c>
      <c r="B333" s="61"/>
      <c r="C333" s="45" t="s">
        <v>1077</v>
      </c>
      <c r="F333" s="77">
        <f>F279+F291+F306+F331</f>
        <v>685621902.81823492</v>
      </c>
      <c r="G333" s="63"/>
      <c r="H333" s="63">
        <f t="shared" ref="H333:M333" si="141">H279+H291+H306+H331</f>
        <v>33223399.69324439</v>
      </c>
      <c r="I333" s="63">
        <f t="shared" si="141"/>
        <v>34803614.031254336</v>
      </c>
      <c r="J333" s="63">
        <f t="shared" si="141"/>
        <v>28608453.375186369</v>
      </c>
      <c r="K333" s="63">
        <f t="shared" si="141"/>
        <v>465540988.35893065</v>
      </c>
      <c r="L333" s="63">
        <f t="shared" si="141"/>
        <v>0</v>
      </c>
      <c r="M333" s="63">
        <f t="shared" si="141"/>
        <v>0</v>
      </c>
      <c r="N333" s="63">
        <f>N279+N291+N306+N331</f>
        <v>22151694.551854581</v>
      </c>
      <c r="O333" s="63">
        <f>O279+O291+O306+O331</f>
        <v>0</v>
      </c>
      <c r="P333" s="63">
        <f>P279+P291+P306+P331</f>
        <v>0</v>
      </c>
      <c r="Q333" s="63">
        <f t="shared" ref="Q333:AB333" si="142">Q279+Q291+Q306+Q331</f>
        <v>0</v>
      </c>
      <c r="R333" s="63">
        <f t="shared" si="142"/>
        <v>8189264.474252278</v>
      </c>
      <c r="S333" s="63">
        <f t="shared" si="142"/>
        <v>0</v>
      </c>
      <c r="T333" s="63">
        <f t="shared" si="142"/>
        <v>14230157.677818516</v>
      </c>
      <c r="U333" s="63">
        <f t="shared" si="142"/>
        <v>21300716.352424528</v>
      </c>
      <c r="V333" s="63">
        <f t="shared" si="142"/>
        <v>4785490.0157958288</v>
      </c>
      <c r="W333" s="63">
        <f t="shared" si="142"/>
        <v>7030140.6081471965</v>
      </c>
      <c r="X333" s="63">
        <f t="shared" si="142"/>
        <v>1119996.1920663603</v>
      </c>
      <c r="Y333" s="63">
        <f t="shared" si="142"/>
        <v>783271.9734913212</v>
      </c>
      <c r="Z333" s="63">
        <f t="shared" si="142"/>
        <v>295808.63373702235</v>
      </c>
      <c r="AA333" s="63">
        <f t="shared" si="142"/>
        <v>17171208.623644177</v>
      </c>
      <c r="AB333" s="63">
        <f t="shared" si="142"/>
        <v>1306144.5579258415</v>
      </c>
      <c r="AC333" s="63">
        <f>AC279+AC291+AC306+AC331</f>
        <v>20585101.39846275</v>
      </c>
      <c r="AD333" s="63">
        <f>AD279+AD291+AD306+AD331</f>
        <v>4496452.299998587</v>
      </c>
      <c r="AE333" s="63">
        <f>AE279+AE291+AE306+AE331</f>
        <v>0</v>
      </c>
      <c r="AF333" s="64">
        <f>SUM(H333:AE333)</f>
        <v>685621902.81823468</v>
      </c>
      <c r="AG333" s="59" t="str">
        <f>IF(ABS(AF333-F333)&lt;1,"ok","err")</f>
        <v>ok</v>
      </c>
    </row>
    <row r="334" spans="1:33">
      <c r="A334" s="61"/>
      <c r="B334" s="61"/>
      <c r="F334" s="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59"/>
    </row>
    <row r="335" spans="1:33">
      <c r="A335" s="61" t="s">
        <v>19</v>
      </c>
      <c r="B335" s="61"/>
      <c r="C335" s="45" t="s">
        <v>986</v>
      </c>
      <c r="F335" s="81">
        <f>F333-F213-F214-F215-F216</f>
        <v>631684225.19623494</v>
      </c>
      <c r="G335" s="65">
        <f>G333-G213</f>
        <v>0</v>
      </c>
      <c r="H335" s="65">
        <f t="shared" ref="H335:M335" si="143">H333-H213-H214-H215-H216</f>
        <v>27648046.881705813</v>
      </c>
      <c r="I335" s="65">
        <f t="shared" si="143"/>
        <v>28963079.072987746</v>
      </c>
      <c r="J335" s="65">
        <f t="shared" si="143"/>
        <v>23807553.333895631</v>
      </c>
      <c r="K335" s="65">
        <f t="shared" si="143"/>
        <v>427820098.54802656</v>
      </c>
      <c r="L335" s="65">
        <f t="shared" si="143"/>
        <v>0</v>
      </c>
      <c r="M335" s="65">
        <f t="shared" si="143"/>
        <v>0</v>
      </c>
      <c r="N335" s="65">
        <f>N333-N213-N214-N215-N216</f>
        <v>22151694.551854581</v>
      </c>
      <c r="O335" s="65">
        <f>O333-O213-O214-O215-O216</f>
        <v>0</v>
      </c>
      <c r="P335" s="65">
        <f>P333-P213-P214-P215-P216</f>
        <v>0</v>
      </c>
      <c r="Q335" s="65">
        <f t="shared" ref="Q335:AB335" si="144">Q333-Q213-Q214-Q215-Q216</f>
        <v>0</v>
      </c>
      <c r="R335" s="65">
        <f t="shared" si="144"/>
        <v>8189264.474252278</v>
      </c>
      <c r="S335" s="65">
        <f t="shared" si="144"/>
        <v>0</v>
      </c>
      <c r="T335" s="65">
        <f t="shared" si="144"/>
        <v>14230157.677818516</v>
      </c>
      <c r="U335" s="65">
        <f t="shared" si="144"/>
        <v>21300716.352424528</v>
      </c>
      <c r="V335" s="65">
        <f t="shared" si="144"/>
        <v>4785490.0157958288</v>
      </c>
      <c r="W335" s="65">
        <f t="shared" si="144"/>
        <v>7030140.6081471965</v>
      </c>
      <c r="X335" s="65">
        <f t="shared" si="144"/>
        <v>1119996.1920663603</v>
      </c>
      <c r="Y335" s="65">
        <f t="shared" si="144"/>
        <v>783271.9734913212</v>
      </c>
      <c r="Z335" s="65">
        <f t="shared" si="144"/>
        <v>295808.63373702235</v>
      </c>
      <c r="AA335" s="65">
        <f t="shared" si="144"/>
        <v>17171208.623644177</v>
      </c>
      <c r="AB335" s="65">
        <f t="shared" si="144"/>
        <v>1306144.5579258415</v>
      </c>
      <c r="AC335" s="65">
        <f>AC333-AC213-AC214-AC215-AC216</f>
        <v>20585101.39846275</v>
      </c>
      <c r="AD335" s="65">
        <f>AD333-AD213-AD214-AD215-AD216</f>
        <v>4496452.299998587</v>
      </c>
      <c r="AE335" s="65">
        <f>AE333-AE213-AE214-AE215-AE216</f>
        <v>0</v>
      </c>
      <c r="AF335" s="64">
        <f>SUM(H335:AE335)</f>
        <v>631684225.19623458</v>
      </c>
      <c r="AG335" s="59" t="str">
        <f>IF(ABS(AF335-F335)&lt;1,"ok","err")</f>
        <v>ok</v>
      </c>
    </row>
    <row r="336" spans="1:33">
      <c r="A336" s="61"/>
      <c r="B336" s="61"/>
      <c r="W336" s="45"/>
      <c r="AG336" s="59"/>
    </row>
    <row r="337" spans="1:33">
      <c r="A337" s="61"/>
      <c r="B337" s="61"/>
      <c r="W337" s="45"/>
      <c r="AA337" s="65">
        <f>R335+T335+U335+V335+W335+X335+Y335+Z335+AA335</f>
        <v>74906054.551377222</v>
      </c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H339" s="65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W347" s="45"/>
      <c r="AG347" s="59"/>
    </row>
    <row r="348" spans="1:33">
      <c r="A348" s="61"/>
      <c r="B348" s="61"/>
      <c r="W348" s="45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>
      <c r="A359" s="61"/>
      <c r="B359" s="61"/>
      <c r="AG359" s="59"/>
    </row>
    <row r="360" spans="1:33">
      <c r="A360" s="61"/>
      <c r="B360" s="61"/>
      <c r="AG360" s="59"/>
    </row>
    <row r="361" spans="1:33" ht="15">
      <c r="A361" s="60" t="s">
        <v>1078</v>
      </c>
      <c r="B361" s="61"/>
      <c r="W361" s="45"/>
      <c r="AG361" s="59"/>
    </row>
    <row r="362" spans="1:33" ht="15">
      <c r="A362" s="60"/>
      <c r="B362" s="61"/>
      <c r="W362" s="45"/>
      <c r="AG362" s="59"/>
    </row>
    <row r="363" spans="1:33" ht="15">
      <c r="A363" s="66" t="s">
        <v>217</v>
      </c>
      <c r="B363" s="61"/>
      <c r="W363" s="45"/>
      <c r="AG363" s="59"/>
    </row>
    <row r="364" spans="1:33">
      <c r="A364" s="61">
        <v>500</v>
      </c>
      <c r="B364" s="61" t="s">
        <v>209</v>
      </c>
      <c r="C364" s="45" t="s">
        <v>283</v>
      </c>
      <c r="D364" s="45" t="s">
        <v>643</v>
      </c>
      <c r="F364" s="77">
        <v>3138068</v>
      </c>
      <c r="H364" s="64">
        <f t="shared" ref="H364:Q370" si="145">IF(VLOOKUP($D364,$C$6:$AE$653,H$2,)=0,0,((VLOOKUP($D364,$C$6:$AE$653,H$2,)/VLOOKUP($D364,$C$6:$AE$653,4,))*$F364))</f>
        <v>912471.84662882134</v>
      </c>
      <c r="I364" s="64">
        <f t="shared" si="145"/>
        <v>955872.01363119064</v>
      </c>
      <c r="J364" s="64">
        <f t="shared" si="145"/>
        <v>785723.57198468409</v>
      </c>
      <c r="K364" s="64">
        <f t="shared" si="145"/>
        <v>484000.56775530416</v>
      </c>
      <c r="L364" s="64">
        <f t="shared" si="145"/>
        <v>0</v>
      </c>
      <c r="M364" s="64">
        <f t="shared" si="145"/>
        <v>0</v>
      </c>
      <c r="N364" s="64">
        <f t="shared" si="145"/>
        <v>0</v>
      </c>
      <c r="O364" s="64">
        <f t="shared" si="145"/>
        <v>0</v>
      </c>
      <c r="P364" s="64">
        <f t="shared" si="145"/>
        <v>0</v>
      </c>
      <c r="Q364" s="64">
        <f t="shared" si="145"/>
        <v>0</v>
      </c>
      <c r="R364" s="64">
        <f t="shared" ref="R364:AE370" si="146">IF(VLOOKUP($D364,$C$6:$AE$653,R$2,)=0,0,((VLOOKUP($D364,$C$6:$AE$653,R$2,)/VLOOKUP($D364,$C$6:$AE$653,4,))*$F364))</f>
        <v>0</v>
      </c>
      <c r="S364" s="64">
        <f t="shared" si="146"/>
        <v>0</v>
      </c>
      <c r="T364" s="64">
        <f t="shared" si="146"/>
        <v>0</v>
      </c>
      <c r="U364" s="64">
        <f t="shared" si="146"/>
        <v>0</v>
      </c>
      <c r="V364" s="64">
        <f t="shared" si="146"/>
        <v>0</v>
      </c>
      <c r="W364" s="64">
        <f t="shared" si="146"/>
        <v>0</v>
      </c>
      <c r="X364" s="64">
        <f t="shared" si="146"/>
        <v>0</v>
      </c>
      <c r="Y364" s="64">
        <f t="shared" si="146"/>
        <v>0</v>
      </c>
      <c r="Z364" s="64">
        <f t="shared" si="146"/>
        <v>0</v>
      </c>
      <c r="AA364" s="64">
        <f t="shared" si="146"/>
        <v>0</v>
      </c>
      <c r="AB364" s="64">
        <f t="shared" si="146"/>
        <v>0</v>
      </c>
      <c r="AC364" s="64">
        <f t="shared" si="146"/>
        <v>0</v>
      </c>
      <c r="AD364" s="64">
        <f t="shared" si="146"/>
        <v>0</v>
      </c>
      <c r="AE364" s="64">
        <f t="shared" si="146"/>
        <v>0</v>
      </c>
      <c r="AF364" s="64">
        <f t="shared" ref="AF364:AF383" si="147">SUM(H364:AE364)</f>
        <v>3138068.0000000005</v>
      </c>
      <c r="AG364" s="59" t="str">
        <f t="shared" ref="AG364:AG370" si="148">IF(ABS(AF364-F364)&lt;1,"ok","err")</f>
        <v>ok</v>
      </c>
    </row>
    <row r="365" spans="1:33">
      <c r="A365" s="288">
        <v>501</v>
      </c>
      <c r="B365" s="61" t="s">
        <v>211</v>
      </c>
      <c r="C365" s="45" t="s">
        <v>284</v>
      </c>
      <c r="D365" s="45" t="s">
        <v>939</v>
      </c>
      <c r="F365" s="80">
        <v>2187724</v>
      </c>
      <c r="H365" s="64">
        <f t="shared" si="145"/>
        <v>0</v>
      </c>
      <c r="I365" s="64">
        <f t="shared" si="145"/>
        <v>0</v>
      </c>
      <c r="J365" s="64">
        <f t="shared" si="145"/>
        <v>0</v>
      </c>
      <c r="K365" s="64">
        <f t="shared" si="145"/>
        <v>2187724</v>
      </c>
      <c r="L365" s="64">
        <f t="shared" si="145"/>
        <v>0</v>
      </c>
      <c r="M365" s="64">
        <f t="shared" si="145"/>
        <v>0</v>
      </c>
      <c r="N365" s="64">
        <f t="shared" si="145"/>
        <v>0</v>
      </c>
      <c r="O365" s="64">
        <f t="shared" si="145"/>
        <v>0</v>
      </c>
      <c r="P365" s="64">
        <f t="shared" si="145"/>
        <v>0</v>
      </c>
      <c r="Q365" s="64">
        <f t="shared" si="145"/>
        <v>0</v>
      </c>
      <c r="R365" s="64">
        <f t="shared" si="146"/>
        <v>0</v>
      </c>
      <c r="S365" s="64">
        <f t="shared" si="146"/>
        <v>0</v>
      </c>
      <c r="T365" s="64">
        <f t="shared" si="146"/>
        <v>0</v>
      </c>
      <c r="U365" s="64">
        <f t="shared" si="146"/>
        <v>0</v>
      </c>
      <c r="V365" s="64">
        <f t="shared" si="146"/>
        <v>0</v>
      </c>
      <c r="W365" s="64">
        <f t="shared" si="146"/>
        <v>0</v>
      </c>
      <c r="X365" s="64">
        <f t="shared" si="146"/>
        <v>0</v>
      </c>
      <c r="Y365" s="64">
        <f t="shared" si="146"/>
        <v>0</v>
      </c>
      <c r="Z365" s="64">
        <f t="shared" si="146"/>
        <v>0</v>
      </c>
      <c r="AA365" s="64">
        <f t="shared" si="146"/>
        <v>0</v>
      </c>
      <c r="AB365" s="64">
        <f t="shared" si="146"/>
        <v>0</v>
      </c>
      <c r="AC365" s="64">
        <f t="shared" si="146"/>
        <v>0</v>
      </c>
      <c r="AD365" s="64">
        <f t="shared" si="146"/>
        <v>0</v>
      </c>
      <c r="AE365" s="64">
        <f t="shared" si="146"/>
        <v>0</v>
      </c>
      <c r="AF365" s="64">
        <f t="shared" si="147"/>
        <v>2187724</v>
      </c>
      <c r="AG365" s="59" t="str">
        <f t="shared" si="148"/>
        <v>ok</v>
      </c>
    </row>
    <row r="366" spans="1:33">
      <c r="A366" s="61">
        <v>502</v>
      </c>
      <c r="B366" s="61" t="s">
        <v>213</v>
      </c>
      <c r="C366" s="45" t="s">
        <v>285</v>
      </c>
      <c r="D366" s="45" t="s">
        <v>646</v>
      </c>
      <c r="F366" s="80">
        <v>8374877</v>
      </c>
      <c r="H366" s="64">
        <f t="shared" si="145"/>
        <v>2879293.6413887963</v>
      </c>
      <c r="I366" s="64">
        <f t="shared" si="145"/>
        <v>3016242.3322956031</v>
      </c>
      <c r="J366" s="64">
        <f t="shared" si="145"/>
        <v>2479341.0263156006</v>
      </c>
      <c r="K366" s="64">
        <f t="shared" si="145"/>
        <v>0</v>
      </c>
      <c r="L366" s="64">
        <f t="shared" si="145"/>
        <v>0</v>
      </c>
      <c r="M366" s="64">
        <f t="shared" si="145"/>
        <v>0</v>
      </c>
      <c r="N366" s="64">
        <f t="shared" si="145"/>
        <v>0</v>
      </c>
      <c r="O366" s="64">
        <f t="shared" si="145"/>
        <v>0</v>
      </c>
      <c r="P366" s="64">
        <f t="shared" si="145"/>
        <v>0</v>
      </c>
      <c r="Q366" s="64">
        <f t="shared" si="145"/>
        <v>0</v>
      </c>
      <c r="R366" s="64">
        <f t="shared" si="146"/>
        <v>0</v>
      </c>
      <c r="S366" s="64">
        <f t="shared" si="146"/>
        <v>0</v>
      </c>
      <c r="T366" s="64">
        <f t="shared" si="146"/>
        <v>0</v>
      </c>
      <c r="U366" s="64">
        <f t="shared" si="146"/>
        <v>0</v>
      </c>
      <c r="V366" s="64">
        <f t="shared" si="146"/>
        <v>0</v>
      </c>
      <c r="W366" s="64">
        <f t="shared" si="146"/>
        <v>0</v>
      </c>
      <c r="X366" s="64">
        <f t="shared" si="146"/>
        <v>0</v>
      </c>
      <c r="Y366" s="64">
        <f t="shared" si="146"/>
        <v>0</v>
      </c>
      <c r="Z366" s="64">
        <f t="shared" si="146"/>
        <v>0</v>
      </c>
      <c r="AA366" s="64">
        <f t="shared" si="146"/>
        <v>0</v>
      </c>
      <c r="AB366" s="64">
        <f t="shared" si="146"/>
        <v>0</v>
      </c>
      <c r="AC366" s="64">
        <f t="shared" si="146"/>
        <v>0</v>
      </c>
      <c r="AD366" s="64">
        <f t="shared" si="146"/>
        <v>0</v>
      </c>
      <c r="AE366" s="64">
        <f t="shared" si="146"/>
        <v>0</v>
      </c>
      <c r="AF366" s="64">
        <f t="shared" si="147"/>
        <v>8374877</v>
      </c>
      <c r="AG366" s="59" t="str">
        <f t="shared" si="148"/>
        <v>ok</v>
      </c>
    </row>
    <row r="367" spans="1:33">
      <c r="A367" s="61">
        <v>504</v>
      </c>
      <c r="B367" s="61" t="s">
        <v>1300</v>
      </c>
      <c r="C367" s="45" t="s">
        <v>1299</v>
      </c>
      <c r="D367" s="45" t="s">
        <v>646</v>
      </c>
      <c r="F367" s="80">
        <v>0</v>
      </c>
      <c r="H367" s="64">
        <f t="shared" si="145"/>
        <v>0</v>
      </c>
      <c r="I367" s="64">
        <f t="shared" si="145"/>
        <v>0</v>
      </c>
      <c r="J367" s="64">
        <f t="shared" si="145"/>
        <v>0</v>
      </c>
      <c r="K367" s="64">
        <f t="shared" si="145"/>
        <v>0</v>
      </c>
      <c r="L367" s="64">
        <f t="shared" si="145"/>
        <v>0</v>
      </c>
      <c r="M367" s="64">
        <f t="shared" si="145"/>
        <v>0</v>
      </c>
      <c r="N367" s="64">
        <f t="shared" si="145"/>
        <v>0</v>
      </c>
      <c r="O367" s="64">
        <f t="shared" si="145"/>
        <v>0</v>
      </c>
      <c r="P367" s="64">
        <f t="shared" si="145"/>
        <v>0</v>
      </c>
      <c r="Q367" s="64">
        <f t="shared" si="145"/>
        <v>0</v>
      </c>
      <c r="R367" s="64">
        <f t="shared" si="146"/>
        <v>0</v>
      </c>
      <c r="S367" s="64">
        <f t="shared" si="146"/>
        <v>0</v>
      </c>
      <c r="T367" s="64">
        <f t="shared" si="146"/>
        <v>0</v>
      </c>
      <c r="U367" s="64">
        <f t="shared" si="146"/>
        <v>0</v>
      </c>
      <c r="V367" s="64">
        <f t="shared" si="146"/>
        <v>0</v>
      </c>
      <c r="W367" s="64">
        <f t="shared" si="146"/>
        <v>0</v>
      </c>
      <c r="X367" s="64">
        <f t="shared" si="146"/>
        <v>0</v>
      </c>
      <c r="Y367" s="64">
        <f t="shared" si="146"/>
        <v>0</v>
      </c>
      <c r="Z367" s="64">
        <f t="shared" si="146"/>
        <v>0</v>
      </c>
      <c r="AA367" s="64">
        <f t="shared" si="146"/>
        <v>0</v>
      </c>
      <c r="AB367" s="64">
        <f t="shared" si="146"/>
        <v>0</v>
      </c>
      <c r="AC367" s="64">
        <f t="shared" si="146"/>
        <v>0</v>
      </c>
      <c r="AD367" s="64">
        <f t="shared" si="146"/>
        <v>0</v>
      </c>
      <c r="AE367" s="64">
        <f t="shared" si="146"/>
        <v>0</v>
      </c>
      <c r="AF367" s="64">
        <f>SUM(H367:AE367)</f>
        <v>0</v>
      </c>
      <c r="AG367" s="59" t="str">
        <f>IF(ABS(AF367-F367)&lt;1,"ok","err")</f>
        <v>ok</v>
      </c>
    </row>
    <row r="368" spans="1:33">
      <c r="A368" s="61">
        <v>505</v>
      </c>
      <c r="B368" s="61" t="s">
        <v>215</v>
      </c>
      <c r="C368" s="45" t="s">
        <v>286</v>
      </c>
      <c r="D368" s="45" t="s">
        <v>646</v>
      </c>
      <c r="F368" s="80">
        <v>2130001</v>
      </c>
      <c r="H368" s="64">
        <f t="shared" si="145"/>
        <v>732297.12334303872</v>
      </c>
      <c r="I368" s="64">
        <f t="shared" si="145"/>
        <v>767127.58695225813</v>
      </c>
      <c r="J368" s="64">
        <f t="shared" si="145"/>
        <v>630576.28970470314</v>
      </c>
      <c r="K368" s="64">
        <f t="shared" si="145"/>
        <v>0</v>
      </c>
      <c r="L368" s="64">
        <f t="shared" si="145"/>
        <v>0</v>
      </c>
      <c r="M368" s="64">
        <f t="shared" si="145"/>
        <v>0</v>
      </c>
      <c r="N368" s="64">
        <f t="shared" si="145"/>
        <v>0</v>
      </c>
      <c r="O368" s="64">
        <f t="shared" si="145"/>
        <v>0</v>
      </c>
      <c r="P368" s="64">
        <f t="shared" si="145"/>
        <v>0</v>
      </c>
      <c r="Q368" s="64">
        <f t="shared" si="145"/>
        <v>0</v>
      </c>
      <c r="R368" s="64">
        <f t="shared" si="146"/>
        <v>0</v>
      </c>
      <c r="S368" s="64">
        <f t="shared" si="146"/>
        <v>0</v>
      </c>
      <c r="T368" s="64">
        <f t="shared" si="146"/>
        <v>0</v>
      </c>
      <c r="U368" s="64">
        <f t="shared" si="146"/>
        <v>0</v>
      </c>
      <c r="V368" s="64">
        <f t="shared" si="146"/>
        <v>0</v>
      </c>
      <c r="W368" s="64">
        <f t="shared" si="146"/>
        <v>0</v>
      </c>
      <c r="X368" s="64">
        <f t="shared" si="146"/>
        <v>0</v>
      </c>
      <c r="Y368" s="64">
        <f t="shared" si="146"/>
        <v>0</v>
      </c>
      <c r="Z368" s="64">
        <f t="shared" si="146"/>
        <v>0</v>
      </c>
      <c r="AA368" s="64">
        <f t="shared" si="146"/>
        <v>0</v>
      </c>
      <c r="AB368" s="64">
        <f t="shared" si="146"/>
        <v>0</v>
      </c>
      <c r="AC368" s="64">
        <f t="shared" si="146"/>
        <v>0</v>
      </c>
      <c r="AD368" s="64">
        <f t="shared" si="146"/>
        <v>0</v>
      </c>
      <c r="AE368" s="64">
        <f t="shared" si="146"/>
        <v>0</v>
      </c>
      <c r="AF368" s="64">
        <f t="shared" si="147"/>
        <v>2130001</v>
      </c>
      <c r="AG368" s="59" t="str">
        <f t="shared" si="148"/>
        <v>ok</v>
      </c>
    </row>
    <row r="369" spans="1:33">
      <c r="A369" s="61">
        <v>506</v>
      </c>
      <c r="B369" s="61" t="s">
        <v>218</v>
      </c>
      <c r="C369" s="45" t="s">
        <v>287</v>
      </c>
      <c r="D369" s="45" t="s">
        <v>646</v>
      </c>
      <c r="F369" s="80">
        <v>1491734</v>
      </c>
      <c r="H369" s="64">
        <f t="shared" si="145"/>
        <v>512860.09583704633</v>
      </c>
      <c r="I369" s="64">
        <f t="shared" si="145"/>
        <v>537253.41152170347</v>
      </c>
      <c r="J369" s="64">
        <f t="shared" si="145"/>
        <v>441620.49264125025</v>
      </c>
      <c r="K369" s="64">
        <f t="shared" si="145"/>
        <v>0</v>
      </c>
      <c r="L369" s="64">
        <f t="shared" si="145"/>
        <v>0</v>
      </c>
      <c r="M369" s="64">
        <f t="shared" si="145"/>
        <v>0</v>
      </c>
      <c r="N369" s="64">
        <f t="shared" si="145"/>
        <v>0</v>
      </c>
      <c r="O369" s="64">
        <f t="shared" si="145"/>
        <v>0</v>
      </c>
      <c r="P369" s="64">
        <f t="shared" si="145"/>
        <v>0</v>
      </c>
      <c r="Q369" s="64">
        <f t="shared" si="145"/>
        <v>0</v>
      </c>
      <c r="R369" s="64">
        <f t="shared" si="146"/>
        <v>0</v>
      </c>
      <c r="S369" s="64">
        <f t="shared" si="146"/>
        <v>0</v>
      </c>
      <c r="T369" s="64">
        <f t="shared" si="146"/>
        <v>0</v>
      </c>
      <c r="U369" s="64">
        <f t="shared" si="146"/>
        <v>0</v>
      </c>
      <c r="V369" s="64">
        <f t="shared" si="146"/>
        <v>0</v>
      </c>
      <c r="W369" s="64">
        <f t="shared" si="146"/>
        <v>0</v>
      </c>
      <c r="X369" s="64">
        <f t="shared" si="146"/>
        <v>0</v>
      </c>
      <c r="Y369" s="64">
        <f t="shared" si="146"/>
        <v>0</v>
      </c>
      <c r="Z369" s="64">
        <f t="shared" si="146"/>
        <v>0</v>
      </c>
      <c r="AA369" s="64">
        <f t="shared" si="146"/>
        <v>0</v>
      </c>
      <c r="AB369" s="64">
        <f t="shared" si="146"/>
        <v>0</v>
      </c>
      <c r="AC369" s="64">
        <f t="shared" si="146"/>
        <v>0</v>
      </c>
      <c r="AD369" s="64">
        <f t="shared" si="146"/>
        <v>0</v>
      </c>
      <c r="AE369" s="64">
        <f t="shared" si="146"/>
        <v>0</v>
      </c>
      <c r="AF369" s="64">
        <f t="shared" si="147"/>
        <v>1491734</v>
      </c>
      <c r="AG369" s="59" t="str">
        <f t="shared" si="148"/>
        <v>ok</v>
      </c>
    </row>
    <row r="370" spans="1:33">
      <c r="A370" s="61">
        <v>507</v>
      </c>
      <c r="B370" s="61" t="s">
        <v>1013</v>
      </c>
      <c r="C370" s="45" t="s">
        <v>358</v>
      </c>
      <c r="D370" s="45" t="s">
        <v>646</v>
      </c>
      <c r="F370" s="80"/>
      <c r="H370" s="64">
        <f t="shared" si="145"/>
        <v>0</v>
      </c>
      <c r="I370" s="64">
        <f t="shared" si="145"/>
        <v>0</v>
      </c>
      <c r="J370" s="64">
        <f t="shared" si="145"/>
        <v>0</v>
      </c>
      <c r="K370" s="64">
        <f t="shared" si="145"/>
        <v>0</v>
      </c>
      <c r="L370" s="64">
        <f t="shared" si="145"/>
        <v>0</v>
      </c>
      <c r="M370" s="64">
        <f t="shared" si="145"/>
        <v>0</v>
      </c>
      <c r="N370" s="64">
        <f t="shared" si="145"/>
        <v>0</v>
      </c>
      <c r="O370" s="64">
        <f t="shared" si="145"/>
        <v>0</v>
      </c>
      <c r="P370" s="64">
        <f t="shared" si="145"/>
        <v>0</v>
      </c>
      <c r="Q370" s="64">
        <f t="shared" si="145"/>
        <v>0</v>
      </c>
      <c r="R370" s="64">
        <f t="shared" si="146"/>
        <v>0</v>
      </c>
      <c r="S370" s="64">
        <f t="shared" si="146"/>
        <v>0</v>
      </c>
      <c r="T370" s="64">
        <f t="shared" si="146"/>
        <v>0</v>
      </c>
      <c r="U370" s="64">
        <f t="shared" si="146"/>
        <v>0</v>
      </c>
      <c r="V370" s="64">
        <f t="shared" si="146"/>
        <v>0</v>
      </c>
      <c r="W370" s="64">
        <f t="shared" si="146"/>
        <v>0</v>
      </c>
      <c r="X370" s="64">
        <f t="shared" si="146"/>
        <v>0</v>
      </c>
      <c r="Y370" s="64">
        <f t="shared" si="146"/>
        <v>0</v>
      </c>
      <c r="Z370" s="64">
        <f t="shared" si="146"/>
        <v>0</v>
      </c>
      <c r="AA370" s="64">
        <f t="shared" si="146"/>
        <v>0</v>
      </c>
      <c r="AB370" s="64">
        <f t="shared" si="146"/>
        <v>0</v>
      </c>
      <c r="AC370" s="64">
        <f t="shared" si="146"/>
        <v>0</v>
      </c>
      <c r="AD370" s="64">
        <f t="shared" si="146"/>
        <v>0</v>
      </c>
      <c r="AE370" s="64">
        <f t="shared" si="146"/>
        <v>0</v>
      </c>
      <c r="AF370" s="64">
        <f t="shared" si="147"/>
        <v>0</v>
      </c>
      <c r="AG370" s="59" t="str">
        <f t="shared" si="148"/>
        <v>ok</v>
      </c>
    </row>
    <row r="371" spans="1:33">
      <c r="A371" s="61"/>
      <c r="B371" s="61"/>
      <c r="F371" s="77"/>
      <c r="W371" s="45"/>
      <c r="AF371" s="64"/>
      <c r="AG371" s="59"/>
    </row>
    <row r="372" spans="1:33">
      <c r="A372" s="61"/>
      <c r="B372" s="61" t="s">
        <v>220</v>
      </c>
      <c r="C372" s="45" t="s">
        <v>651</v>
      </c>
      <c r="F372" s="77">
        <f>SUM(F364:F371)</f>
        <v>17322404</v>
      </c>
      <c r="H372" s="63">
        <f t="shared" ref="H372:M372" si="149">SUM(H364:H371)</f>
        <v>5036922.7071977025</v>
      </c>
      <c r="I372" s="63">
        <f t="shared" si="149"/>
        <v>5276495.3444007561</v>
      </c>
      <c r="J372" s="63">
        <f t="shared" si="149"/>
        <v>4337261.3806462381</v>
      </c>
      <c r="K372" s="63">
        <f t="shared" si="149"/>
        <v>2671724.5677553043</v>
      </c>
      <c r="L372" s="63">
        <f t="shared" si="149"/>
        <v>0</v>
      </c>
      <c r="M372" s="63">
        <f t="shared" si="149"/>
        <v>0</v>
      </c>
      <c r="N372" s="63">
        <f>SUM(N364:N371)</f>
        <v>0</v>
      </c>
      <c r="O372" s="63">
        <f>SUM(O364:O371)</f>
        <v>0</v>
      </c>
      <c r="P372" s="63">
        <f>SUM(P364:P371)</f>
        <v>0</v>
      </c>
      <c r="Q372" s="63">
        <f t="shared" ref="Q372:AB372" si="150">SUM(Q364:Q371)</f>
        <v>0</v>
      </c>
      <c r="R372" s="63">
        <f t="shared" si="150"/>
        <v>0</v>
      </c>
      <c r="S372" s="63">
        <f t="shared" si="150"/>
        <v>0</v>
      </c>
      <c r="T372" s="63">
        <f t="shared" si="150"/>
        <v>0</v>
      </c>
      <c r="U372" s="63">
        <f t="shared" si="150"/>
        <v>0</v>
      </c>
      <c r="V372" s="63">
        <f t="shared" si="150"/>
        <v>0</v>
      </c>
      <c r="W372" s="63">
        <f t="shared" si="150"/>
        <v>0</v>
      </c>
      <c r="X372" s="63">
        <f t="shared" si="150"/>
        <v>0</v>
      </c>
      <c r="Y372" s="63">
        <f t="shared" si="150"/>
        <v>0</v>
      </c>
      <c r="Z372" s="63">
        <f t="shared" si="150"/>
        <v>0</v>
      </c>
      <c r="AA372" s="63">
        <f t="shared" si="150"/>
        <v>0</v>
      </c>
      <c r="AB372" s="63">
        <f t="shared" si="150"/>
        <v>0</v>
      </c>
      <c r="AC372" s="63">
        <f>SUM(AC364:AC371)</f>
        <v>0</v>
      </c>
      <c r="AD372" s="63">
        <f>SUM(AD364:AD371)</f>
        <v>0</v>
      </c>
      <c r="AE372" s="63">
        <f>SUM(AE364:AE371)</f>
        <v>0</v>
      </c>
      <c r="AF372" s="64">
        <f t="shared" si="147"/>
        <v>17322404</v>
      </c>
      <c r="AG372" s="59" t="str">
        <f>IF(ABS(AF372-F372)&lt;1,"ok","err")</f>
        <v>ok</v>
      </c>
    </row>
    <row r="373" spans="1:33">
      <c r="A373" s="61"/>
      <c r="B373" s="61"/>
      <c r="F373" s="77"/>
      <c r="W373" s="45"/>
      <c r="AF373" s="64"/>
      <c r="AG373" s="59"/>
    </row>
    <row r="374" spans="1:33" ht="15">
      <c r="A374" s="66" t="s">
        <v>221</v>
      </c>
      <c r="B374" s="61"/>
      <c r="F374" s="77"/>
      <c r="W374" s="45"/>
      <c r="AF374" s="64"/>
      <c r="AG374" s="59"/>
    </row>
    <row r="375" spans="1:33">
      <c r="A375" s="61">
        <v>510</v>
      </c>
      <c r="B375" s="61" t="s">
        <v>224</v>
      </c>
      <c r="C375" s="45" t="s">
        <v>288</v>
      </c>
      <c r="D375" s="45" t="s">
        <v>648</v>
      </c>
      <c r="F375" s="77">
        <v>3390539</v>
      </c>
      <c r="H375" s="64">
        <f t="shared" ref="H375:Q379" si="151">IF(VLOOKUP($D375,$C$6:$AE$653,H$2,)=0,0,((VLOOKUP($D375,$C$6:$AE$653,H$2,)/VLOOKUP($D375,$C$6:$AE$653,4,))*$F375))</f>
        <v>0</v>
      </c>
      <c r="I375" s="64">
        <f t="shared" si="151"/>
        <v>0</v>
      </c>
      <c r="J375" s="64">
        <f t="shared" si="151"/>
        <v>0</v>
      </c>
      <c r="K375" s="64">
        <f t="shared" si="151"/>
        <v>3390539</v>
      </c>
      <c r="L375" s="64">
        <f t="shared" si="151"/>
        <v>0</v>
      </c>
      <c r="M375" s="64">
        <f t="shared" si="151"/>
        <v>0</v>
      </c>
      <c r="N375" s="64">
        <f t="shared" si="151"/>
        <v>0</v>
      </c>
      <c r="O375" s="64">
        <f t="shared" si="151"/>
        <v>0</v>
      </c>
      <c r="P375" s="64">
        <f t="shared" si="151"/>
        <v>0</v>
      </c>
      <c r="Q375" s="64">
        <f t="shared" si="151"/>
        <v>0</v>
      </c>
      <c r="R375" s="64">
        <f t="shared" ref="R375:AE379" si="152">IF(VLOOKUP($D375,$C$6:$AE$653,R$2,)=0,0,((VLOOKUP($D375,$C$6:$AE$653,R$2,)/VLOOKUP($D375,$C$6:$AE$653,4,))*$F375))</f>
        <v>0</v>
      </c>
      <c r="S375" s="64">
        <f t="shared" si="152"/>
        <v>0</v>
      </c>
      <c r="T375" s="64">
        <f t="shared" si="152"/>
        <v>0</v>
      </c>
      <c r="U375" s="64">
        <f t="shared" si="152"/>
        <v>0</v>
      </c>
      <c r="V375" s="64">
        <f t="shared" si="152"/>
        <v>0</v>
      </c>
      <c r="W375" s="64">
        <f t="shared" si="152"/>
        <v>0</v>
      </c>
      <c r="X375" s="64">
        <f t="shared" si="152"/>
        <v>0</v>
      </c>
      <c r="Y375" s="64">
        <f t="shared" si="152"/>
        <v>0</v>
      </c>
      <c r="Z375" s="64">
        <f t="shared" si="152"/>
        <v>0</v>
      </c>
      <c r="AA375" s="64">
        <f t="shared" si="152"/>
        <v>0</v>
      </c>
      <c r="AB375" s="64">
        <f t="shared" si="152"/>
        <v>0</v>
      </c>
      <c r="AC375" s="64">
        <f t="shared" si="152"/>
        <v>0</v>
      </c>
      <c r="AD375" s="64">
        <f t="shared" si="152"/>
        <v>0</v>
      </c>
      <c r="AE375" s="64">
        <f t="shared" si="152"/>
        <v>0</v>
      </c>
      <c r="AF375" s="64">
        <f t="shared" si="147"/>
        <v>3390539</v>
      </c>
      <c r="AG375" s="59" t="str">
        <f>IF(ABS(AF375-F375)&lt;1,"ok","err")</f>
        <v>ok</v>
      </c>
    </row>
    <row r="376" spans="1:33">
      <c r="A376" s="61">
        <v>511</v>
      </c>
      <c r="B376" s="61" t="s">
        <v>223</v>
      </c>
      <c r="C376" s="45" t="s">
        <v>289</v>
      </c>
      <c r="D376" s="45" t="s">
        <v>646</v>
      </c>
      <c r="F376" s="80">
        <v>0</v>
      </c>
      <c r="H376" s="64">
        <f t="shared" si="151"/>
        <v>0</v>
      </c>
      <c r="I376" s="64">
        <f t="shared" si="151"/>
        <v>0</v>
      </c>
      <c r="J376" s="64">
        <f t="shared" si="151"/>
        <v>0</v>
      </c>
      <c r="K376" s="64">
        <f t="shared" si="151"/>
        <v>0</v>
      </c>
      <c r="L376" s="64">
        <f t="shared" si="151"/>
        <v>0</v>
      </c>
      <c r="M376" s="64">
        <f t="shared" si="151"/>
        <v>0</v>
      </c>
      <c r="N376" s="64">
        <f t="shared" si="151"/>
        <v>0</v>
      </c>
      <c r="O376" s="64">
        <f t="shared" si="151"/>
        <v>0</v>
      </c>
      <c r="P376" s="64">
        <f t="shared" si="151"/>
        <v>0</v>
      </c>
      <c r="Q376" s="64">
        <f t="shared" si="151"/>
        <v>0</v>
      </c>
      <c r="R376" s="64">
        <f t="shared" si="152"/>
        <v>0</v>
      </c>
      <c r="S376" s="64">
        <f t="shared" si="152"/>
        <v>0</v>
      </c>
      <c r="T376" s="64">
        <f t="shared" si="152"/>
        <v>0</v>
      </c>
      <c r="U376" s="64">
        <f t="shared" si="152"/>
        <v>0</v>
      </c>
      <c r="V376" s="64">
        <f t="shared" si="152"/>
        <v>0</v>
      </c>
      <c r="W376" s="64">
        <f t="shared" si="152"/>
        <v>0</v>
      </c>
      <c r="X376" s="64">
        <f t="shared" si="152"/>
        <v>0</v>
      </c>
      <c r="Y376" s="64">
        <f t="shared" si="152"/>
        <v>0</v>
      </c>
      <c r="Z376" s="64">
        <f t="shared" si="152"/>
        <v>0</v>
      </c>
      <c r="AA376" s="64">
        <f t="shared" si="152"/>
        <v>0</v>
      </c>
      <c r="AB376" s="64">
        <f t="shared" si="152"/>
        <v>0</v>
      </c>
      <c r="AC376" s="64">
        <f t="shared" si="152"/>
        <v>0</v>
      </c>
      <c r="AD376" s="64">
        <f t="shared" si="152"/>
        <v>0</v>
      </c>
      <c r="AE376" s="64">
        <f t="shared" si="152"/>
        <v>0</v>
      </c>
      <c r="AF376" s="64">
        <f t="shared" si="147"/>
        <v>0</v>
      </c>
      <c r="AG376" s="59" t="str">
        <f>IF(ABS(AF376-F376)&lt;1,"ok","err")</f>
        <v>ok</v>
      </c>
    </row>
    <row r="377" spans="1:33">
      <c r="A377" s="61">
        <v>512</v>
      </c>
      <c r="B377" s="61" t="s">
        <v>226</v>
      </c>
      <c r="C377" s="45" t="s">
        <v>290</v>
      </c>
      <c r="D377" s="45" t="s">
        <v>939</v>
      </c>
      <c r="F377" s="80">
        <v>4117208</v>
      </c>
      <c r="H377" s="64">
        <f t="shared" si="151"/>
        <v>0</v>
      </c>
      <c r="I377" s="64">
        <f t="shared" si="151"/>
        <v>0</v>
      </c>
      <c r="J377" s="64">
        <f t="shared" si="151"/>
        <v>0</v>
      </c>
      <c r="K377" s="64">
        <f t="shared" si="151"/>
        <v>4117208</v>
      </c>
      <c r="L377" s="64">
        <f t="shared" si="151"/>
        <v>0</v>
      </c>
      <c r="M377" s="64">
        <f t="shared" si="151"/>
        <v>0</v>
      </c>
      <c r="N377" s="64">
        <f t="shared" si="151"/>
        <v>0</v>
      </c>
      <c r="O377" s="64">
        <f t="shared" si="151"/>
        <v>0</v>
      </c>
      <c r="P377" s="64">
        <f t="shared" si="151"/>
        <v>0</v>
      </c>
      <c r="Q377" s="64">
        <f t="shared" si="151"/>
        <v>0</v>
      </c>
      <c r="R377" s="64">
        <f t="shared" si="152"/>
        <v>0</v>
      </c>
      <c r="S377" s="64">
        <f t="shared" si="152"/>
        <v>0</v>
      </c>
      <c r="T377" s="64">
        <f t="shared" si="152"/>
        <v>0</v>
      </c>
      <c r="U377" s="64">
        <f t="shared" si="152"/>
        <v>0</v>
      </c>
      <c r="V377" s="64">
        <f t="shared" si="152"/>
        <v>0</v>
      </c>
      <c r="W377" s="64">
        <f t="shared" si="152"/>
        <v>0</v>
      </c>
      <c r="X377" s="64">
        <f t="shared" si="152"/>
        <v>0</v>
      </c>
      <c r="Y377" s="64">
        <f t="shared" si="152"/>
        <v>0</v>
      </c>
      <c r="Z377" s="64">
        <f t="shared" si="152"/>
        <v>0</v>
      </c>
      <c r="AA377" s="64">
        <f t="shared" si="152"/>
        <v>0</v>
      </c>
      <c r="AB377" s="64">
        <f t="shared" si="152"/>
        <v>0</v>
      </c>
      <c r="AC377" s="64">
        <f t="shared" si="152"/>
        <v>0</v>
      </c>
      <c r="AD377" s="64">
        <f t="shared" si="152"/>
        <v>0</v>
      </c>
      <c r="AE377" s="64">
        <f t="shared" si="152"/>
        <v>0</v>
      </c>
      <c r="AF377" s="64">
        <f t="shared" si="147"/>
        <v>4117208</v>
      </c>
      <c r="AG377" s="59" t="str">
        <f>IF(ABS(AF377-F377)&lt;1,"ok","err")</f>
        <v>ok</v>
      </c>
    </row>
    <row r="378" spans="1:33">
      <c r="A378" s="61">
        <v>513</v>
      </c>
      <c r="B378" s="61" t="s">
        <v>227</v>
      </c>
      <c r="C378" s="45" t="s">
        <v>291</v>
      </c>
      <c r="D378" s="45" t="s">
        <v>939</v>
      </c>
      <c r="F378" s="80">
        <v>2830954</v>
      </c>
      <c r="H378" s="64">
        <f t="shared" si="151"/>
        <v>0</v>
      </c>
      <c r="I378" s="64">
        <f t="shared" si="151"/>
        <v>0</v>
      </c>
      <c r="J378" s="64">
        <f t="shared" si="151"/>
        <v>0</v>
      </c>
      <c r="K378" s="64">
        <f t="shared" si="151"/>
        <v>2830954</v>
      </c>
      <c r="L378" s="64">
        <f t="shared" si="151"/>
        <v>0</v>
      </c>
      <c r="M378" s="64">
        <f t="shared" si="151"/>
        <v>0</v>
      </c>
      <c r="N378" s="64">
        <f t="shared" si="151"/>
        <v>0</v>
      </c>
      <c r="O378" s="64">
        <f t="shared" si="151"/>
        <v>0</v>
      </c>
      <c r="P378" s="64">
        <f t="shared" si="151"/>
        <v>0</v>
      </c>
      <c r="Q378" s="64">
        <f t="shared" si="151"/>
        <v>0</v>
      </c>
      <c r="R378" s="64">
        <f t="shared" si="152"/>
        <v>0</v>
      </c>
      <c r="S378" s="64">
        <f t="shared" si="152"/>
        <v>0</v>
      </c>
      <c r="T378" s="64">
        <f t="shared" si="152"/>
        <v>0</v>
      </c>
      <c r="U378" s="64">
        <f t="shared" si="152"/>
        <v>0</v>
      </c>
      <c r="V378" s="64">
        <f t="shared" si="152"/>
        <v>0</v>
      </c>
      <c r="W378" s="64">
        <f t="shared" si="152"/>
        <v>0</v>
      </c>
      <c r="X378" s="64">
        <f t="shared" si="152"/>
        <v>0</v>
      </c>
      <c r="Y378" s="64">
        <f t="shared" si="152"/>
        <v>0</v>
      </c>
      <c r="Z378" s="64">
        <f t="shared" si="152"/>
        <v>0</v>
      </c>
      <c r="AA378" s="64">
        <f t="shared" si="152"/>
        <v>0</v>
      </c>
      <c r="AB378" s="64">
        <f t="shared" si="152"/>
        <v>0</v>
      </c>
      <c r="AC378" s="64">
        <f t="shared" si="152"/>
        <v>0</v>
      </c>
      <c r="AD378" s="64">
        <f t="shared" si="152"/>
        <v>0</v>
      </c>
      <c r="AE378" s="64">
        <f t="shared" si="152"/>
        <v>0</v>
      </c>
      <c r="AF378" s="64">
        <f t="shared" si="147"/>
        <v>2830954</v>
      </c>
      <c r="AG378" s="59" t="str">
        <f>IF(ABS(AF378-F378)&lt;1,"ok","err")</f>
        <v>ok</v>
      </c>
    </row>
    <row r="379" spans="1:33">
      <c r="A379" s="61">
        <v>514</v>
      </c>
      <c r="B379" s="61" t="s">
        <v>230</v>
      </c>
      <c r="C379" s="45" t="s">
        <v>292</v>
      </c>
      <c r="D379" s="45" t="s">
        <v>939</v>
      </c>
      <c r="F379" s="80">
        <v>57828</v>
      </c>
      <c r="H379" s="64">
        <f t="shared" si="151"/>
        <v>0</v>
      </c>
      <c r="I379" s="64">
        <f t="shared" si="151"/>
        <v>0</v>
      </c>
      <c r="J379" s="64">
        <f t="shared" si="151"/>
        <v>0</v>
      </c>
      <c r="K379" s="64">
        <f t="shared" si="151"/>
        <v>57828</v>
      </c>
      <c r="L379" s="64">
        <f t="shared" si="151"/>
        <v>0</v>
      </c>
      <c r="M379" s="64">
        <f t="shared" si="151"/>
        <v>0</v>
      </c>
      <c r="N379" s="64">
        <f t="shared" si="151"/>
        <v>0</v>
      </c>
      <c r="O379" s="64">
        <f t="shared" si="151"/>
        <v>0</v>
      </c>
      <c r="P379" s="64">
        <f t="shared" si="151"/>
        <v>0</v>
      </c>
      <c r="Q379" s="64">
        <f t="shared" si="151"/>
        <v>0</v>
      </c>
      <c r="R379" s="64">
        <f t="shared" si="152"/>
        <v>0</v>
      </c>
      <c r="S379" s="64">
        <f t="shared" si="152"/>
        <v>0</v>
      </c>
      <c r="T379" s="64">
        <f t="shared" si="152"/>
        <v>0</v>
      </c>
      <c r="U379" s="64">
        <f t="shared" si="152"/>
        <v>0</v>
      </c>
      <c r="V379" s="64">
        <f t="shared" si="152"/>
        <v>0</v>
      </c>
      <c r="W379" s="64">
        <f t="shared" si="152"/>
        <v>0</v>
      </c>
      <c r="X379" s="64">
        <f t="shared" si="152"/>
        <v>0</v>
      </c>
      <c r="Y379" s="64">
        <f t="shared" si="152"/>
        <v>0</v>
      </c>
      <c r="Z379" s="64">
        <f t="shared" si="152"/>
        <v>0</v>
      </c>
      <c r="AA379" s="64">
        <f t="shared" si="152"/>
        <v>0</v>
      </c>
      <c r="AB379" s="64">
        <f t="shared" si="152"/>
        <v>0</v>
      </c>
      <c r="AC379" s="64">
        <f t="shared" si="152"/>
        <v>0</v>
      </c>
      <c r="AD379" s="64">
        <f t="shared" si="152"/>
        <v>0</v>
      </c>
      <c r="AE379" s="64">
        <f t="shared" si="152"/>
        <v>0</v>
      </c>
      <c r="AF379" s="64">
        <f t="shared" si="147"/>
        <v>57828</v>
      </c>
      <c r="AG379" s="59" t="str">
        <f>IF(ABS(AF379-F379)&lt;1,"ok","err")</f>
        <v>ok</v>
      </c>
    </row>
    <row r="380" spans="1:33">
      <c r="A380" s="61"/>
      <c r="B380" s="61"/>
      <c r="F380" s="77"/>
      <c r="W380" s="45"/>
      <c r="AF380" s="64"/>
      <c r="AG380" s="59"/>
    </row>
    <row r="381" spans="1:33">
      <c r="A381" s="61"/>
      <c r="B381" s="61" t="s">
        <v>232</v>
      </c>
      <c r="C381" s="45" t="s">
        <v>87</v>
      </c>
      <c r="F381" s="77">
        <f>SUM(F375:F380)</f>
        <v>10396529</v>
      </c>
      <c r="H381" s="63">
        <f t="shared" ref="H381:M381" si="153">SUM(H375:H380)</f>
        <v>0</v>
      </c>
      <c r="I381" s="63">
        <f t="shared" si="153"/>
        <v>0</v>
      </c>
      <c r="J381" s="63">
        <f t="shared" si="153"/>
        <v>0</v>
      </c>
      <c r="K381" s="63">
        <f t="shared" si="153"/>
        <v>10396529</v>
      </c>
      <c r="L381" s="63">
        <f t="shared" si="153"/>
        <v>0</v>
      </c>
      <c r="M381" s="63">
        <f t="shared" si="153"/>
        <v>0</v>
      </c>
      <c r="N381" s="63">
        <f>SUM(N375:N380)</f>
        <v>0</v>
      </c>
      <c r="O381" s="63">
        <f>SUM(O375:O380)</f>
        <v>0</v>
      </c>
      <c r="P381" s="63">
        <f>SUM(P375:P380)</f>
        <v>0</v>
      </c>
      <c r="Q381" s="63">
        <f t="shared" ref="Q381:AB381" si="154">SUM(Q375:Q380)</f>
        <v>0</v>
      </c>
      <c r="R381" s="63">
        <f t="shared" si="154"/>
        <v>0</v>
      </c>
      <c r="S381" s="63">
        <f t="shared" si="154"/>
        <v>0</v>
      </c>
      <c r="T381" s="63">
        <f t="shared" si="154"/>
        <v>0</v>
      </c>
      <c r="U381" s="63">
        <f t="shared" si="154"/>
        <v>0</v>
      </c>
      <c r="V381" s="63">
        <f t="shared" si="154"/>
        <v>0</v>
      </c>
      <c r="W381" s="63">
        <f t="shared" si="154"/>
        <v>0</v>
      </c>
      <c r="X381" s="63">
        <f t="shared" si="154"/>
        <v>0</v>
      </c>
      <c r="Y381" s="63">
        <f t="shared" si="154"/>
        <v>0</v>
      </c>
      <c r="Z381" s="63">
        <f t="shared" si="154"/>
        <v>0</v>
      </c>
      <c r="AA381" s="63">
        <f t="shared" si="154"/>
        <v>0</v>
      </c>
      <c r="AB381" s="63">
        <f t="shared" si="154"/>
        <v>0</v>
      </c>
      <c r="AC381" s="63">
        <f>SUM(AC375:AC380)</f>
        <v>0</v>
      </c>
      <c r="AD381" s="63">
        <f>SUM(AD375:AD380)</f>
        <v>0</v>
      </c>
      <c r="AE381" s="63">
        <f>SUM(AE375:AE380)</f>
        <v>0</v>
      </c>
      <c r="AF381" s="64">
        <f t="shared" si="147"/>
        <v>10396529</v>
      </c>
      <c r="AG381" s="59" t="str">
        <f>IF(ABS(AF381-F381)&lt;1,"ok","err")</f>
        <v>ok</v>
      </c>
    </row>
    <row r="382" spans="1:33">
      <c r="A382" s="61"/>
      <c r="B382" s="61"/>
      <c r="F382" s="77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4"/>
      <c r="AG382" s="59"/>
    </row>
    <row r="383" spans="1:33">
      <c r="A383" s="61"/>
      <c r="B383" s="61" t="s">
        <v>233</v>
      </c>
      <c r="F383" s="77">
        <f>F372+F381</f>
        <v>27718933</v>
      </c>
      <c r="H383" s="63">
        <f t="shared" ref="H383:M383" si="155">H372+H381</f>
        <v>5036922.7071977025</v>
      </c>
      <c r="I383" s="63">
        <f t="shared" si="155"/>
        <v>5276495.3444007561</v>
      </c>
      <c r="J383" s="63">
        <f t="shared" si="155"/>
        <v>4337261.3806462381</v>
      </c>
      <c r="K383" s="63">
        <f t="shared" si="155"/>
        <v>13068253.567755304</v>
      </c>
      <c r="L383" s="63">
        <f t="shared" si="155"/>
        <v>0</v>
      </c>
      <c r="M383" s="63">
        <f t="shared" si="155"/>
        <v>0</v>
      </c>
      <c r="N383" s="63">
        <f>N372+N381</f>
        <v>0</v>
      </c>
      <c r="O383" s="63">
        <f>O372+O381</f>
        <v>0</v>
      </c>
      <c r="P383" s="63">
        <f>P372+P381</f>
        <v>0</v>
      </c>
      <c r="Q383" s="63">
        <f t="shared" ref="Q383:AB383" si="156">Q372+Q381</f>
        <v>0</v>
      </c>
      <c r="R383" s="63">
        <f t="shared" si="156"/>
        <v>0</v>
      </c>
      <c r="S383" s="63">
        <f t="shared" si="156"/>
        <v>0</v>
      </c>
      <c r="T383" s="63">
        <f t="shared" si="156"/>
        <v>0</v>
      </c>
      <c r="U383" s="63">
        <f t="shared" si="156"/>
        <v>0</v>
      </c>
      <c r="V383" s="63">
        <f t="shared" si="156"/>
        <v>0</v>
      </c>
      <c r="W383" s="63">
        <f t="shared" si="156"/>
        <v>0</v>
      </c>
      <c r="X383" s="63">
        <f t="shared" si="156"/>
        <v>0</v>
      </c>
      <c r="Y383" s="63">
        <f t="shared" si="156"/>
        <v>0</v>
      </c>
      <c r="Z383" s="63">
        <f t="shared" si="156"/>
        <v>0</v>
      </c>
      <c r="AA383" s="63">
        <f t="shared" si="156"/>
        <v>0</v>
      </c>
      <c r="AB383" s="63">
        <f t="shared" si="156"/>
        <v>0</v>
      </c>
      <c r="AC383" s="63">
        <f>AC372+AC381</f>
        <v>0</v>
      </c>
      <c r="AD383" s="63">
        <f>AD372+AD381</f>
        <v>0</v>
      </c>
      <c r="AE383" s="63">
        <f>AE372+AE381</f>
        <v>0</v>
      </c>
      <c r="AF383" s="64">
        <f t="shared" si="147"/>
        <v>27718933</v>
      </c>
      <c r="AG383" s="59" t="str">
        <f>IF(ABS(AF383-F383)&lt;1,"ok","err")</f>
        <v>ok</v>
      </c>
    </row>
    <row r="384" spans="1:33">
      <c r="A384" s="61"/>
      <c r="B384" s="61"/>
      <c r="F384" s="77"/>
      <c r="W384" s="45"/>
      <c r="AF384" s="64"/>
      <c r="AG384" s="59"/>
    </row>
    <row r="385" spans="1:33" ht="15">
      <c r="A385" s="66" t="s">
        <v>320</v>
      </c>
      <c r="B385" s="61"/>
      <c r="W385" s="45"/>
      <c r="AG385" s="59"/>
    </row>
    <row r="386" spans="1:33">
      <c r="A386" s="71">
        <v>535</v>
      </c>
      <c r="B386" s="61" t="s">
        <v>209</v>
      </c>
      <c r="C386" s="45" t="s">
        <v>599</v>
      </c>
      <c r="D386" s="45" t="s">
        <v>650</v>
      </c>
      <c r="F386" s="77">
        <v>95870</v>
      </c>
      <c r="H386" s="64">
        <f t="shared" ref="H386:Q391" si="157">IF(VLOOKUP($D386,$C$6:$AE$653,H$2,)=0,0,((VLOOKUP($D386,$C$6:$AE$653,H$2,)/VLOOKUP($D386,$C$6:$AE$653,4,))*$F386))</f>
        <v>32960.231105477011</v>
      </c>
      <c r="I386" s="64">
        <f t="shared" si="157"/>
        <v>34527.928278490472</v>
      </c>
      <c r="J386" s="64">
        <f t="shared" si="157"/>
        <v>28381.840616032525</v>
      </c>
      <c r="K386" s="64">
        <f t="shared" si="157"/>
        <v>0</v>
      </c>
      <c r="L386" s="64">
        <f t="shared" si="157"/>
        <v>0</v>
      </c>
      <c r="M386" s="64">
        <f t="shared" si="157"/>
        <v>0</v>
      </c>
      <c r="N386" s="64">
        <f t="shared" si="157"/>
        <v>0</v>
      </c>
      <c r="O386" s="64">
        <f t="shared" si="157"/>
        <v>0</v>
      </c>
      <c r="P386" s="64">
        <f t="shared" si="157"/>
        <v>0</v>
      </c>
      <c r="Q386" s="64">
        <f t="shared" si="157"/>
        <v>0</v>
      </c>
      <c r="R386" s="64">
        <f t="shared" ref="R386:AE391" si="158">IF(VLOOKUP($D386,$C$6:$AE$653,R$2,)=0,0,((VLOOKUP($D386,$C$6:$AE$653,R$2,)/VLOOKUP($D386,$C$6:$AE$653,4,))*$F386))</f>
        <v>0</v>
      </c>
      <c r="S386" s="64">
        <f t="shared" si="158"/>
        <v>0</v>
      </c>
      <c r="T386" s="64">
        <f t="shared" si="158"/>
        <v>0</v>
      </c>
      <c r="U386" s="64">
        <f t="shared" si="158"/>
        <v>0</v>
      </c>
      <c r="V386" s="64">
        <f t="shared" si="158"/>
        <v>0</v>
      </c>
      <c r="W386" s="64">
        <f t="shared" si="158"/>
        <v>0</v>
      </c>
      <c r="X386" s="64">
        <f t="shared" si="158"/>
        <v>0</v>
      </c>
      <c r="Y386" s="64">
        <f t="shared" si="158"/>
        <v>0</v>
      </c>
      <c r="Z386" s="64">
        <f t="shared" si="158"/>
        <v>0</v>
      </c>
      <c r="AA386" s="64">
        <f t="shared" si="158"/>
        <v>0</v>
      </c>
      <c r="AB386" s="64">
        <f t="shared" si="158"/>
        <v>0</v>
      </c>
      <c r="AC386" s="64">
        <f t="shared" si="158"/>
        <v>0</v>
      </c>
      <c r="AD386" s="64">
        <f t="shared" si="158"/>
        <v>0</v>
      </c>
      <c r="AE386" s="64">
        <f t="shared" si="158"/>
        <v>0</v>
      </c>
      <c r="AF386" s="64">
        <f t="shared" ref="AF386:AF391" si="159">SUM(H386:AE386)</f>
        <v>95870.000000000015</v>
      </c>
      <c r="AG386" s="59" t="str">
        <f t="shared" ref="AG386:AG391" si="160">IF(ABS(AF386-F386)&lt;1,"ok","err")</f>
        <v>ok</v>
      </c>
    </row>
    <row r="387" spans="1:33">
      <c r="A387" s="289">
        <v>536</v>
      </c>
      <c r="B387" s="61" t="s">
        <v>327</v>
      </c>
      <c r="C387" s="45" t="s">
        <v>600</v>
      </c>
      <c r="D387" s="45" t="s">
        <v>646</v>
      </c>
      <c r="F387" s="80">
        <v>0</v>
      </c>
      <c r="H387" s="64">
        <f t="shared" si="157"/>
        <v>0</v>
      </c>
      <c r="I387" s="64">
        <f t="shared" si="157"/>
        <v>0</v>
      </c>
      <c r="J387" s="64">
        <f t="shared" si="157"/>
        <v>0</v>
      </c>
      <c r="K387" s="64">
        <f t="shared" si="157"/>
        <v>0</v>
      </c>
      <c r="L387" s="64">
        <f t="shared" si="157"/>
        <v>0</v>
      </c>
      <c r="M387" s="64">
        <f t="shared" si="157"/>
        <v>0</v>
      </c>
      <c r="N387" s="64">
        <f t="shared" si="157"/>
        <v>0</v>
      </c>
      <c r="O387" s="64">
        <f t="shared" si="157"/>
        <v>0</v>
      </c>
      <c r="P387" s="64">
        <f t="shared" si="157"/>
        <v>0</v>
      </c>
      <c r="Q387" s="64">
        <f t="shared" si="157"/>
        <v>0</v>
      </c>
      <c r="R387" s="64">
        <f t="shared" si="158"/>
        <v>0</v>
      </c>
      <c r="S387" s="64">
        <f t="shared" si="158"/>
        <v>0</v>
      </c>
      <c r="T387" s="64">
        <f t="shared" si="158"/>
        <v>0</v>
      </c>
      <c r="U387" s="64">
        <f t="shared" si="158"/>
        <v>0</v>
      </c>
      <c r="V387" s="64">
        <f t="shared" si="158"/>
        <v>0</v>
      </c>
      <c r="W387" s="64">
        <f t="shared" si="158"/>
        <v>0</v>
      </c>
      <c r="X387" s="64">
        <f t="shared" si="158"/>
        <v>0</v>
      </c>
      <c r="Y387" s="64">
        <f t="shared" si="158"/>
        <v>0</v>
      </c>
      <c r="Z387" s="64">
        <f t="shared" si="158"/>
        <v>0</v>
      </c>
      <c r="AA387" s="64">
        <f t="shared" si="158"/>
        <v>0</v>
      </c>
      <c r="AB387" s="64">
        <f t="shared" si="158"/>
        <v>0</v>
      </c>
      <c r="AC387" s="64">
        <f t="shared" si="158"/>
        <v>0</v>
      </c>
      <c r="AD387" s="64">
        <f t="shared" si="158"/>
        <v>0</v>
      </c>
      <c r="AE387" s="64">
        <f t="shared" si="158"/>
        <v>0</v>
      </c>
      <c r="AF387" s="64">
        <f t="shared" si="159"/>
        <v>0</v>
      </c>
      <c r="AG387" s="59" t="str">
        <f t="shared" si="160"/>
        <v>ok</v>
      </c>
    </row>
    <row r="388" spans="1:33">
      <c r="A388" s="61">
        <v>537</v>
      </c>
      <c r="B388" s="61" t="s">
        <v>326</v>
      </c>
      <c r="C388" s="45" t="s">
        <v>601</v>
      </c>
      <c r="D388" s="45" t="s">
        <v>646</v>
      </c>
      <c r="F388" s="80"/>
      <c r="H388" s="64">
        <f t="shared" si="157"/>
        <v>0</v>
      </c>
      <c r="I388" s="64">
        <f t="shared" si="157"/>
        <v>0</v>
      </c>
      <c r="J388" s="64">
        <f t="shared" si="157"/>
        <v>0</v>
      </c>
      <c r="K388" s="64">
        <f t="shared" si="157"/>
        <v>0</v>
      </c>
      <c r="L388" s="64">
        <f t="shared" si="157"/>
        <v>0</v>
      </c>
      <c r="M388" s="64">
        <f t="shared" si="157"/>
        <v>0</v>
      </c>
      <c r="N388" s="64">
        <f t="shared" si="157"/>
        <v>0</v>
      </c>
      <c r="O388" s="64">
        <f t="shared" si="157"/>
        <v>0</v>
      </c>
      <c r="P388" s="64">
        <f t="shared" si="157"/>
        <v>0</v>
      </c>
      <c r="Q388" s="64">
        <f t="shared" si="157"/>
        <v>0</v>
      </c>
      <c r="R388" s="64">
        <f t="shared" si="158"/>
        <v>0</v>
      </c>
      <c r="S388" s="64">
        <f t="shared" si="158"/>
        <v>0</v>
      </c>
      <c r="T388" s="64">
        <f t="shared" si="158"/>
        <v>0</v>
      </c>
      <c r="U388" s="64">
        <f t="shared" si="158"/>
        <v>0</v>
      </c>
      <c r="V388" s="64">
        <f t="shared" si="158"/>
        <v>0</v>
      </c>
      <c r="W388" s="64">
        <f t="shared" si="158"/>
        <v>0</v>
      </c>
      <c r="X388" s="64">
        <f t="shared" si="158"/>
        <v>0</v>
      </c>
      <c r="Y388" s="64">
        <f t="shared" si="158"/>
        <v>0</v>
      </c>
      <c r="Z388" s="64">
        <f t="shared" si="158"/>
        <v>0</v>
      </c>
      <c r="AA388" s="64">
        <f t="shared" si="158"/>
        <v>0</v>
      </c>
      <c r="AB388" s="64">
        <f t="shared" si="158"/>
        <v>0</v>
      </c>
      <c r="AC388" s="64">
        <f t="shared" si="158"/>
        <v>0</v>
      </c>
      <c r="AD388" s="64">
        <f t="shared" si="158"/>
        <v>0</v>
      </c>
      <c r="AE388" s="64">
        <f t="shared" si="158"/>
        <v>0</v>
      </c>
      <c r="AF388" s="64">
        <f t="shared" si="159"/>
        <v>0</v>
      </c>
      <c r="AG388" s="59" t="str">
        <f t="shared" si="160"/>
        <v>ok</v>
      </c>
    </row>
    <row r="389" spans="1:33">
      <c r="A389" s="288">
        <v>538</v>
      </c>
      <c r="B389" s="61" t="s">
        <v>215</v>
      </c>
      <c r="C389" s="45" t="s">
        <v>602</v>
      </c>
      <c r="D389" s="45" t="s">
        <v>646</v>
      </c>
      <c r="F389" s="80">
        <v>180161</v>
      </c>
      <c r="H389" s="64">
        <f t="shared" si="157"/>
        <v>61939.586900947557</v>
      </c>
      <c r="I389" s="64">
        <f t="shared" si="157"/>
        <v>64885.63770294276</v>
      </c>
      <c r="J389" s="64">
        <f t="shared" si="157"/>
        <v>53335.775396109682</v>
      </c>
      <c r="K389" s="64">
        <f t="shared" si="157"/>
        <v>0</v>
      </c>
      <c r="L389" s="64">
        <f t="shared" si="157"/>
        <v>0</v>
      </c>
      <c r="M389" s="64">
        <f t="shared" si="157"/>
        <v>0</v>
      </c>
      <c r="N389" s="64">
        <f t="shared" si="157"/>
        <v>0</v>
      </c>
      <c r="O389" s="64">
        <f t="shared" si="157"/>
        <v>0</v>
      </c>
      <c r="P389" s="64">
        <f t="shared" si="157"/>
        <v>0</v>
      </c>
      <c r="Q389" s="64">
        <f t="shared" si="157"/>
        <v>0</v>
      </c>
      <c r="R389" s="64">
        <f t="shared" si="158"/>
        <v>0</v>
      </c>
      <c r="S389" s="64">
        <f t="shared" si="158"/>
        <v>0</v>
      </c>
      <c r="T389" s="64">
        <f t="shared" si="158"/>
        <v>0</v>
      </c>
      <c r="U389" s="64">
        <f t="shared" si="158"/>
        <v>0</v>
      </c>
      <c r="V389" s="64">
        <f t="shared" si="158"/>
        <v>0</v>
      </c>
      <c r="W389" s="64">
        <f t="shared" si="158"/>
        <v>0</v>
      </c>
      <c r="X389" s="64">
        <f t="shared" si="158"/>
        <v>0</v>
      </c>
      <c r="Y389" s="64">
        <f t="shared" si="158"/>
        <v>0</v>
      </c>
      <c r="Z389" s="64">
        <f t="shared" si="158"/>
        <v>0</v>
      </c>
      <c r="AA389" s="64">
        <f t="shared" si="158"/>
        <v>0</v>
      </c>
      <c r="AB389" s="64">
        <f t="shared" si="158"/>
        <v>0</v>
      </c>
      <c r="AC389" s="64">
        <f t="shared" si="158"/>
        <v>0</v>
      </c>
      <c r="AD389" s="64">
        <f t="shared" si="158"/>
        <v>0</v>
      </c>
      <c r="AE389" s="64">
        <f t="shared" si="158"/>
        <v>0</v>
      </c>
      <c r="AF389" s="64">
        <f t="shared" si="159"/>
        <v>180161</v>
      </c>
      <c r="AG389" s="59" t="str">
        <f t="shared" si="160"/>
        <v>ok</v>
      </c>
    </row>
    <row r="390" spans="1:33">
      <c r="A390" s="61">
        <v>539</v>
      </c>
      <c r="B390" s="61" t="s">
        <v>328</v>
      </c>
      <c r="C390" s="45" t="s">
        <v>603</v>
      </c>
      <c r="D390" s="45" t="s">
        <v>646</v>
      </c>
      <c r="F390" s="80">
        <v>60427</v>
      </c>
      <c r="H390" s="64">
        <f t="shared" si="157"/>
        <v>20774.881454163544</v>
      </c>
      <c r="I390" s="64">
        <f t="shared" si="157"/>
        <v>21763.003255286781</v>
      </c>
      <c r="J390" s="64">
        <f t="shared" si="157"/>
        <v>17889.115290549675</v>
      </c>
      <c r="K390" s="64">
        <f t="shared" si="157"/>
        <v>0</v>
      </c>
      <c r="L390" s="64">
        <f t="shared" si="157"/>
        <v>0</v>
      </c>
      <c r="M390" s="64">
        <f t="shared" si="157"/>
        <v>0</v>
      </c>
      <c r="N390" s="64">
        <f t="shared" si="157"/>
        <v>0</v>
      </c>
      <c r="O390" s="64">
        <f t="shared" si="157"/>
        <v>0</v>
      </c>
      <c r="P390" s="64">
        <f t="shared" si="157"/>
        <v>0</v>
      </c>
      <c r="Q390" s="64">
        <f t="shared" si="157"/>
        <v>0</v>
      </c>
      <c r="R390" s="64">
        <f t="shared" si="158"/>
        <v>0</v>
      </c>
      <c r="S390" s="64">
        <f t="shared" si="158"/>
        <v>0</v>
      </c>
      <c r="T390" s="64">
        <f t="shared" si="158"/>
        <v>0</v>
      </c>
      <c r="U390" s="64">
        <f t="shared" si="158"/>
        <v>0</v>
      </c>
      <c r="V390" s="64">
        <f t="shared" si="158"/>
        <v>0</v>
      </c>
      <c r="W390" s="64">
        <f t="shared" si="158"/>
        <v>0</v>
      </c>
      <c r="X390" s="64">
        <f t="shared" si="158"/>
        <v>0</v>
      </c>
      <c r="Y390" s="64">
        <f t="shared" si="158"/>
        <v>0</v>
      </c>
      <c r="Z390" s="64">
        <f t="shared" si="158"/>
        <v>0</v>
      </c>
      <c r="AA390" s="64">
        <f t="shared" si="158"/>
        <v>0</v>
      </c>
      <c r="AB390" s="64">
        <f t="shared" si="158"/>
        <v>0</v>
      </c>
      <c r="AC390" s="64">
        <f t="shared" si="158"/>
        <v>0</v>
      </c>
      <c r="AD390" s="64">
        <f t="shared" si="158"/>
        <v>0</v>
      </c>
      <c r="AE390" s="64">
        <f t="shared" si="158"/>
        <v>0</v>
      </c>
      <c r="AF390" s="64">
        <f t="shared" si="159"/>
        <v>60427</v>
      </c>
      <c r="AG390" s="59" t="str">
        <f t="shared" si="160"/>
        <v>ok</v>
      </c>
    </row>
    <row r="391" spans="1:33">
      <c r="A391" s="288">
        <v>540</v>
      </c>
      <c r="B391" s="61" t="s">
        <v>1013</v>
      </c>
      <c r="D391" s="45" t="s">
        <v>646</v>
      </c>
      <c r="F391" s="80">
        <v>0</v>
      </c>
      <c r="H391" s="64">
        <f t="shared" si="157"/>
        <v>0</v>
      </c>
      <c r="I391" s="64">
        <f t="shared" si="157"/>
        <v>0</v>
      </c>
      <c r="J391" s="64">
        <f t="shared" si="157"/>
        <v>0</v>
      </c>
      <c r="K391" s="64">
        <f t="shared" si="157"/>
        <v>0</v>
      </c>
      <c r="L391" s="64">
        <f t="shared" si="157"/>
        <v>0</v>
      </c>
      <c r="M391" s="64">
        <f t="shared" si="157"/>
        <v>0</v>
      </c>
      <c r="N391" s="64">
        <f t="shared" si="157"/>
        <v>0</v>
      </c>
      <c r="O391" s="64">
        <f t="shared" si="157"/>
        <v>0</v>
      </c>
      <c r="P391" s="64">
        <f t="shared" si="157"/>
        <v>0</v>
      </c>
      <c r="Q391" s="64">
        <f t="shared" si="157"/>
        <v>0</v>
      </c>
      <c r="R391" s="64">
        <f t="shared" si="158"/>
        <v>0</v>
      </c>
      <c r="S391" s="64">
        <f t="shared" si="158"/>
        <v>0</v>
      </c>
      <c r="T391" s="64">
        <f t="shared" si="158"/>
        <v>0</v>
      </c>
      <c r="U391" s="64">
        <f t="shared" si="158"/>
        <v>0</v>
      </c>
      <c r="V391" s="64">
        <f t="shared" si="158"/>
        <v>0</v>
      </c>
      <c r="W391" s="64">
        <f t="shared" si="158"/>
        <v>0</v>
      </c>
      <c r="X391" s="64">
        <f t="shared" si="158"/>
        <v>0</v>
      </c>
      <c r="Y391" s="64">
        <f t="shared" si="158"/>
        <v>0</v>
      </c>
      <c r="Z391" s="64">
        <f t="shared" si="158"/>
        <v>0</v>
      </c>
      <c r="AA391" s="64">
        <f t="shared" si="158"/>
        <v>0</v>
      </c>
      <c r="AB391" s="64">
        <f t="shared" si="158"/>
        <v>0</v>
      </c>
      <c r="AC391" s="64">
        <f t="shared" si="158"/>
        <v>0</v>
      </c>
      <c r="AD391" s="64">
        <f t="shared" si="158"/>
        <v>0</v>
      </c>
      <c r="AE391" s="64">
        <f t="shared" si="158"/>
        <v>0</v>
      </c>
      <c r="AF391" s="64">
        <f t="shared" si="159"/>
        <v>0</v>
      </c>
      <c r="AG391" s="59" t="str">
        <f t="shared" si="160"/>
        <v>ok</v>
      </c>
    </row>
    <row r="392" spans="1:33">
      <c r="A392" s="61"/>
      <c r="B392" s="61"/>
      <c r="F392" s="77"/>
      <c r="W392" s="45"/>
      <c r="AF392" s="64"/>
      <c r="AG392" s="59"/>
    </row>
    <row r="393" spans="1:33">
      <c r="A393" s="61"/>
      <c r="B393" s="61" t="s">
        <v>323</v>
      </c>
      <c r="C393" s="45" t="s">
        <v>652</v>
      </c>
      <c r="F393" s="77">
        <f>SUM(F386:F392)</f>
        <v>336458</v>
      </c>
      <c r="H393" s="63">
        <f t="shared" ref="H393:M393" si="161">SUM(H386:H392)</f>
        <v>115674.6994605881</v>
      </c>
      <c r="I393" s="63">
        <f t="shared" si="161"/>
        <v>121176.56923672001</v>
      </c>
      <c r="J393" s="63">
        <f t="shared" si="161"/>
        <v>99606.731302691886</v>
      </c>
      <c r="K393" s="63">
        <f t="shared" si="161"/>
        <v>0</v>
      </c>
      <c r="L393" s="63">
        <f t="shared" si="161"/>
        <v>0</v>
      </c>
      <c r="M393" s="63">
        <f t="shared" si="161"/>
        <v>0</v>
      </c>
      <c r="N393" s="63">
        <f>SUM(N386:N392)</f>
        <v>0</v>
      </c>
      <c r="O393" s="63">
        <f>SUM(O386:O392)</f>
        <v>0</v>
      </c>
      <c r="P393" s="63">
        <f>SUM(P386:P392)</f>
        <v>0</v>
      </c>
      <c r="Q393" s="63">
        <f t="shared" ref="Q393:AB393" si="162">SUM(Q386:Q392)</f>
        <v>0</v>
      </c>
      <c r="R393" s="63">
        <f t="shared" si="162"/>
        <v>0</v>
      </c>
      <c r="S393" s="63">
        <f t="shared" si="162"/>
        <v>0</v>
      </c>
      <c r="T393" s="63">
        <f t="shared" si="162"/>
        <v>0</v>
      </c>
      <c r="U393" s="63">
        <f t="shared" si="162"/>
        <v>0</v>
      </c>
      <c r="V393" s="63">
        <f t="shared" si="162"/>
        <v>0</v>
      </c>
      <c r="W393" s="63">
        <f t="shared" si="162"/>
        <v>0</v>
      </c>
      <c r="X393" s="63">
        <f t="shared" si="162"/>
        <v>0</v>
      </c>
      <c r="Y393" s="63">
        <f t="shared" si="162"/>
        <v>0</v>
      </c>
      <c r="Z393" s="63">
        <f t="shared" si="162"/>
        <v>0</v>
      </c>
      <c r="AA393" s="63">
        <f t="shared" si="162"/>
        <v>0</v>
      </c>
      <c r="AB393" s="63">
        <f t="shared" si="162"/>
        <v>0</v>
      </c>
      <c r="AC393" s="63">
        <f>SUM(AC386:AC392)</f>
        <v>0</v>
      </c>
      <c r="AD393" s="63">
        <f>SUM(AD386:AD392)</f>
        <v>0</v>
      </c>
      <c r="AE393" s="63">
        <f>SUM(AE386:AE392)</f>
        <v>0</v>
      </c>
      <c r="AF393" s="64">
        <f>SUM(H393:AE393)</f>
        <v>336458</v>
      </c>
      <c r="AG393" s="59" t="str">
        <f>IF(ABS(AF393-F393)&lt;1,"ok","err")</f>
        <v>ok</v>
      </c>
    </row>
    <row r="394" spans="1:33">
      <c r="A394" s="61"/>
      <c r="B394" s="61"/>
      <c r="F394" s="77"/>
      <c r="W394" s="45"/>
      <c r="AG394" s="59"/>
    </row>
    <row r="395" spans="1:33" ht="15">
      <c r="A395" s="66" t="s">
        <v>321</v>
      </c>
      <c r="B395" s="61"/>
      <c r="F395" s="77"/>
      <c r="W395" s="45"/>
      <c r="AG395" s="59"/>
    </row>
    <row r="396" spans="1:33">
      <c r="A396" s="71">
        <v>541</v>
      </c>
      <c r="B396" s="61" t="s">
        <v>224</v>
      </c>
      <c r="C396" s="45" t="s">
        <v>604</v>
      </c>
      <c r="D396" s="45" t="s">
        <v>657</v>
      </c>
      <c r="F396" s="77">
        <v>0</v>
      </c>
      <c r="H396" s="64">
        <f t="shared" ref="H396:Q400" si="163">IF(VLOOKUP($D396,$C$6:$AE$653,H$2,)=0,0,((VLOOKUP($D396,$C$6:$AE$653,H$2,)/VLOOKUP($D396,$C$6:$AE$653,4,))*$F396))</f>
        <v>0</v>
      </c>
      <c r="I396" s="64">
        <f t="shared" si="163"/>
        <v>0</v>
      </c>
      <c r="J396" s="64">
        <f t="shared" si="163"/>
        <v>0</v>
      </c>
      <c r="K396" s="64">
        <f t="shared" si="163"/>
        <v>0</v>
      </c>
      <c r="L396" s="64">
        <f t="shared" si="163"/>
        <v>0</v>
      </c>
      <c r="M396" s="64">
        <f t="shared" si="163"/>
        <v>0</v>
      </c>
      <c r="N396" s="64">
        <f t="shared" si="163"/>
        <v>0</v>
      </c>
      <c r="O396" s="64">
        <f t="shared" si="163"/>
        <v>0</v>
      </c>
      <c r="P396" s="64">
        <f t="shared" si="163"/>
        <v>0</v>
      </c>
      <c r="Q396" s="64">
        <f t="shared" si="163"/>
        <v>0</v>
      </c>
      <c r="R396" s="64">
        <f t="shared" ref="R396:AE400" si="164">IF(VLOOKUP($D396,$C$6:$AE$653,R$2,)=0,0,((VLOOKUP($D396,$C$6:$AE$653,R$2,)/VLOOKUP($D396,$C$6:$AE$653,4,))*$F396))</f>
        <v>0</v>
      </c>
      <c r="S396" s="64">
        <f t="shared" si="164"/>
        <v>0</v>
      </c>
      <c r="T396" s="64">
        <f t="shared" si="164"/>
        <v>0</v>
      </c>
      <c r="U396" s="64">
        <f t="shared" si="164"/>
        <v>0</v>
      </c>
      <c r="V396" s="64">
        <f t="shared" si="164"/>
        <v>0</v>
      </c>
      <c r="W396" s="64">
        <f t="shared" si="164"/>
        <v>0</v>
      </c>
      <c r="X396" s="64">
        <f t="shared" si="164"/>
        <v>0</v>
      </c>
      <c r="Y396" s="64">
        <f t="shared" si="164"/>
        <v>0</v>
      </c>
      <c r="Z396" s="64">
        <f t="shared" si="164"/>
        <v>0</v>
      </c>
      <c r="AA396" s="64">
        <f t="shared" si="164"/>
        <v>0</v>
      </c>
      <c r="AB396" s="64">
        <f t="shared" si="164"/>
        <v>0</v>
      </c>
      <c r="AC396" s="64">
        <f t="shared" si="164"/>
        <v>0</v>
      </c>
      <c r="AD396" s="64">
        <f t="shared" si="164"/>
        <v>0</v>
      </c>
      <c r="AE396" s="64">
        <f t="shared" si="164"/>
        <v>0</v>
      </c>
      <c r="AF396" s="64">
        <f>SUM(H396:AE396)</f>
        <v>0</v>
      </c>
      <c r="AG396" s="59" t="str">
        <f>IF(ABS(AF396-F396)&lt;1,"ok","err")</f>
        <v>ok</v>
      </c>
    </row>
    <row r="397" spans="1:33">
      <c r="A397" s="71">
        <v>542</v>
      </c>
      <c r="B397" s="61" t="s">
        <v>223</v>
      </c>
      <c r="C397" s="45" t="s">
        <v>605</v>
      </c>
      <c r="D397" s="45" t="s">
        <v>646</v>
      </c>
      <c r="F397" s="80">
        <v>46873</v>
      </c>
      <c r="H397" s="64">
        <f t="shared" si="163"/>
        <v>16114.998566882481</v>
      </c>
      <c r="I397" s="64">
        <f t="shared" si="163"/>
        <v>16881.480986728737</v>
      </c>
      <c r="J397" s="64">
        <f t="shared" si="163"/>
        <v>13876.520446388782</v>
      </c>
      <c r="K397" s="64">
        <f t="shared" si="163"/>
        <v>0</v>
      </c>
      <c r="L397" s="64">
        <f t="shared" si="163"/>
        <v>0</v>
      </c>
      <c r="M397" s="64">
        <f t="shared" si="163"/>
        <v>0</v>
      </c>
      <c r="N397" s="64">
        <f t="shared" si="163"/>
        <v>0</v>
      </c>
      <c r="O397" s="64">
        <f t="shared" si="163"/>
        <v>0</v>
      </c>
      <c r="P397" s="64">
        <f t="shared" si="163"/>
        <v>0</v>
      </c>
      <c r="Q397" s="64">
        <f t="shared" si="163"/>
        <v>0</v>
      </c>
      <c r="R397" s="64">
        <f t="shared" si="164"/>
        <v>0</v>
      </c>
      <c r="S397" s="64">
        <f t="shared" si="164"/>
        <v>0</v>
      </c>
      <c r="T397" s="64">
        <f t="shared" si="164"/>
        <v>0</v>
      </c>
      <c r="U397" s="64">
        <f t="shared" si="164"/>
        <v>0</v>
      </c>
      <c r="V397" s="64">
        <f t="shared" si="164"/>
        <v>0</v>
      </c>
      <c r="W397" s="64">
        <f t="shared" si="164"/>
        <v>0</v>
      </c>
      <c r="X397" s="64">
        <f t="shared" si="164"/>
        <v>0</v>
      </c>
      <c r="Y397" s="64">
        <f t="shared" si="164"/>
        <v>0</v>
      </c>
      <c r="Z397" s="64">
        <f t="shared" si="164"/>
        <v>0</v>
      </c>
      <c r="AA397" s="64">
        <f t="shared" si="164"/>
        <v>0</v>
      </c>
      <c r="AB397" s="64">
        <f t="shared" si="164"/>
        <v>0</v>
      </c>
      <c r="AC397" s="64">
        <f t="shared" si="164"/>
        <v>0</v>
      </c>
      <c r="AD397" s="64">
        <f t="shared" si="164"/>
        <v>0</v>
      </c>
      <c r="AE397" s="64">
        <f t="shared" si="164"/>
        <v>0</v>
      </c>
      <c r="AF397" s="64">
        <f>SUM(H397:AE397)</f>
        <v>46873</v>
      </c>
      <c r="AG397" s="59" t="str">
        <f>IF(ABS(AF397-F397)&lt;1,"ok","err")</f>
        <v>ok</v>
      </c>
    </row>
    <row r="398" spans="1:33">
      <c r="A398" s="71">
        <v>543</v>
      </c>
      <c r="B398" s="61" t="s">
        <v>322</v>
      </c>
      <c r="C398" s="45" t="s">
        <v>606</v>
      </c>
      <c r="D398" s="45" t="s">
        <v>646</v>
      </c>
      <c r="F398" s="80">
        <v>46873</v>
      </c>
      <c r="H398" s="64">
        <f t="shared" si="163"/>
        <v>16114.998566882481</v>
      </c>
      <c r="I398" s="64">
        <f t="shared" si="163"/>
        <v>16881.480986728737</v>
      </c>
      <c r="J398" s="64">
        <f t="shared" si="163"/>
        <v>13876.520446388782</v>
      </c>
      <c r="K398" s="64">
        <f t="shared" si="163"/>
        <v>0</v>
      </c>
      <c r="L398" s="64">
        <f t="shared" si="163"/>
        <v>0</v>
      </c>
      <c r="M398" s="64">
        <f t="shared" si="163"/>
        <v>0</v>
      </c>
      <c r="N398" s="64">
        <f t="shared" si="163"/>
        <v>0</v>
      </c>
      <c r="O398" s="64">
        <f t="shared" si="163"/>
        <v>0</v>
      </c>
      <c r="P398" s="64">
        <f t="shared" si="163"/>
        <v>0</v>
      </c>
      <c r="Q398" s="64">
        <f t="shared" si="163"/>
        <v>0</v>
      </c>
      <c r="R398" s="64">
        <f t="shared" si="164"/>
        <v>0</v>
      </c>
      <c r="S398" s="64">
        <f t="shared" si="164"/>
        <v>0</v>
      </c>
      <c r="T398" s="64">
        <f t="shared" si="164"/>
        <v>0</v>
      </c>
      <c r="U398" s="64">
        <f t="shared" si="164"/>
        <v>0</v>
      </c>
      <c r="V398" s="64">
        <f t="shared" si="164"/>
        <v>0</v>
      </c>
      <c r="W398" s="64">
        <f t="shared" si="164"/>
        <v>0</v>
      </c>
      <c r="X398" s="64">
        <f t="shared" si="164"/>
        <v>0</v>
      </c>
      <c r="Y398" s="64">
        <f t="shared" si="164"/>
        <v>0</v>
      </c>
      <c r="Z398" s="64">
        <f t="shared" si="164"/>
        <v>0</v>
      </c>
      <c r="AA398" s="64">
        <f t="shared" si="164"/>
        <v>0</v>
      </c>
      <c r="AB398" s="64">
        <f t="shared" si="164"/>
        <v>0</v>
      </c>
      <c r="AC398" s="64">
        <f t="shared" si="164"/>
        <v>0</v>
      </c>
      <c r="AD398" s="64">
        <f t="shared" si="164"/>
        <v>0</v>
      </c>
      <c r="AE398" s="64">
        <f t="shared" si="164"/>
        <v>0</v>
      </c>
      <c r="AF398" s="64">
        <f>SUM(H398:AE398)</f>
        <v>46873</v>
      </c>
      <c r="AG398" s="59" t="str">
        <f>IF(ABS(AF398-F398)&lt;1,"ok","err")</f>
        <v>ok</v>
      </c>
    </row>
    <row r="399" spans="1:33">
      <c r="A399" s="61">
        <v>544</v>
      </c>
      <c r="B399" s="61" t="s">
        <v>227</v>
      </c>
      <c r="C399" s="45" t="s">
        <v>607</v>
      </c>
      <c r="D399" s="45" t="s">
        <v>939</v>
      </c>
      <c r="F399" s="80">
        <v>151040</v>
      </c>
      <c r="H399" s="64">
        <f t="shared" si="163"/>
        <v>0</v>
      </c>
      <c r="I399" s="64">
        <f t="shared" si="163"/>
        <v>0</v>
      </c>
      <c r="J399" s="64">
        <f t="shared" si="163"/>
        <v>0</v>
      </c>
      <c r="K399" s="64">
        <f t="shared" si="163"/>
        <v>151040</v>
      </c>
      <c r="L399" s="64">
        <f t="shared" si="163"/>
        <v>0</v>
      </c>
      <c r="M399" s="64">
        <f t="shared" si="163"/>
        <v>0</v>
      </c>
      <c r="N399" s="64">
        <f t="shared" si="163"/>
        <v>0</v>
      </c>
      <c r="O399" s="64">
        <f t="shared" si="163"/>
        <v>0</v>
      </c>
      <c r="P399" s="64">
        <f t="shared" si="163"/>
        <v>0</v>
      </c>
      <c r="Q399" s="64">
        <f t="shared" si="163"/>
        <v>0</v>
      </c>
      <c r="R399" s="64">
        <f t="shared" si="164"/>
        <v>0</v>
      </c>
      <c r="S399" s="64">
        <f t="shared" si="164"/>
        <v>0</v>
      </c>
      <c r="T399" s="64">
        <f t="shared" si="164"/>
        <v>0</v>
      </c>
      <c r="U399" s="64">
        <f t="shared" si="164"/>
        <v>0</v>
      </c>
      <c r="V399" s="64">
        <f t="shared" si="164"/>
        <v>0</v>
      </c>
      <c r="W399" s="64">
        <f t="shared" si="164"/>
        <v>0</v>
      </c>
      <c r="X399" s="64">
        <f t="shared" si="164"/>
        <v>0</v>
      </c>
      <c r="Y399" s="64">
        <f t="shared" si="164"/>
        <v>0</v>
      </c>
      <c r="Z399" s="64">
        <f t="shared" si="164"/>
        <v>0</v>
      </c>
      <c r="AA399" s="64">
        <f t="shared" si="164"/>
        <v>0</v>
      </c>
      <c r="AB399" s="64">
        <f t="shared" si="164"/>
        <v>0</v>
      </c>
      <c r="AC399" s="64">
        <f t="shared" si="164"/>
        <v>0</v>
      </c>
      <c r="AD399" s="64">
        <f t="shared" si="164"/>
        <v>0</v>
      </c>
      <c r="AE399" s="64">
        <f t="shared" si="164"/>
        <v>0</v>
      </c>
      <c r="AF399" s="64">
        <f>SUM(H399:AE399)</f>
        <v>151040</v>
      </c>
      <c r="AG399" s="59" t="str">
        <f>IF(ABS(AF399-F399)&lt;1,"ok","err")</f>
        <v>ok</v>
      </c>
    </row>
    <row r="400" spans="1:33">
      <c r="A400" s="61">
        <v>545</v>
      </c>
      <c r="B400" s="61" t="s">
        <v>329</v>
      </c>
      <c r="C400" s="45" t="s">
        <v>608</v>
      </c>
      <c r="D400" s="45" t="s">
        <v>939</v>
      </c>
      <c r="F400" s="80">
        <v>0</v>
      </c>
      <c r="H400" s="64">
        <f t="shared" si="163"/>
        <v>0</v>
      </c>
      <c r="I400" s="64">
        <f t="shared" si="163"/>
        <v>0</v>
      </c>
      <c r="J400" s="64">
        <f t="shared" si="163"/>
        <v>0</v>
      </c>
      <c r="K400" s="64">
        <f t="shared" si="163"/>
        <v>0</v>
      </c>
      <c r="L400" s="64">
        <f t="shared" si="163"/>
        <v>0</v>
      </c>
      <c r="M400" s="64">
        <f t="shared" si="163"/>
        <v>0</v>
      </c>
      <c r="N400" s="64">
        <f t="shared" si="163"/>
        <v>0</v>
      </c>
      <c r="O400" s="64">
        <f t="shared" si="163"/>
        <v>0</v>
      </c>
      <c r="P400" s="64">
        <f t="shared" si="163"/>
        <v>0</v>
      </c>
      <c r="Q400" s="64">
        <f t="shared" si="163"/>
        <v>0</v>
      </c>
      <c r="R400" s="64">
        <f t="shared" si="164"/>
        <v>0</v>
      </c>
      <c r="S400" s="64">
        <f t="shared" si="164"/>
        <v>0</v>
      </c>
      <c r="T400" s="64">
        <f t="shared" si="164"/>
        <v>0</v>
      </c>
      <c r="U400" s="64">
        <f t="shared" si="164"/>
        <v>0</v>
      </c>
      <c r="V400" s="64">
        <f t="shared" si="164"/>
        <v>0</v>
      </c>
      <c r="W400" s="64">
        <f t="shared" si="164"/>
        <v>0</v>
      </c>
      <c r="X400" s="64">
        <f t="shared" si="164"/>
        <v>0</v>
      </c>
      <c r="Y400" s="64">
        <f t="shared" si="164"/>
        <v>0</v>
      </c>
      <c r="Z400" s="64">
        <f t="shared" si="164"/>
        <v>0</v>
      </c>
      <c r="AA400" s="64">
        <f t="shared" si="164"/>
        <v>0</v>
      </c>
      <c r="AB400" s="64">
        <f t="shared" si="164"/>
        <v>0</v>
      </c>
      <c r="AC400" s="64">
        <f t="shared" si="164"/>
        <v>0</v>
      </c>
      <c r="AD400" s="64">
        <f t="shared" si="164"/>
        <v>0</v>
      </c>
      <c r="AE400" s="64">
        <f t="shared" si="164"/>
        <v>0</v>
      </c>
      <c r="AF400" s="64">
        <f>SUM(H400:AE400)</f>
        <v>0</v>
      </c>
      <c r="AG400" s="59" t="str">
        <f>IF(ABS(AF400-F400)&lt;1,"ok","err")</f>
        <v>ok</v>
      </c>
    </row>
    <row r="401" spans="1:33">
      <c r="A401" s="61"/>
      <c r="B401" s="61"/>
      <c r="F401" s="77"/>
      <c r="W401" s="45"/>
      <c r="AG401" s="59"/>
    </row>
    <row r="402" spans="1:33">
      <c r="A402" s="61"/>
      <c r="B402" s="61" t="s">
        <v>325</v>
      </c>
      <c r="C402" s="45" t="s">
        <v>653</v>
      </c>
      <c r="F402" s="77">
        <f>SUM(F396:F401)</f>
        <v>244786</v>
      </c>
      <c r="H402" s="63">
        <f t="shared" ref="H402:M402" si="165">SUM(H396:H401)</f>
        <v>32229.997133764962</v>
      </c>
      <c r="I402" s="63">
        <f t="shared" si="165"/>
        <v>33762.961973457474</v>
      </c>
      <c r="J402" s="63">
        <f t="shared" si="165"/>
        <v>27753.040892777564</v>
      </c>
      <c r="K402" s="63">
        <f t="shared" si="165"/>
        <v>151040</v>
      </c>
      <c r="L402" s="63">
        <f t="shared" si="165"/>
        <v>0</v>
      </c>
      <c r="M402" s="63">
        <f t="shared" si="165"/>
        <v>0</v>
      </c>
      <c r="N402" s="63">
        <f>SUM(N396:N401)</f>
        <v>0</v>
      </c>
      <c r="O402" s="63">
        <f>SUM(O396:O401)</f>
        <v>0</v>
      </c>
      <c r="P402" s="63">
        <f>SUM(P396:P401)</f>
        <v>0</v>
      </c>
      <c r="Q402" s="63">
        <f t="shared" ref="Q402:AB402" si="166">SUM(Q396:Q401)</f>
        <v>0</v>
      </c>
      <c r="R402" s="63">
        <f t="shared" si="166"/>
        <v>0</v>
      </c>
      <c r="S402" s="63">
        <f t="shared" si="166"/>
        <v>0</v>
      </c>
      <c r="T402" s="63">
        <f t="shared" si="166"/>
        <v>0</v>
      </c>
      <c r="U402" s="63">
        <f t="shared" si="166"/>
        <v>0</v>
      </c>
      <c r="V402" s="63">
        <f t="shared" si="166"/>
        <v>0</v>
      </c>
      <c r="W402" s="63">
        <f t="shared" si="166"/>
        <v>0</v>
      </c>
      <c r="X402" s="63">
        <f t="shared" si="166"/>
        <v>0</v>
      </c>
      <c r="Y402" s="63">
        <f t="shared" si="166"/>
        <v>0</v>
      </c>
      <c r="Z402" s="63">
        <f t="shared" si="166"/>
        <v>0</v>
      </c>
      <c r="AA402" s="63">
        <f t="shared" si="166"/>
        <v>0</v>
      </c>
      <c r="AB402" s="63">
        <f t="shared" si="166"/>
        <v>0</v>
      </c>
      <c r="AC402" s="63">
        <f>SUM(AC396:AC401)</f>
        <v>0</v>
      </c>
      <c r="AD402" s="63">
        <f>SUM(AD396:AD401)</f>
        <v>0</v>
      </c>
      <c r="AE402" s="63">
        <f>SUM(AE396:AE401)</f>
        <v>0</v>
      </c>
      <c r="AF402" s="64">
        <f>SUM(H402:AE402)</f>
        <v>244786</v>
      </c>
      <c r="AG402" s="59" t="str">
        <f>IF(ABS(AF402-F402)&lt;1,"ok","err")</f>
        <v>ok</v>
      </c>
    </row>
    <row r="403" spans="1:33">
      <c r="A403" s="61"/>
      <c r="B403" s="61"/>
      <c r="F403" s="77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4"/>
      <c r="AG403" s="59"/>
    </row>
    <row r="404" spans="1:33">
      <c r="A404" s="61"/>
      <c r="B404" s="61" t="s">
        <v>324</v>
      </c>
      <c r="F404" s="77">
        <f>F393+F402</f>
        <v>581244</v>
      </c>
      <c r="H404" s="63">
        <f t="shared" ref="H404:M404" si="167">H393+H402</f>
        <v>147904.69659435307</v>
      </c>
      <c r="I404" s="63">
        <f t="shared" si="167"/>
        <v>154939.53121017749</v>
      </c>
      <c r="J404" s="63">
        <f t="shared" si="167"/>
        <v>127359.77219546944</v>
      </c>
      <c r="K404" s="63">
        <f t="shared" si="167"/>
        <v>151040</v>
      </c>
      <c r="L404" s="63">
        <f t="shared" si="167"/>
        <v>0</v>
      </c>
      <c r="M404" s="63">
        <f t="shared" si="167"/>
        <v>0</v>
      </c>
      <c r="N404" s="63">
        <f>N393+N402</f>
        <v>0</v>
      </c>
      <c r="O404" s="63">
        <f>O393+O402</f>
        <v>0</v>
      </c>
      <c r="P404" s="63">
        <f>P393+P402</f>
        <v>0</v>
      </c>
      <c r="Q404" s="63">
        <f t="shared" ref="Q404:AB404" si="168">Q393+Q402</f>
        <v>0</v>
      </c>
      <c r="R404" s="63">
        <f t="shared" si="168"/>
        <v>0</v>
      </c>
      <c r="S404" s="63">
        <f t="shared" si="168"/>
        <v>0</v>
      </c>
      <c r="T404" s="63">
        <f t="shared" si="168"/>
        <v>0</v>
      </c>
      <c r="U404" s="63">
        <f t="shared" si="168"/>
        <v>0</v>
      </c>
      <c r="V404" s="63">
        <f t="shared" si="168"/>
        <v>0</v>
      </c>
      <c r="W404" s="63">
        <f t="shared" si="168"/>
        <v>0</v>
      </c>
      <c r="X404" s="63">
        <f t="shared" si="168"/>
        <v>0</v>
      </c>
      <c r="Y404" s="63">
        <f t="shared" si="168"/>
        <v>0</v>
      </c>
      <c r="Z404" s="63">
        <f t="shared" si="168"/>
        <v>0</v>
      </c>
      <c r="AA404" s="63">
        <f t="shared" si="168"/>
        <v>0</v>
      </c>
      <c r="AB404" s="63">
        <f t="shared" si="168"/>
        <v>0</v>
      </c>
      <c r="AC404" s="63">
        <f>AC393+AC402</f>
        <v>0</v>
      </c>
      <c r="AD404" s="63">
        <f>AD393+AD402</f>
        <v>0</v>
      </c>
      <c r="AE404" s="63">
        <f>AE393+AE402</f>
        <v>0</v>
      </c>
      <c r="AF404" s="64">
        <f>SUM(H404:AE404)</f>
        <v>581244</v>
      </c>
      <c r="AG404" s="59" t="str">
        <f>IF(ABS(AF404-F404)&lt;1,"ok","err")</f>
        <v>ok</v>
      </c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0" t="s">
        <v>45</v>
      </c>
      <c r="B406" s="61"/>
      <c r="F406" s="77"/>
      <c r="W406" s="45"/>
      <c r="AF406" s="64"/>
      <c r="AG406" s="59"/>
    </row>
    <row r="407" spans="1:33">
      <c r="A407" s="61"/>
      <c r="B407" s="61"/>
      <c r="F407" s="77"/>
      <c r="W407" s="45"/>
      <c r="AF407" s="64"/>
      <c r="AG407" s="59"/>
    </row>
    <row r="408" spans="1:33" ht="15">
      <c r="A408" s="66" t="s">
        <v>234</v>
      </c>
      <c r="B408" s="61"/>
      <c r="F408" s="77"/>
      <c r="W408" s="45"/>
      <c r="AF408" s="64"/>
      <c r="AG408" s="59"/>
    </row>
    <row r="409" spans="1:33">
      <c r="A409" s="61">
        <v>546</v>
      </c>
      <c r="B409" s="61" t="s">
        <v>209</v>
      </c>
      <c r="C409" s="45" t="s">
        <v>293</v>
      </c>
      <c r="D409" s="45" t="s">
        <v>646</v>
      </c>
      <c r="F409" s="77">
        <v>468874</v>
      </c>
      <c r="H409" s="64">
        <f t="shared" ref="H409:Q413" si="169">IF(VLOOKUP($D409,$C$6:$AE$653,H$2,)=0,0,((VLOOKUP($D409,$C$6:$AE$653,H$2,)/VLOOKUP($D409,$C$6:$AE$653,4,))*$F409))</f>
        <v>161199.4930567375</v>
      </c>
      <c r="I409" s="64">
        <f t="shared" si="169"/>
        <v>168866.67198966249</v>
      </c>
      <c r="J409" s="64">
        <f t="shared" si="169"/>
        <v>138807.83495360002</v>
      </c>
      <c r="K409" s="64">
        <f t="shared" si="169"/>
        <v>0</v>
      </c>
      <c r="L409" s="64">
        <f t="shared" si="169"/>
        <v>0</v>
      </c>
      <c r="M409" s="64">
        <f t="shared" si="169"/>
        <v>0</v>
      </c>
      <c r="N409" s="64">
        <f t="shared" si="169"/>
        <v>0</v>
      </c>
      <c r="O409" s="64">
        <f t="shared" si="169"/>
        <v>0</v>
      </c>
      <c r="P409" s="64">
        <f t="shared" si="169"/>
        <v>0</v>
      </c>
      <c r="Q409" s="64">
        <f t="shared" si="169"/>
        <v>0</v>
      </c>
      <c r="R409" s="64">
        <f t="shared" ref="R409:AE413" si="170">IF(VLOOKUP($D409,$C$6:$AE$653,R$2,)=0,0,((VLOOKUP($D409,$C$6:$AE$653,R$2,)/VLOOKUP($D409,$C$6:$AE$653,4,))*$F409))</f>
        <v>0</v>
      </c>
      <c r="S409" s="64">
        <f t="shared" si="170"/>
        <v>0</v>
      </c>
      <c r="T409" s="64">
        <f t="shared" si="170"/>
        <v>0</v>
      </c>
      <c r="U409" s="64">
        <f t="shared" si="170"/>
        <v>0</v>
      </c>
      <c r="V409" s="64">
        <f t="shared" si="170"/>
        <v>0</v>
      </c>
      <c r="W409" s="64">
        <f t="shared" si="170"/>
        <v>0</v>
      </c>
      <c r="X409" s="64">
        <f t="shared" si="170"/>
        <v>0</v>
      </c>
      <c r="Y409" s="64">
        <f t="shared" si="170"/>
        <v>0</v>
      </c>
      <c r="Z409" s="64">
        <f t="shared" si="170"/>
        <v>0</v>
      </c>
      <c r="AA409" s="64">
        <f t="shared" si="170"/>
        <v>0</v>
      </c>
      <c r="AB409" s="64">
        <f t="shared" si="170"/>
        <v>0</v>
      </c>
      <c r="AC409" s="64">
        <f t="shared" si="170"/>
        <v>0</v>
      </c>
      <c r="AD409" s="64">
        <f t="shared" si="170"/>
        <v>0</v>
      </c>
      <c r="AE409" s="64">
        <f t="shared" si="170"/>
        <v>0</v>
      </c>
      <c r="AF409" s="64">
        <f t="shared" ref="AF409:AF415" si="171">SUM(H409:AE409)</f>
        <v>468874</v>
      </c>
      <c r="AG409" s="59" t="str">
        <f>IF(ABS(AF409-F409)&lt;1,"ok","err")</f>
        <v>ok</v>
      </c>
    </row>
    <row r="410" spans="1:33">
      <c r="A410" s="61">
        <v>547</v>
      </c>
      <c r="B410" s="61" t="s">
        <v>211</v>
      </c>
      <c r="C410" s="45" t="s">
        <v>294</v>
      </c>
      <c r="D410" s="45" t="s">
        <v>939</v>
      </c>
      <c r="F410" s="80">
        <v>0</v>
      </c>
      <c r="H410" s="64">
        <f t="shared" si="169"/>
        <v>0</v>
      </c>
      <c r="I410" s="64">
        <f t="shared" si="169"/>
        <v>0</v>
      </c>
      <c r="J410" s="64">
        <f t="shared" si="169"/>
        <v>0</v>
      </c>
      <c r="K410" s="64">
        <f t="shared" si="169"/>
        <v>0</v>
      </c>
      <c r="L410" s="64">
        <f t="shared" si="169"/>
        <v>0</v>
      </c>
      <c r="M410" s="64">
        <f t="shared" si="169"/>
        <v>0</v>
      </c>
      <c r="N410" s="64">
        <f t="shared" si="169"/>
        <v>0</v>
      </c>
      <c r="O410" s="64">
        <f t="shared" si="169"/>
        <v>0</v>
      </c>
      <c r="P410" s="64">
        <f t="shared" si="169"/>
        <v>0</v>
      </c>
      <c r="Q410" s="64">
        <f t="shared" si="169"/>
        <v>0</v>
      </c>
      <c r="R410" s="64">
        <f t="shared" si="170"/>
        <v>0</v>
      </c>
      <c r="S410" s="64">
        <f t="shared" si="170"/>
        <v>0</v>
      </c>
      <c r="T410" s="64">
        <f t="shared" si="170"/>
        <v>0</v>
      </c>
      <c r="U410" s="64">
        <f t="shared" si="170"/>
        <v>0</v>
      </c>
      <c r="V410" s="64">
        <f t="shared" si="170"/>
        <v>0</v>
      </c>
      <c r="W410" s="64">
        <f t="shared" si="170"/>
        <v>0</v>
      </c>
      <c r="X410" s="64">
        <f t="shared" si="170"/>
        <v>0</v>
      </c>
      <c r="Y410" s="64">
        <f t="shared" si="170"/>
        <v>0</v>
      </c>
      <c r="Z410" s="64">
        <f t="shared" si="170"/>
        <v>0</v>
      </c>
      <c r="AA410" s="64">
        <f t="shared" si="170"/>
        <v>0</v>
      </c>
      <c r="AB410" s="64">
        <f t="shared" si="170"/>
        <v>0</v>
      </c>
      <c r="AC410" s="64">
        <f t="shared" si="170"/>
        <v>0</v>
      </c>
      <c r="AD410" s="64">
        <f t="shared" si="170"/>
        <v>0</v>
      </c>
      <c r="AE410" s="64">
        <f t="shared" si="170"/>
        <v>0</v>
      </c>
      <c r="AF410" s="64">
        <f t="shared" si="171"/>
        <v>0</v>
      </c>
      <c r="AG410" s="59" t="str">
        <f>IF(ABS(AF410-F410)&lt;1,"ok","err")</f>
        <v>ok</v>
      </c>
    </row>
    <row r="411" spans="1:33">
      <c r="A411" s="61">
        <v>548</v>
      </c>
      <c r="B411" s="61" t="s">
        <v>237</v>
      </c>
      <c r="C411" s="45" t="s">
        <v>295</v>
      </c>
      <c r="D411" s="45" t="s">
        <v>646</v>
      </c>
      <c r="F411" s="80">
        <v>161301</v>
      </c>
      <c r="H411" s="64">
        <f t="shared" si="169"/>
        <v>55455.494289606191</v>
      </c>
      <c r="I411" s="64">
        <f t="shared" si="169"/>
        <v>58093.140286312635</v>
      </c>
      <c r="J411" s="64">
        <f t="shared" si="169"/>
        <v>47752.365424081174</v>
      </c>
      <c r="K411" s="64">
        <f t="shared" si="169"/>
        <v>0</v>
      </c>
      <c r="L411" s="64">
        <f t="shared" si="169"/>
        <v>0</v>
      </c>
      <c r="M411" s="64">
        <f t="shared" si="169"/>
        <v>0</v>
      </c>
      <c r="N411" s="64">
        <f t="shared" si="169"/>
        <v>0</v>
      </c>
      <c r="O411" s="64">
        <f t="shared" si="169"/>
        <v>0</v>
      </c>
      <c r="P411" s="64">
        <f t="shared" si="169"/>
        <v>0</v>
      </c>
      <c r="Q411" s="64">
        <f t="shared" si="169"/>
        <v>0</v>
      </c>
      <c r="R411" s="64">
        <f t="shared" si="170"/>
        <v>0</v>
      </c>
      <c r="S411" s="64">
        <f t="shared" si="170"/>
        <v>0</v>
      </c>
      <c r="T411" s="64">
        <f t="shared" si="170"/>
        <v>0</v>
      </c>
      <c r="U411" s="64">
        <f t="shared" si="170"/>
        <v>0</v>
      </c>
      <c r="V411" s="64">
        <f t="shared" si="170"/>
        <v>0</v>
      </c>
      <c r="W411" s="64">
        <f t="shared" si="170"/>
        <v>0</v>
      </c>
      <c r="X411" s="64">
        <f t="shared" si="170"/>
        <v>0</v>
      </c>
      <c r="Y411" s="64">
        <f t="shared" si="170"/>
        <v>0</v>
      </c>
      <c r="Z411" s="64">
        <f t="shared" si="170"/>
        <v>0</v>
      </c>
      <c r="AA411" s="64">
        <f t="shared" si="170"/>
        <v>0</v>
      </c>
      <c r="AB411" s="64">
        <f t="shared" si="170"/>
        <v>0</v>
      </c>
      <c r="AC411" s="64">
        <f t="shared" si="170"/>
        <v>0</v>
      </c>
      <c r="AD411" s="64">
        <f t="shared" si="170"/>
        <v>0</v>
      </c>
      <c r="AE411" s="64">
        <f t="shared" si="170"/>
        <v>0</v>
      </c>
      <c r="AF411" s="64">
        <f t="shared" si="171"/>
        <v>161301</v>
      </c>
      <c r="AG411" s="59" t="str">
        <f>IF(ABS(AF411-F411)&lt;1,"ok","err")</f>
        <v>ok</v>
      </c>
    </row>
    <row r="412" spans="1:33">
      <c r="A412" s="61">
        <v>549</v>
      </c>
      <c r="B412" s="61" t="s">
        <v>239</v>
      </c>
      <c r="C412" s="45" t="s">
        <v>296</v>
      </c>
      <c r="D412" s="45" t="s">
        <v>646</v>
      </c>
      <c r="F412" s="80">
        <v>354300</v>
      </c>
      <c r="H412" s="64">
        <f t="shared" si="169"/>
        <v>121808.8023434912</v>
      </c>
      <c r="I412" s="64">
        <f t="shared" si="169"/>
        <v>127602.43026044827</v>
      </c>
      <c r="J412" s="64">
        <f t="shared" si="169"/>
        <v>104888.76739606053</v>
      </c>
      <c r="K412" s="64">
        <f t="shared" si="169"/>
        <v>0</v>
      </c>
      <c r="L412" s="64">
        <f t="shared" si="169"/>
        <v>0</v>
      </c>
      <c r="M412" s="64">
        <f t="shared" si="169"/>
        <v>0</v>
      </c>
      <c r="N412" s="64">
        <f t="shared" si="169"/>
        <v>0</v>
      </c>
      <c r="O412" s="64">
        <f t="shared" si="169"/>
        <v>0</v>
      </c>
      <c r="P412" s="64">
        <f t="shared" si="169"/>
        <v>0</v>
      </c>
      <c r="Q412" s="64">
        <f t="shared" si="169"/>
        <v>0</v>
      </c>
      <c r="R412" s="64">
        <f t="shared" si="170"/>
        <v>0</v>
      </c>
      <c r="S412" s="64">
        <f t="shared" si="170"/>
        <v>0</v>
      </c>
      <c r="T412" s="64">
        <f t="shared" si="170"/>
        <v>0</v>
      </c>
      <c r="U412" s="64">
        <f t="shared" si="170"/>
        <v>0</v>
      </c>
      <c r="V412" s="64">
        <f t="shared" si="170"/>
        <v>0</v>
      </c>
      <c r="W412" s="64">
        <f t="shared" si="170"/>
        <v>0</v>
      </c>
      <c r="X412" s="64">
        <f t="shared" si="170"/>
        <v>0</v>
      </c>
      <c r="Y412" s="64">
        <f t="shared" si="170"/>
        <v>0</v>
      </c>
      <c r="Z412" s="64">
        <f t="shared" si="170"/>
        <v>0</v>
      </c>
      <c r="AA412" s="64">
        <f t="shared" si="170"/>
        <v>0</v>
      </c>
      <c r="AB412" s="64">
        <f t="shared" si="170"/>
        <v>0</v>
      </c>
      <c r="AC412" s="64">
        <f t="shared" si="170"/>
        <v>0</v>
      </c>
      <c r="AD412" s="64">
        <f t="shared" si="170"/>
        <v>0</v>
      </c>
      <c r="AE412" s="64">
        <f t="shared" si="170"/>
        <v>0</v>
      </c>
      <c r="AF412" s="64">
        <f t="shared" si="171"/>
        <v>354300</v>
      </c>
      <c r="AG412" s="59" t="str">
        <f>IF(ABS(AF412-F412)&lt;1,"ok","err")</f>
        <v>ok</v>
      </c>
    </row>
    <row r="413" spans="1:33">
      <c r="A413" s="61">
        <v>550</v>
      </c>
      <c r="B413" s="61" t="s">
        <v>1013</v>
      </c>
      <c r="C413" s="45" t="s">
        <v>297</v>
      </c>
      <c r="D413" s="45" t="s">
        <v>646</v>
      </c>
      <c r="F413" s="80">
        <v>0</v>
      </c>
      <c r="H413" s="64">
        <f t="shared" si="169"/>
        <v>0</v>
      </c>
      <c r="I413" s="64">
        <f t="shared" si="169"/>
        <v>0</v>
      </c>
      <c r="J413" s="64">
        <f t="shared" si="169"/>
        <v>0</v>
      </c>
      <c r="K413" s="64">
        <f t="shared" si="169"/>
        <v>0</v>
      </c>
      <c r="L413" s="64">
        <f t="shared" si="169"/>
        <v>0</v>
      </c>
      <c r="M413" s="64">
        <f t="shared" si="169"/>
        <v>0</v>
      </c>
      <c r="N413" s="64">
        <f t="shared" si="169"/>
        <v>0</v>
      </c>
      <c r="O413" s="64">
        <f t="shared" si="169"/>
        <v>0</v>
      </c>
      <c r="P413" s="64">
        <f t="shared" si="169"/>
        <v>0</v>
      </c>
      <c r="Q413" s="64">
        <f t="shared" si="169"/>
        <v>0</v>
      </c>
      <c r="R413" s="64">
        <f t="shared" si="170"/>
        <v>0</v>
      </c>
      <c r="S413" s="64">
        <f t="shared" si="170"/>
        <v>0</v>
      </c>
      <c r="T413" s="64">
        <f t="shared" si="170"/>
        <v>0</v>
      </c>
      <c r="U413" s="64">
        <f t="shared" si="170"/>
        <v>0</v>
      </c>
      <c r="V413" s="64">
        <f t="shared" si="170"/>
        <v>0</v>
      </c>
      <c r="W413" s="64">
        <f t="shared" si="170"/>
        <v>0</v>
      </c>
      <c r="X413" s="64">
        <f t="shared" si="170"/>
        <v>0</v>
      </c>
      <c r="Y413" s="64">
        <f t="shared" si="170"/>
        <v>0</v>
      </c>
      <c r="Z413" s="64">
        <f t="shared" si="170"/>
        <v>0</v>
      </c>
      <c r="AA413" s="64">
        <f t="shared" si="170"/>
        <v>0</v>
      </c>
      <c r="AB413" s="64">
        <f t="shared" si="170"/>
        <v>0</v>
      </c>
      <c r="AC413" s="64">
        <f t="shared" si="170"/>
        <v>0</v>
      </c>
      <c r="AD413" s="64">
        <f t="shared" si="170"/>
        <v>0</v>
      </c>
      <c r="AE413" s="64">
        <f t="shared" si="170"/>
        <v>0</v>
      </c>
      <c r="AF413" s="64">
        <f t="shared" si="171"/>
        <v>0</v>
      </c>
      <c r="AG413" s="59" t="str">
        <f>IF(ABS(AF413-F413)&lt;1,"ok","err")</f>
        <v>ok</v>
      </c>
    </row>
    <row r="414" spans="1:33">
      <c r="A414" s="61"/>
      <c r="B414" s="61"/>
      <c r="F414" s="80"/>
      <c r="W414" s="45"/>
      <c r="AF414" s="64"/>
      <c r="AG414" s="59"/>
    </row>
    <row r="415" spans="1:33">
      <c r="A415" s="61"/>
      <c r="B415" s="61" t="s">
        <v>242</v>
      </c>
      <c r="C415" s="45" t="s">
        <v>654</v>
      </c>
      <c r="F415" s="77">
        <f>SUM(F409:F414)</f>
        <v>984475</v>
      </c>
      <c r="H415" s="63">
        <f t="shared" ref="H415:M415" si="172">SUM(H409:H414)</f>
        <v>338463.78968983493</v>
      </c>
      <c r="I415" s="63">
        <f t="shared" si="172"/>
        <v>354562.24253642338</v>
      </c>
      <c r="J415" s="63">
        <f t="shared" si="172"/>
        <v>291448.96777374169</v>
      </c>
      <c r="K415" s="63">
        <f t="shared" si="172"/>
        <v>0</v>
      </c>
      <c r="L415" s="63">
        <f t="shared" si="172"/>
        <v>0</v>
      </c>
      <c r="M415" s="63">
        <f t="shared" si="172"/>
        <v>0</v>
      </c>
      <c r="N415" s="63">
        <f>SUM(N409:N414)</f>
        <v>0</v>
      </c>
      <c r="O415" s="63">
        <f>SUM(O409:O414)</f>
        <v>0</v>
      </c>
      <c r="P415" s="63">
        <f>SUM(P409:P414)</f>
        <v>0</v>
      </c>
      <c r="Q415" s="63">
        <f t="shared" ref="Q415:AB415" si="173">SUM(Q409:Q414)</f>
        <v>0</v>
      </c>
      <c r="R415" s="63">
        <f t="shared" si="173"/>
        <v>0</v>
      </c>
      <c r="S415" s="63">
        <f t="shared" si="173"/>
        <v>0</v>
      </c>
      <c r="T415" s="63">
        <f t="shared" si="173"/>
        <v>0</v>
      </c>
      <c r="U415" s="63">
        <f t="shared" si="173"/>
        <v>0</v>
      </c>
      <c r="V415" s="63">
        <f t="shared" si="173"/>
        <v>0</v>
      </c>
      <c r="W415" s="63">
        <f t="shared" si="173"/>
        <v>0</v>
      </c>
      <c r="X415" s="63">
        <f t="shared" si="173"/>
        <v>0</v>
      </c>
      <c r="Y415" s="63">
        <f t="shared" si="173"/>
        <v>0</v>
      </c>
      <c r="Z415" s="63">
        <f t="shared" si="173"/>
        <v>0</v>
      </c>
      <c r="AA415" s="63">
        <f t="shared" si="173"/>
        <v>0</v>
      </c>
      <c r="AB415" s="63">
        <f t="shared" si="173"/>
        <v>0</v>
      </c>
      <c r="AC415" s="63">
        <f>SUM(AC409:AC414)</f>
        <v>0</v>
      </c>
      <c r="AD415" s="63">
        <f>SUM(AD409:AD414)</f>
        <v>0</v>
      </c>
      <c r="AE415" s="63">
        <f>SUM(AE409:AE414)</f>
        <v>0</v>
      </c>
      <c r="AF415" s="64">
        <f t="shared" si="171"/>
        <v>984475</v>
      </c>
      <c r="AG415" s="59" t="str">
        <f>IF(ABS(AF415-F415)&lt;1,"ok","err")</f>
        <v>ok</v>
      </c>
    </row>
    <row r="416" spans="1:33">
      <c r="A416" s="61"/>
      <c r="B416" s="61"/>
      <c r="F416" s="77"/>
      <c r="W416" s="45"/>
      <c r="AF416" s="64"/>
      <c r="AG416" s="59"/>
    </row>
    <row r="417" spans="1:33" ht="15">
      <c r="A417" s="66" t="s">
        <v>243</v>
      </c>
      <c r="B417" s="61"/>
      <c r="F417" s="77"/>
      <c r="W417" s="45"/>
      <c r="AF417" s="64"/>
      <c r="AG417" s="59"/>
    </row>
    <row r="418" spans="1:33">
      <c r="A418" s="61">
        <v>551</v>
      </c>
      <c r="B418" s="61" t="s">
        <v>224</v>
      </c>
      <c r="C418" s="45" t="s">
        <v>298</v>
      </c>
      <c r="D418" s="45" t="s">
        <v>646</v>
      </c>
      <c r="F418" s="77">
        <v>230613</v>
      </c>
      <c r="H418" s="64">
        <f t="shared" ref="H418:Q421" si="174">IF(VLOOKUP($D418,$C$6:$AE$653,H$2,)=0,0,((VLOOKUP($D418,$C$6:$AE$653,H$2,)/VLOOKUP($D418,$C$6:$AE$653,4,))*$F418))</f>
        <v>79285.05033824312</v>
      </c>
      <c r="I418" s="64">
        <f t="shared" si="174"/>
        <v>83056.108522869763</v>
      </c>
      <c r="J418" s="64">
        <f t="shared" si="174"/>
        <v>68271.841138887117</v>
      </c>
      <c r="K418" s="64">
        <f t="shared" si="174"/>
        <v>0</v>
      </c>
      <c r="L418" s="64">
        <f t="shared" si="174"/>
        <v>0</v>
      </c>
      <c r="M418" s="64">
        <f t="shared" si="174"/>
        <v>0</v>
      </c>
      <c r="N418" s="64">
        <f t="shared" si="174"/>
        <v>0</v>
      </c>
      <c r="O418" s="64">
        <f t="shared" si="174"/>
        <v>0</v>
      </c>
      <c r="P418" s="64">
        <f t="shared" si="174"/>
        <v>0</v>
      </c>
      <c r="Q418" s="64">
        <f t="shared" si="174"/>
        <v>0</v>
      </c>
      <c r="R418" s="64">
        <f t="shared" ref="R418:AE421" si="175">IF(VLOOKUP($D418,$C$6:$AE$653,R$2,)=0,0,((VLOOKUP($D418,$C$6:$AE$653,R$2,)/VLOOKUP($D418,$C$6:$AE$653,4,))*$F418))</f>
        <v>0</v>
      </c>
      <c r="S418" s="64">
        <f t="shared" si="175"/>
        <v>0</v>
      </c>
      <c r="T418" s="64">
        <f t="shared" si="175"/>
        <v>0</v>
      </c>
      <c r="U418" s="64">
        <f t="shared" si="175"/>
        <v>0</v>
      </c>
      <c r="V418" s="64">
        <f t="shared" si="175"/>
        <v>0</v>
      </c>
      <c r="W418" s="64">
        <f t="shared" si="175"/>
        <v>0</v>
      </c>
      <c r="X418" s="64">
        <f t="shared" si="175"/>
        <v>0</v>
      </c>
      <c r="Y418" s="64">
        <f t="shared" si="175"/>
        <v>0</v>
      </c>
      <c r="Z418" s="64">
        <f t="shared" si="175"/>
        <v>0</v>
      </c>
      <c r="AA418" s="64">
        <f t="shared" si="175"/>
        <v>0</v>
      </c>
      <c r="AB418" s="64">
        <f t="shared" si="175"/>
        <v>0</v>
      </c>
      <c r="AC418" s="64">
        <f t="shared" si="175"/>
        <v>0</v>
      </c>
      <c r="AD418" s="64">
        <f t="shared" si="175"/>
        <v>0</v>
      </c>
      <c r="AE418" s="64">
        <f t="shared" si="175"/>
        <v>0</v>
      </c>
      <c r="AF418" s="64">
        <f t="shared" ref="AF418:AF425" si="176">SUM(H418:AE418)</f>
        <v>230613</v>
      </c>
      <c r="AG418" s="59" t="str">
        <f>IF(ABS(AF418-F418)&lt;1,"ok","err")</f>
        <v>ok</v>
      </c>
    </row>
    <row r="419" spans="1:33">
      <c r="A419" s="61">
        <v>552</v>
      </c>
      <c r="B419" s="61" t="s">
        <v>223</v>
      </c>
      <c r="C419" s="45" t="s">
        <v>299</v>
      </c>
      <c r="D419" s="45" t="s">
        <v>646</v>
      </c>
      <c r="F419" s="80">
        <v>0</v>
      </c>
      <c r="H419" s="64">
        <f t="shared" si="174"/>
        <v>0</v>
      </c>
      <c r="I419" s="64">
        <f t="shared" si="174"/>
        <v>0</v>
      </c>
      <c r="J419" s="64">
        <f t="shared" si="174"/>
        <v>0</v>
      </c>
      <c r="K419" s="64">
        <f t="shared" si="174"/>
        <v>0</v>
      </c>
      <c r="L419" s="64">
        <f t="shared" si="174"/>
        <v>0</v>
      </c>
      <c r="M419" s="64">
        <f t="shared" si="174"/>
        <v>0</v>
      </c>
      <c r="N419" s="64">
        <f t="shared" si="174"/>
        <v>0</v>
      </c>
      <c r="O419" s="64">
        <f t="shared" si="174"/>
        <v>0</v>
      </c>
      <c r="P419" s="64">
        <f t="shared" si="174"/>
        <v>0</v>
      </c>
      <c r="Q419" s="64">
        <f t="shared" si="174"/>
        <v>0</v>
      </c>
      <c r="R419" s="64">
        <f t="shared" si="175"/>
        <v>0</v>
      </c>
      <c r="S419" s="64">
        <f t="shared" si="175"/>
        <v>0</v>
      </c>
      <c r="T419" s="64">
        <f t="shared" si="175"/>
        <v>0</v>
      </c>
      <c r="U419" s="64">
        <f t="shared" si="175"/>
        <v>0</v>
      </c>
      <c r="V419" s="64">
        <f t="shared" si="175"/>
        <v>0</v>
      </c>
      <c r="W419" s="64">
        <f t="shared" si="175"/>
        <v>0</v>
      </c>
      <c r="X419" s="64">
        <f t="shared" si="175"/>
        <v>0</v>
      </c>
      <c r="Y419" s="64">
        <f t="shared" si="175"/>
        <v>0</v>
      </c>
      <c r="Z419" s="64">
        <f t="shared" si="175"/>
        <v>0</v>
      </c>
      <c r="AA419" s="64">
        <f t="shared" si="175"/>
        <v>0</v>
      </c>
      <c r="AB419" s="64">
        <f t="shared" si="175"/>
        <v>0</v>
      </c>
      <c r="AC419" s="64">
        <f t="shared" si="175"/>
        <v>0</v>
      </c>
      <c r="AD419" s="64">
        <f t="shared" si="175"/>
        <v>0</v>
      </c>
      <c r="AE419" s="64">
        <f t="shared" si="175"/>
        <v>0</v>
      </c>
      <c r="AF419" s="64">
        <f t="shared" si="176"/>
        <v>0</v>
      </c>
      <c r="AG419" s="59" t="str">
        <f>IF(ABS(AF419-F419)&lt;1,"ok","err")</f>
        <v>ok</v>
      </c>
    </row>
    <row r="420" spans="1:33">
      <c r="A420" s="61">
        <v>553</v>
      </c>
      <c r="B420" s="61" t="s">
        <v>246</v>
      </c>
      <c r="C420" s="45" t="s">
        <v>300</v>
      </c>
      <c r="D420" s="45" t="s">
        <v>646</v>
      </c>
      <c r="F420" s="80">
        <v>606788</v>
      </c>
      <c r="H420" s="64">
        <f t="shared" si="174"/>
        <v>208614.50622749745</v>
      </c>
      <c r="I420" s="64">
        <f t="shared" si="174"/>
        <v>218536.8993871772</v>
      </c>
      <c r="J420" s="64">
        <f t="shared" si="174"/>
        <v>179636.59438532536</v>
      </c>
      <c r="K420" s="64">
        <f t="shared" si="174"/>
        <v>0</v>
      </c>
      <c r="L420" s="64">
        <f t="shared" si="174"/>
        <v>0</v>
      </c>
      <c r="M420" s="64">
        <f t="shared" si="174"/>
        <v>0</v>
      </c>
      <c r="N420" s="64">
        <f t="shared" si="174"/>
        <v>0</v>
      </c>
      <c r="O420" s="64">
        <f t="shared" si="174"/>
        <v>0</v>
      </c>
      <c r="P420" s="64">
        <f t="shared" si="174"/>
        <v>0</v>
      </c>
      <c r="Q420" s="64">
        <f t="shared" si="174"/>
        <v>0</v>
      </c>
      <c r="R420" s="64">
        <f t="shared" si="175"/>
        <v>0</v>
      </c>
      <c r="S420" s="64">
        <f t="shared" si="175"/>
        <v>0</v>
      </c>
      <c r="T420" s="64">
        <f t="shared" si="175"/>
        <v>0</v>
      </c>
      <c r="U420" s="64">
        <f t="shared" si="175"/>
        <v>0</v>
      </c>
      <c r="V420" s="64">
        <f t="shared" si="175"/>
        <v>0</v>
      </c>
      <c r="W420" s="64">
        <f t="shared" si="175"/>
        <v>0</v>
      </c>
      <c r="X420" s="64">
        <f t="shared" si="175"/>
        <v>0</v>
      </c>
      <c r="Y420" s="64">
        <f t="shared" si="175"/>
        <v>0</v>
      </c>
      <c r="Z420" s="64">
        <f t="shared" si="175"/>
        <v>0</v>
      </c>
      <c r="AA420" s="64">
        <f t="shared" si="175"/>
        <v>0</v>
      </c>
      <c r="AB420" s="64">
        <f t="shared" si="175"/>
        <v>0</v>
      </c>
      <c r="AC420" s="64">
        <f t="shared" si="175"/>
        <v>0</v>
      </c>
      <c r="AD420" s="64">
        <f t="shared" si="175"/>
        <v>0</v>
      </c>
      <c r="AE420" s="64">
        <f t="shared" si="175"/>
        <v>0</v>
      </c>
      <c r="AF420" s="64">
        <f t="shared" si="176"/>
        <v>606788</v>
      </c>
      <c r="AG420" s="59" t="str">
        <f>IF(ABS(AF420-F420)&lt;1,"ok","err")</f>
        <v>ok</v>
      </c>
    </row>
    <row r="421" spans="1:33">
      <c r="A421" s="61">
        <v>554</v>
      </c>
      <c r="B421" s="61" t="s">
        <v>248</v>
      </c>
      <c r="C421" s="45" t="s">
        <v>301</v>
      </c>
      <c r="D421" s="45" t="s">
        <v>646</v>
      </c>
      <c r="F421" s="80">
        <v>-160951</v>
      </c>
      <c r="H421" s="64">
        <f t="shared" si="174"/>
        <v>-55335.163832873986</v>
      </c>
      <c r="I421" s="64">
        <f t="shared" si="174"/>
        <v>-57967.086516650888</v>
      </c>
      <c r="J421" s="64">
        <f t="shared" si="174"/>
        <v>-47648.749650475133</v>
      </c>
      <c r="K421" s="64">
        <f t="shared" si="174"/>
        <v>0</v>
      </c>
      <c r="L421" s="64">
        <f t="shared" si="174"/>
        <v>0</v>
      </c>
      <c r="M421" s="64">
        <f t="shared" si="174"/>
        <v>0</v>
      </c>
      <c r="N421" s="64">
        <f t="shared" si="174"/>
        <v>0</v>
      </c>
      <c r="O421" s="64">
        <f t="shared" si="174"/>
        <v>0</v>
      </c>
      <c r="P421" s="64">
        <f t="shared" si="174"/>
        <v>0</v>
      </c>
      <c r="Q421" s="64">
        <f t="shared" si="174"/>
        <v>0</v>
      </c>
      <c r="R421" s="64">
        <f t="shared" si="175"/>
        <v>0</v>
      </c>
      <c r="S421" s="64">
        <f t="shared" si="175"/>
        <v>0</v>
      </c>
      <c r="T421" s="64">
        <f t="shared" si="175"/>
        <v>0</v>
      </c>
      <c r="U421" s="64">
        <f t="shared" si="175"/>
        <v>0</v>
      </c>
      <c r="V421" s="64">
        <f t="shared" si="175"/>
        <v>0</v>
      </c>
      <c r="W421" s="64">
        <f t="shared" si="175"/>
        <v>0</v>
      </c>
      <c r="X421" s="64">
        <f t="shared" si="175"/>
        <v>0</v>
      </c>
      <c r="Y421" s="64">
        <f t="shared" si="175"/>
        <v>0</v>
      </c>
      <c r="Z421" s="64">
        <f t="shared" si="175"/>
        <v>0</v>
      </c>
      <c r="AA421" s="64">
        <f t="shared" si="175"/>
        <v>0</v>
      </c>
      <c r="AB421" s="64">
        <f t="shared" si="175"/>
        <v>0</v>
      </c>
      <c r="AC421" s="64">
        <f t="shared" si="175"/>
        <v>0</v>
      </c>
      <c r="AD421" s="64">
        <f t="shared" si="175"/>
        <v>0</v>
      </c>
      <c r="AE421" s="64">
        <f t="shared" si="175"/>
        <v>0</v>
      </c>
      <c r="AF421" s="64">
        <f t="shared" si="176"/>
        <v>-160951</v>
      </c>
      <c r="AG421" s="59" t="str">
        <f>IF(ABS(AF421-F421)&lt;1,"ok","err")</f>
        <v>ok</v>
      </c>
    </row>
    <row r="422" spans="1:33">
      <c r="A422" s="61"/>
      <c r="B422" s="61"/>
      <c r="F422" s="80"/>
      <c r="W422" s="45"/>
      <c r="AF422" s="64"/>
      <c r="AG422" s="59"/>
    </row>
    <row r="423" spans="1:33">
      <c r="A423" s="61"/>
      <c r="B423" s="61" t="s">
        <v>251</v>
      </c>
      <c r="C423" s="45" t="s">
        <v>655</v>
      </c>
      <c r="F423" s="77">
        <f>SUM(F418:F422)</f>
        <v>676450</v>
      </c>
      <c r="H423" s="63">
        <f t="shared" ref="H423:M423" si="177">SUM(H418:H422)</f>
        <v>232564.39273286657</v>
      </c>
      <c r="I423" s="63">
        <f t="shared" si="177"/>
        <v>243625.92139339607</v>
      </c>
      <c r="J423" s="63">
        <f t="shared" si="177"/>
        <v>200259.68587373735</v>
      </c>
      <c r="K423" s="63">
        <f t="shared" si="177"/>
        <v>0</v>
      </c>
      <c r="L423" s="63">
        <f t="shared" si="177"/>
        <v>0</v>
      </c>
      <c r="M423" s="63">
        <f t="shared" si="177"/>
        <v>0</v>
      </c>
      <c r="N423" s="63">
        <f>SUM(N418:N422)</f>
        <v>0</v>
      </c>
      <c r="O423" s="63">
        <f>SUM(O418:O422)</f>
        <v>0</v>
      </c>
      <c r="P423" s="63">
        <f>SUM(P418:P422)</f>
        <v>0</v>
      </c>
      <c r="Q423" s="63">
        <f t="shared" ref="Q423:AB423" si="178">SUM(Q418:Q422)</f>
        <v>0</v>
      </c>
      <c r="R423" s="63">
        <f t="shared" si="178"/>
        <v>0</v>
      </c>
      <c r="S423" s="63">
        <f t="shared" si="178"/>
        <v>0</v>
      </c>
      <c r="T423" s="63">
        <f t="shared" si="178"/>
        <v>0</v>
      </c>
      <c r="U423" s="63">
        <f t="shared" si="178"/>
        <v>0</v>
      </c>
      <c r="V423" s="63">
        <f t="shared" si="178"/>
        <v>0</v>
      </c>
      <c r="W423" s="63">
        <f t="shared" si="178"/>
        <v>0</v>
      </c>
      <c r="X423" s="63">
        <f t="shared" si="178"/>
        <v>0</v>
      </c>
      <c r="Y423" s="63">
        <f t="shared" si="178"/>
        <v>0</v>
      </c>
      <c r="Z423" s="63">
        <f t="shared" si="178"/>
        <v>0</v>
      </c>
      <c r="AA423" s="63">
        <f t="shared" si="178"/>
        <v>0</v>
      </c>
      <c r="AB423" s="63">
        <f t="shared" si="178"/>
        <v>0</v>
      </c>
      <c r="AC423" s="63">
        <f>SUM(AC418:AC422)</f>
        <v>0</v>
      </c>
      <c r="AD423" s="63">
        <f>SUM(AD418:AD422)</f>
        <v>0</v>
      </c>
      <c r="AE423" s="63">
        <f>SUM(AE418:AE422)</f>
        <v>0</v>
      </c>
      <c r="AF423" s="64">
        <f t="shared" si="176"/>
        <v>676450</v>
      </c>
      <c r="AG423" s="59" t="str">
        <f>IF(ABS(AF423-F423)&lt;1,"ok","err")</f>
        <v>ok</v>
      </c>
    </row>
    <row r="424" spans="1:33">
      <c r="A424" s="61"/>
      <c r="B424" s="61"/>
      <c r="F424" s="77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4"/>
      <c r="AG424" s="59"/>
    </row>
    <row r="425" spans="1:33">
      <c r="A425" s="61"/>
      <c r="B425" s="61" t="s">
        <v>250</v>
      </c>
      <c r="F425" s="77">
        <f>F415+F423</f>
        <v>1660925</v>
      </c>
      <c r="H425" s="63">
        <f t="shared" ref="H425:M425" si="179">H415+H423</f>
        <v>571028.1824227015</v>
      </c>
      <c r="I425" s="63">
        <f t="shared" si="179"/>
        <v>598188.16392981948</v>
      </c>
      <c r="J425" s="63">
        <f t="shared" si="179"/>
        <v>491708.65364747902</v>
      </c>
      <c r="K425" s="63">
        <f t="shared" si="179"/>
        <v>0</v>
      </c>
      <c r="L425" s="63">
        <f t="shared" si="179"/>
        <v>0</v>
      </c>
      <c r="M425" s="63">
        <f t="shared" si="179"/>
        <v>0</v>
      </c>
      <c r="N425" s="63">
        <f>N415+N423</f>
        <v>0</v>
      </c>
      <c r="O425" s="63">
        <f>O415+O423</f>
        <v>0</v>
      </c>
      <c r="P425" s="63">
        <f>P415+P423</f>
        <v>0</v>
      </c>
      <c r="Q425" s="63">
        <f t="shared" ref="Q425:AB425" si="180">Q415+Q423</f>
        <v>0</v>
      </c>
      <c r="R425" s="63">
        <f t="shared" si="180"/>
        <v>0</v>
      </c>
      <c r="S425" s="63">
        <f t="shared" si="180"/>
        <v>0</v>
      </c>
      <c r="T425" s="63">
        <f t="shared" si="180"/>
        <v>0</v>
      </c>
      <c r="U425" s="63">
        <f t="shared" si="180"/>
        <v>0</v>
      </c>
      <c r="V425" s="63">
        <f t="shared" si="180"/>
        <v>0</v>
      </c>
      <c r="W425" s="63">
        <f t="shared" si="180"/>
        <v>0</v>
      </c>
      <c r="X425" s="63">
        <f t="shared" si="180"/>
        <v>0</v>
      </c>
      <c r="Y425" s="63">
        <f t="shared" si="180"/>
        <v>0</v>
      </c>
      <c r="Z425" s="63">
        <f t="shared" si="180"/>
        <v>0</v>
      </c>
      <c r="AA425" s="63">
        <f t="shared" si="180"/>
        <v>0</v>
      </c>
      <c r="AB425" s="63">
        <f t="shared" si="180"/>
        <v>0</v>
      </c>
      <c r="AC425" s="63">
        <f>AC415+AC423</f>
        <v>0</v>
      </c>
      <c r="AD425" s="63">
        <f>AD415+AD423</f>
        <v>0</v>
      </c>
      <c r="AE425" s="63">
        <f>AE415+AE423</f>
        <v>0</v>
      </c>
      <c r="AF425" s="64">
        <f t="shared" si="176"/>
        <v>1660925</v>
      </c>
      <c r="AG425" s="59" t="str">
        <f>IF(ABS(AF425-F425)&lt;1,"ok","err")</f>
        <v>ok</v>
      </c>
    </row>
    <row r="426" spans="1:33">
      <c r="A426" s="61"/>
      <c r="B426" s="61"/>
      <c r="F426" s="77"/>
      <c r="W426" s="45"/>
      <c r="AF426" s="64"/>
      <c r="AG426" s="59"/>
    </row>
    <row r="427" spans="1:33">
      <c r="A427" s="61"/>
      <c r="B427" s="61" t="s">
        <v>341</v>
      </c>
      <c r="C427" s="45" t="s">
        <v>342</v>
      </c>
      <c r="F427" s="77">
        <f>F383+F404+F425</f>
        <v>29961102</v>
      </c>
      <c r="H427" s="63">
        <f t="shared" ref="H427:M427" si="181">H383+H404+H425</f>
        <v>5755855.5862147566</v>
      </c>
      <c r="I427" s="63">
        <f t="shared" si="181"/>
        <v>6029623.0395407528</v>
      </c>
      <c r="J427" s="63">
        <f t="shared" si="181"/>
        <v>4956329.8064891864</v>
      </c>
      <c r="K427" s="63">
        <f t="shared" si="181"/>
        <v>13219293.567755304</v>
      </c>
      <c r="L427" s="63">
        <f t="shared" si="181"/>
        <v>0</v>
      </c>
      <c r="M427" s="63">
        <f t="shared" si="181"/>
        <v>0</v>
      </c>
      <c r="N427" s="63">
        <f>N383+N404+N425</f>
        <v>0</v>
      </c>
      <c r="O427" s="63">
        <f>O383+O404+O425</f>
        <v>0</v>
      </c>
      <c r="P427" s="63">
        <f>P383+P404+P425</f>
        <v>0</v>
      </c>
      <c r="Q427" s="63">
        <f t="shared" ref="Q427:AB427" si="182">Q383+Q404+Q425</f>
        <v>0</v>
      </c>
      <c r="R427" s="63">
        <f t="shared" si="182"/>
        <v>0</v>
      </c>
      <c r="S427" s="63">
        <f t="shared" si="182"/>
        <v>0</v>
      </c>
      <c r="T427" s="63">
        <f t="shared" si="182"/>
        <v>0</v>
      </c>
      <c r="U427" s="63">
        <f t="shared" si="182"/>
        <v>0</v>
      </c>
      <c r="V427" s="63">
        <f t="shared" si="182"/>
        <v>0</v>
      </c>
      <c r="W427" s="63">
        <f t="shared" si="182"/>
        <v>0</v>
      </c>
      <c r="X427" s="63">
        <f t="shared" si="182"/>
        <v>0</v>
      </c>
      <c r="Y427" s="63">
        <f t="shared" si="182"/>
        <v>0</v>
      </c>
      <c r="Z427" s="63">
        <f t="shared" si="182"/>
        <v>0</v>
      </c>
      <c r="AA427" s="63">
        <f t="shared" si="182"/>
        <v>0</v>
      </c>
      <c r="AB427" s="63">
        <f t="shared" si="182"/>
        <v>0</v>
      </c>
      <c r="AC427" s="63">
        <f>AC383+AC404+AC425</f>
        <v>0</v>
      </c>
      <c r="AD427" s="63">
        <f>AD383+AD404+AD425</f>
        <v>0</v>
      </c>
      <c r="AE427" s="63">
        <f>AE383+AE404+AE425</f>
        <v>0</v>
      </c>
      <c r="AF427" s="64">
        <f>SUM(H427:AE427)</f>
        <v>29961102</v>
      </c>
      <c r="AG427" s="59" t="str">
        <f>IF(ABS(AF427-F427)&lt;1,"ok","err")</f>
        <v>ok</v>
      </c>
    </row>
    <row r="428" spans="1:33" ht="15">
      <c r="A428" s="60"/>
      <c r="B428" s="61"/>
      <c r="W428" s="45"/>
      <c r="AG428" s="59"/>
    </row>
    <row r="429" spans="1:33" ht="15">
      <c r="A429" s="66" t="s">
        <v>994</v>
      </c>
      <c r="B429" s="61"/>
      <c r="W429" s="45"/>
      <c r="AG429" s="59"/>
    </row>
    <row r="430" spans="1:33">
      <c r="A430" s="61">
        <v>555</v>
      </c>
      <c r="B430" s="61" t="s">
        <v>1160</v>
      </c>
      <c r="C430" s="45" t="s">
        <v>101</v>
      </c>
      <c r="D430" s="45" t="s">
        <v>995</v>
      </c>
      <c r="F430" s="77">
        <v>0</v>
      </c>
      <c r="G430" s="63"/>
      <c r="H430" s="64">
        <f t="shared" ref="H430:Q432" si="183">IF(VLOOKUP($D430,$C$6:$AE$653,H$2,)=0,0,((VLOOKUP($D430,$C$6:$AE$653,H$2,)/VLOOKUP($D430,$C$6:$AE$653,4,))*$F430))</f>
        <v>0</v>
      </c>
      <c r="I430" s="64">
        <f t="shared" si="183"/>
        <v>0</v>
      </c>
      <c r="J430" s="64">
        <f t="shared" si="183"/>
        <v>0</v>
      </c>
      <c r="K430" s="64">
        <f t="shared" si="183"/>
        <v>0</v>
      </c>
      <c r="L430" s="64">
        <f t="shared" si="183"/>
        <v>0</v>
      </c>
      <c r="M430" s="64">
        <f t="shared" si="183"/>
        <v>0</v>
      </c>
      <c r="N430" s="64">
        <f t="shared" si="183"/>
        <v>0</v>
      </c>
      <c r="O430" s="64">
        <f t="shared" si="183"/>
        <v>0</v>
      </c>
      <c r="P430" s="64">
        <f t="shared" si="183"/>
        <v>0</v>
      </c>
      <c r="Q430" s="64">
        <f t="shared" si="183"/>
        <v>0</v>
      </c>
      <c r="R430" s="64">
        <f t="shared" ref="R430:AE432" si="184">IF(VLOOKUP($D430,$C$6:$AE$653,R$2,)=0,0,((VLOOKUP($D430,$C$6:$AE$653,R$2,)/VLOOKUP($D430,$C$6:$AE$653,4,))*$F430))</f>
        <v>0</v>
      </c>
      <c r="S430" s="64">
        <f t="shared" si="184"/>
        <v>0</v>
      </c>
      <c r="T430" s="64">
        <f t="shared" si="184"/>
        <v>0</v>
      </c>
      <c r="U430" s="64">
        <f t="shared" si="184"/>
        <v>0</v>
      </c>
      <c r="V430" s="64">
        <f t="shared" si="184"/>
        <v>0</v>
      </c>
      <c r="W430" s="64">
        <f t="shared" si="184"/>
        <v>0</v>
      </c>
      <c r="X430" s="64">
        <f t="shared" si="184"/>
        <v>0</v>
      </c>
      <c r="Y430" s="64">
        <f t="shared" si="184"/>
        <v>0</v>
      </c>
      <c r="Z430" s="64">
        <f t="shared" si="184"/>
        <v>0</v>
      </c>
      <c r="AA430" s="64">
        <f t="shared" si="184"/>
        <v>0</v>
      </c>
      <c r="AB430" s="64">
        <f t="shared" si="184"/>
        <v>0</v>
      </c>
      <c r="AC430" s="64">
        <f t="shared" si="184"/>
        <v>0</v>
      </c>
      <c r="AD430" s="64">
        <f t="shared" si="184"/>
        <v>0</v>
      </c>
      <c r="AE430" s="64">
        <f t="shared" si="184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>
        <v>556</v>
      </c>
      <c r="B431" s="61" t="s">
        <v>260</v>
      </c>
      <c r="C431" s="45" t="s">
        <v>609</v>
      </c>
      <c r="D431" s="45" t="s">
        <v>646</v>
      </c>
      <c r="F431" s="80">
        <v>956703</v>
      </c>
      <c r="G431" s="63"/>
      <c r="H431" s="64">
        <f t="shared" si="183"/>
        <v>328915.7398487865</v>
      </c>
      <c r="I431" s="64">
        <f t="shared" si="183"/>
        <v>344560.05599057756</v>
      </c>
      <c r="J431" s="64">
        <f t="shared" si="183"/>
        <v>283227.20416063588</v>
      </c>
      <c r="K431" s="64">
        <f t="shared" si="183"/>
        <v>0</v>
      </c>
      <c r="L431" s="64">
        <f t="shared" si="183"/>
        <v>0</v>
      </c>
      <c r="M431" s="64">
        <f t="shared" si="183"/>
        <v>0</v>
      </c>
      <c r="N431" s="64">
        <f t="shared" si="183"/>
        <v>0</v>
      </c>
      <c r="O431" s="64">
        <f t="shared" si="183"/>
        <v>0</v>
      </c>
      <c r="P431" s="64">
        <f t="shared" si="183"/>
        <v>0</v>
      </c>
      <c r="Q431" s="64">
        <f t="shared" si="183"/>
        <v>0</v>
      </c>
      <c r="R431" s="64">
        <f t="shared" si="184"/>
        <v>0</v>
      </c>
      <c r="S431" s="64">
        <f t="shared" si="184"/>
        <v>0</v>
      </c>
      <c r="T431" s="64">
        <f t="shared" si="184"/>
        <v>0</v>
      </c>
      <c r="U431" s="64">
        <f t="shared" si="184"/>
        <v>0</v>
      </c>
      <c r="V431" s="64">
        <f t="shared" si="184"/>
        <v>0</v>
      </c>
      <c r="W431" s="64">
        <f t="shared" si="184"/>
        <v>0</v>
      </c>
      <c r="X431" s="64">
        <f t="shared" si="184"/>
        <v>0</v>
      </c>
      <c r="Y431" s="64">
        <f t="shared" si="184"/>
        <v>0</v>
      </c>
      <c r="Z431" s="64">
        <f t="shared" si="184"/>
        <v>0</v>
      </c>
      <c r="AA431" s="64">
        <f t="shared" si="184"/>
        <v>0</v>
      </c>
      <c r="AB431" s="64">
        <f t="shared" si="184"/>
        <v>0</v>
      </c>
      <c r="AC431" s="64">
        <f t="shared" si="184"/>
        <v>0</v>
      </c>
      <c r="AD431" s="64">
        <f t="shared" si="184"/>
        <v>0</v>
      </c>
      <c r="AE431" s="64">
        <f t="shared" si="184"/>
        <v>0</v>
      </c>
      <c r="AF431" s="64">
        <f>SUM(H431:AE431)</f>
        <v>956703</v>
      </c>
      <c r="AG431" s="59" t="str">
        <f>IF(ABS(AF431-F431)&lt;1,"ok","err")</f>
        <v>ok</v>
      </c>
    </row>
    <row r="432" spans="1:33">
      <c r="A432" s="61">
        <v>557</v>
      </c>
      <c r="B432" s="61" t="s">
        <v>7</v>
      </c>
      <c r="C432" s="45" t="s">
        <v>47</v>
      </c>
      <c r="D432" s="45" t="s">
        <v>646</v>
      </c>
      <c r="F432" s="80">
        <v>0</v>
      </c>
      <c r="G432" s="63"/>
      <c r="H432" s="64">
        <f t="shared" si="183"/>
        <v>0</v>
      </c>
      <c r="I432" s="64">
        <f t="shared" si="183"/>
        <v>0</v>
      </c>
      <c r="J432" s="64">
        <f t="shared" si="183"/>
        <v>0</v>
      </c>
      <c r="K432" s="64">
        <f t="shared" si="183"/>
        <v>0</v>
      </c>
      <c r="L432" s="64">
        <f t="shared" si="183"/>
        <v>0</v>
      </c>
      <c r="M432" s="64">
        <f t="shared" si="183"/>
        <v>0</v>
      </c>
      <c r="N432" s="64">
        <f t="shared" si="183"/>
        <v>0</v>
      </c>
      <c r="O432" s="64">
        <f t="shared" si="183"/>
        <v>0</v>
      </c>
      <c r="P432" s="64">
        <f t="shared" si="183"/>
        <v>0</v>
      </c>
      <c r="Q432" s="64">
        <f t="shared" si="183"/>
        <v>0</v>
      </c>
      <c r="R432" s="64">
        <f t="shared" si="184"/>
        <v>0</v>
      </c>
      <c r="S432" s="64">
        <f t="shared" si="184"/>
        <v>0</v>
      </c>
      <c r="T432" s="64">
        <f t="shared" si="184"/>
        <v>0</v>
      </c>
      <c r="U432" s="64">
        <f t="shared" si="184"/>
        <v>0</v>
      </c>
      <c r="V432" s="64">
        <f t="shared" si="184"/>
        <v>0</v>
      </c>
      <c r="W432" s="64">
        <f t="shared" si="184"/>
        <v>0</v>
      </c>
      <c r="X432" s="64">
        <f t="shared" si="184"/>
        <v>0</v>
      </c>
      <c r="Y432" s="64">
        <f t="shared" si="184"/>
        <v>0</v>
      </c>
      <c r="Z432" s="64">
        <f t="shared" si="184"/>
        <v>0</v>
      </c>
      <c r="AA432" s="64">
        <f t="shared" si="184"/>
        <v>0</v>
      </c>
      <c r="AB432" s="64">
        <f t="shared" si="184"/>
        <v>0</v>
      </c>
      <c r="AC432" s="64">
        <f t="shared" si="184"/>
        <v>0</v>
      </c>
      <c r="AD432" s="64">
        <f t="shared" si="184"/>
        <v>0</v>
      </c>
      <c r="AE432" s="64">
        <f t="shared" si="184"/>
        <v>0</v>
      </c>
      <c r="AF432" s="64">
        <f>SUM(H432:AE432)</f>
        <v>0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 t="s">
        <v>103</v>
      </c>
      <c r="C434" s="45" t="s">
        <v>46</v>
      </c>
      <c r="F434" s="77">
        <f>SUM(F430:F432)</f>
        <v>956703</v>
      </c>
      <c r="G434" s="63"/>
      <c r="H434" s="63">
        <f t="shared" ref="H434:M434" si="185">SUM(H430:H432)</f>
        <v>328915.7398487865</v>
      </c>
      <c r="I434" s="63">
        <f t="shared" si="185"/>
        <v>344560.05599057756</v>
      </c>
      <c r="J434" s="63">
        <f t="shared" si="185"/>
        <v>283227.20416063588</v>
      </c>
      <c r="K434" s="63">
        <f t="shared" si="185"/>
        <v>0</v>
      </c>
      <c r="L434" s="63">
        <f t="shared" si="185"/>
        <v>0</v>
      </c>
      <c r="M434" s="63">
        <f t="shared" si="185"/>
        <v>0</v>
      </c>
      <c r="N434" s="63">
        <f>SUM(N430:N432)</f>
        <v>0</v>
      </c>
      <c r="O434" s="63">
        <f>SUM(O430:O432)</f>
        <v>0</v>
      </c>
      <c r="P434" s="63">
        <f>SUM(P430:P432)</f>
        <v>0</v>
      </c>
      <c r="Q434" s="63">
        <f t="shared" ref="Q434:AB434" si="186">SUM(Q430:Q432)</f>
        <v>0</v>
      </c>
      <c r="R434" s="63">
        <f t="shared" si="186"/>
        <v>0</v>
      </c>
      <c r="S434" s="63">
        <f t="shared" si="186"/>
        <v>0</v>
      </c>
      <c r="T434" s="63">
        <f t="shared" si="186"/>
        <v>0</v>
      </c>
      <c r="U434" s="63">
        <f t="shared" si="186"/>
        <v>0</v>
      </c>
      <c r="V434" s="63">
        <f t="shared" si="186"/>
        <v>0</v>
      </c>
      <c r="W434" s="63">
        <f t="shared" si="186"/>
        <v>0</v>
      </c>
      <c r="X434" s="63">
        <f t="shared" si="186"/>
        <v>0</v>
      </c>
      <c r="Y434" s="63">
        <f t="shared" si="186"/>
        <v>0</v>
      </c>
      <c r="Z434" s="63">
        <f t="shared" si="186"/>
        <v>0</v>
      </c>
      <c r="AA434" s="63">
        <f t="shared" si="186"/>
        <v>0</v>
      </c>
      <c r="AB434" s="63">
        <f t="shared" si="186"/>
        <v>0</v>
      </c>
      <c r="AC434" s="63">
        <f>SUM(AC430:AC432)</f>
        <v>0</v>
      </c>
      <c r="AD434" s="63">
        <f>SUM(AD430:AD432)</f>
        <v>0</v>
      </c>
      <c r="AE434" s="63">
        <f>SUM(AE430:AE432)</f>
        <v>0</v>
      </c>
      <c r="AF434" s="64">
        <f>SUM(H434:AE434)</f>
        <v>956703</v>
      </c>
      <c r="AG434" s="59" t="str">
        <f>IF(ABS(AF434-F434)&lt;1,"ok","err")</f>
        <v>ok</v>
      </c>
    </row>
    <row r="435" spans="1:33">
      <c r="A435" s="61"/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0" t="s">
        <v>45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/>
      <c r="B438" s="61"/>
      <c r="F438" s="77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4"/>
      <c r="AG438" s="59"/>
    </row>
    <row r="439" spans="1:33" ht="15">
      <c r="A439" s="66" t="s">
        <v>105</v>
      </c>
      <c r="B439" s="61"/>
      <c r="F439" s="77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4"/>
      <c r="AG439" s="59"/>
    </row>
    <row r="440" spans="1:33">
      <c r="A440" s="61">
        <v>560</v>
      </c>
      <c r="B440" s="61" t="s">
        <v>1155</v>
      </c>
      <c r="C440" s="45" t="s">
        <v>102</v>
      </c>
      <c r="D440" s="45" t="s">
        <v>1170</v>
      </c>
      <c r="F440" s="77">
        <v>642049</v>
      </c>
      <c r="G440" s="63"/>
      <c r="H440" s="64">
        <f t="shared" ref="H440:Q448" si="187">IF(VLOOKUP($D440,$C$6:$AE$653,H$2,)=0,0,((VLOOKUP($D440,$C$6:$AE$653,H$2,)/VLOOKUP($D440,$C$6:$AE$653,4,))*$F440))</f>
        <v>0</v>
      </c>
      <c r="I440" s="64">
        <f t="shared" si="187"/>
        <v>0</v>
      </c>
      <c r="J440" s="64">
        <f t="shared" si="187"/>
        <v>0</v>
      </c>
      <c r="K440" s="64">
        <f t="shared" si="187"/>
        <v>0</v>
      </c>
      <c r="L440" s="64">
        <f t="shared" si="187"/>
        <v>0</v>
      </c>
      <c r="M440" s="64">
        <f t="shared" si="187"/>
        <v>0</v>
      </c>
      <c r="N440" s="64">
        <f t="shared" si="187"/>
        <v>642049</v>
      </c>
      <c r="O440" s="64">
        <f t="shared" si="187"/>
        <v>0</v>
      </c>
      <c r="P440" s="64">
        <f t="shared" si="187"/>
        <v>0</v>
      </c>
      <c r="Q440" s="64">
        <f t="shared" si="187"/>
        <v>0</v>
      </c>
      <c r="R440" s="64">
        <f t="shared" ref="R440:AE448" si="188">IF(VLOOKUP($D440,$C$6:$AE$653,R$2,)=0,0,((VLOOKUP($D440,$C$6:$AE$653,R$2,)/VLOOKUP($D440,$C$6:$AE$653,4,))*$F440))</f>
        <v>0</v>
      </c>
      <c r="S440" s="64">
        <f t="shared" si="188"/>
        <v>0</v>
      </c>
      <c r="T440" s="64">
        <f t="shared" si="188"/>
        <v>0</v>
      </c>
      <c r="U440" s="64">
        <f t="shared" si="188"/>
        <v>0</v>
      </c>
      <c r="V440" s="64">
        <f t="shared" si="188"/>
        <v>0</v>
      </c>
      <c r="W440" s="64">
        <f t="shared" si="188"/>
        <v>0</v>
      </c>
      <c r="X440" s="64">
        <f t="shared" si="188"/>
        <v>0</v>
      </c>
      <c r="Y440" s="64">
        <f t="shared" si="188"/>
        <v>0</v>
      </c>
      <c r="Z440" s="64">
        <f t="shared" si="188"/>
        <v>0</v>
      </c>
      <c r="AA440" s="64">
        <f t="shared" si="188"/>
        <v>0</v>
      </c>
      <c r="AB440" s="64">
        <f t="shared" si="188"/>
        <v>0</v>
      </c>
      <c r="AC440" s="64">
        <f t="shared" si="188"/>
        <v>0</v>
      </c>
      <c r="AD440" s="64">
        <f t="shared" si="188"/>
        <v>0</v>
      </c>
      <c r="AE440" s="64">
        <f t="shared" si="188"/>
        <v>0</v>
      </c>
      <c r="AF440" s="64">
        <f t="shared" ref="AF440:AF447" si="189">SUM(H440:AE440)</f>
        <v>642049</v>
      </c>
      <c r="AG440" s="59" t="str">
        <f t="shared" ref="AG440:AG448" si="190">IF(ABS(AF440-F440)&lt;1,"ok","err")</f>
        <v>ok</v>
      </c>
    </row>
    <row r="441" spans="1:33">
      <c r="A441" s="61">
        <v>561</v>
      </c>
      <c r="B441" s="61" t="s">
        <v>999</v>
      </c>
      <c r="C441" s="45" t="s">
        <v>48</v>
      </c>
      <c r="D441" s="45" t="s">
        <v>1170</v>
      </c>
      <c r="F441" s="80">
        <v>1454366</v>
      </c>
      <c r="G441" s="63"/>
      <c r="H441" s="64">
        <f t="shared" si="187"/>
        <v>0</v>
      </c>
      <c r="I441" s="64">
        <f t="shared" si="187"/>
        <v>0</v>
      </c>
      <c r="J441" s="64">
        <f t="shared" si="187"/>
        <v>0</v>
      </c>
      <c r="K441" s="64">
        <f t="shared" si="187"/>
        <v>0</v>
      </c>
      <c r="L441" s="64">
        <f t="shared" si="187"/>
        <v>0</v>
      </c>
      <c r="M441" s="64">
        <f t="shared" si="187"/>
        <v>0</v>
      </c>
      <c r="N441" s="64">
        <f t="shared" si="187"/>
        <v>1454366</v>
      </c>
      <c r="O441" s="64">
        <f t="shared" si="187"/>
        <v>0</v>
      </c>
      <c r="P441" s="64">
        <f t="shared" si="187"/>
        <v>0</v>
      </c>
      <c r="Q441" s="64">
        <f t="shared" si="187"/>
        <v>0</v>
      </c>
      <c r="R441" s="64">
        <f t="shared" si="188"/>
        <v>0</v>
      </c>
      <c r="S441" s="64">
        <f t="shared" si="188"/>
        <v>0</v>
      </c>
      <c r="T441" s="64">
        <f t="shared" si="188"/>
        <v>0</v>
      </c>
      <c r="U441" s="64">
        <f t="shared" si="188"/>
        <v>0</v>
      </c>
      <c r="V441" s="64">
        <f t="shared" si="188"/>
        <v>0</v>
      </c>
      <c r="W441" s="64">
        <f t="shared" si="188"/>
        <v>0</v>
      </c>
      <c r="X441" s="64">
        <f t="shared" si="188"/>
        <v>0</v>
      </c>
      <c r="Y441" s="64">
        <f t="shared" si="188"/>
        <v>0</v>
      </c>
      <c r="Z441" s="64">
        <f t="shared" si="188"/>
        <v>0</v>
      </c>
      <c r="AA441" s="64">
        <f t="shared" si="188"/>
        <v>0</v>
      </c>
      <c r="AB441" s="64">
        <f t="shared" si="188"/>
        <v>0</v>
      </c>
      <c r="AC441" s="64">
        <f t="shared" si="188"/>
        <v>0</v>
      </c>
      <c r="AD441" s="64">
        <f t="shared" si="188"/>
        <v>0</v>
      </c>
      <c r="AE441" s="64">
        <f t="shared" si="188"/>
        <v>0</v>
      </c>
      <c r="AF441" s="64">
        <f t="shared" si="189"/>
        <v>1454366</v>
      </c>
      <c r="AG441" s="59" t="str">
        <f t="shared" si="190"/>
        <v>ok</v>
      </c>
    </row>
    <row r="442" spans="1:33">
      <c r="A442" s="61">
        <v>562</v>
      </c>
      <c r="B442" s="61" t="s">
        <v>1153</v>
      </c>
      <c r="C442" s="45" t="s">
        <v>49</v>
      </c>
      <c r="D442" s="45" t="s">
        <v>1170</v>
      </c>
      <c r="F442" s="80">
        <v>433996</v>
      </c>
      <c r="G442" s="63"/>
      <c r="H442" s="64">
        <f t="shared" si="187"/>
        <v>0</v>
      </c>
      <c r="I442" s="64">
        <f t="shared" si="187"/>
        <v>0</v>
      </c>
      <c r="J442" s="64">
        <f t="shared" si="187"/>
        <v>0</v>
      </c>
      <c r="K442" s="64">
        <f t="shared" si="187"/>
        <v>0</v>
      </c>
      <c r="L442" s="64">
        <f t="shared" si="187"/>
        <v>0</v>
      </c>
      <c r="M442" s="64">
        <f t="shared" si="187"/>
        <v>0</v>
      </c>
      <c r="N442" s="64">
        <f t="shared" si="187"/>
        <v>433996</v>
      </c>
      <c r="O442" s="64">
        <f t="shared" si="187"/>
        <v>0</v>
      </c>
      <c r="P442" s="64">
        <f t="shared" si="187"/>
        <v>0</v>
      </c>
      <c r="Q442" s="64">
        <f t="shared" si="187"/>
        <v>0</v>
      </c>
      <c r="R442" s="64">
        <f t="shared" si="188"/>
        <v>0</v>
      </c>
      <c r="S442" s="64">
        <f t="shared" si="188"/>
        <v>0</v>
      </c>
      <c r="T442" s="64">
        <f t="shared" si="188"/>
        <v>0</v>
      </c>
      <c r="U442" s="64">
        <f t="shared" si="188"/>
        <v>0</v>
      </c>
      <c r="V442" s="64">
        <f t="shared" si="188"/>
        <v>0</v>
      </c>
      <c r="W442" s="64">
        <f t="shared" si="188"/>
        <v>0</v>
      </c>
      <c r="X442" s="64">
        <f t="shared" si="188"/>
        <v>0</v>
      </c>
      <c r="Y442" s="64">
        <f t="shared" si="188"/>
        <v>0</v>
      </c>
      <c r="Z442" s="64">
        <f t="shared" si="188"/>
        <v>0</v>
      </c>
      <c r="AA442" s="64">
        <f t="shared" si="188"/>
        <v>0</v>
      </c>
      <c r="AB442" s="64">
        <f t="shared" si="188"/>
        <v>0</v>
      </c>
      <c r="AC442" s="64">
        <f t="shared" si="188"/>
        <v>0</v>
      </c>
      <c r="AD442" s="64">
        <f t="shared" si="188"/>
        <v>0</v>
      </c>
      <c r="AE442" s="64">
        <f t="shared" si="188"/>
        <v>0</v>
      </c>
      <c r="AF442" s="64">
        <f t="shared" si="189"/>
        <v>433996</v>
      </c>
      <c r="AG442" s="59" t="str">
        <f t="shared" si="190"/>
        <v>ok</v>
      </c>
    </row>
    <row r="443" spans="1:33">
      <c r="A443" s="61">
        <v>563</v>
      </c>
      <c r="B443" s="61" t="s">
        <v>1001</v>
      </c>
      <c r="C443" s="45" t="s">
        <v>50</v>
      </c>
      <c r="D443" s="45" t="s">
        <v>1170</v>
      </c>
      <c r="F443" s="80">
        <v>0</v>
      </c>
      <c r="G443" s="63"/>
      <c r="H443" s="64">
        <f t="shared" si="187"/>
        <v>0</v>
      </c>
      <c r="I443" s="64">
        <f t="shared" si="187"/>
        <v>0</v>
      </c>
      <c r="J443" s="64">
        <f t="shared" si="187"/>
        <v>0</v>
      </c>
      <c r="K443" s="64">
        <f t="shared" si="187"/>
        <v>0</v>
      </c>
      <c r="L443" s="64">
        <f t="shared" si="187"/>
        <v>0</v>
      </c>
      <c r="M443" s="64">
        <f t="shared" si="187"/>
        <v>0</v>
      </c>
      <c r="N443" s="64">
        <f t="shared" si="187"/>
        <v>0</v>
      </c>
      <c r="O443" s="64">
        <f t="shared" si="187"/>
        <v>0</v>
      </c>
      <c r="P443" s="64">
        <f t="shared" si="187"/>
        <v>0</v>
      </c>
      <c r="Q443" s="64">
        <f t="shared" si="187"/>
        <v>0</v>
      </c>
      <c r="R443" s="64">
        <f t="shared" si="188"/>
        <v>0</v>
      </c>
      <c r="S443" s="64">
        <f t="shared" si="188"/>
        <v>0</v>
      </c>
      <c r="T443" s="64">
        <f t="shared" si="188"/>
        <v>0</v>
      </c>
      <c r="U443" s="64">
        <f t="shared" si="188"/>
        <v>0</v>
      </c>
      <c r="V443" s="64">
        <f t="shared" si="188"/>
        <v>0</v>
      </c>
      <c r="W443" s="64">
        <f t="shared" si="188"/>
        <v>0</v>
      </c>
      <c r="X443" s="64">
        <f t="shared" si="188"/>
        <v>0</v>
      </c>
      <c r="Y443" s="64">
        <f t="shared" si="188"/>
        <v>0</v>
      </c>
      <c r="Z443" s="64">
        <f t="shared" si="188"/>
        <v>0</v>
      </c>
      <c r="AA443" s="64">
        <f t="shared" si="188"/>
        <v>0</v>
      </c>
      <c r="AB443" s="64">
        <f t="shared" si="188"/>
        <v>0</v>
      </c>
      <c r="AC443" s="64">
        <f t="shared" si="188"/>
        <v>0</v>
      </c>
      <c r="AD443" s="64">
        <f t="shared" si="188"/>
        <v>0</v>
      </c>
      <c r="AE443" s="64">
        <f t="shared" si="188"/>
        <v>0</v>
      </c>
      <c r="AF443" s="64">
        <f t="shared" si="189"/>
        <v>0</v>
      </c>
      <c r="AG443" s="59" t="str">
        <f t="shared" si="190"/>
        <v>ok</v>
      </c>
    </row>
    <row r="444" spans="1:33">
      <c r="A444" s="61">
        <v>566</v>
      </c>
      <c r="B444" s="61" t="s">
        <v>147</v>
      </c>
      <c r="C444" s="45" t="s">
        <v>151</v>
      </c>
      <c r="D444" s="45" t="s">
        <v>1170</v>
      </c>
      <c r="F444" s="80">
        <v>105592</v>
      </c>
      <c r="G444" s="63"/>
      <c r="H444" s="64">
        <f t="shared" si="187"/>
        <v>0</v>
      </c>
      <c r="I444" s="64">
        <f t="shared" si="187"/>
        <v>0</v>
      </c>
      <c r="J444" s="64">
        <f t="shared" si="187"/>
        <v>0</v>
      </c>
      <c r="K444" s="64">
        <f t="shared" si="187"/>
        <v>0</v>
      </c>
      <c r="L444" s="64">
        <f t="shared" si="187"/>
        <v>0</v>
      </c>
      <c r="M444" s="64">
        <f t="shared" si="187"/>
        <v>0</v>
      </c>
      <c r="N444" s="64">
        <f t="shared" si="187"/>
        <v>105592</v>
      </c>
      <c r="O444" s="64">
        <f t="shared" si="187"/>
        <v>0</v>
      </c>
      <c r="P444" s="64">
        <f t="shared" si="187"/>
        <v>0</v>
      </c>
      <c r="Q444" s="64">
        <f t="shared" si="187"/>
        <v>0</v>
      </c>
      <c r="R444" s="64">
        <f t="shared" si="188"/>
        <v>0</v>
      </c>
      <c r="S444" s="64">
        <f t="shared" si="188"/>
        <v>0</v>
      </c>
      <c r="T444" s="64">
        <f t="shared" si="188"/>
        <v>0</v>
      </c>
      <c r="U444" s="64">
        <f t="shared" si="188"/>
        <v>0</v>
      </c>
      <c r="V444" s="64">
        <f t="shared" si="188"/>
        <v>0</v>
      </c>
      <c r="W444" s="64">
        <f t="shared" si="188"/>
        <v>0</v>
      </c>
      <c r="X444" s="64">
        <f t="shared" si="188"/>
        <v>0</v>
      </c>
      <c r="Y444" s="64">
        <f t="shared" si="188"/>
        <v>0</v>
      </c>
      <c r="Z444" s="64">
        <f t="shared" si="188"/>
        <v>0</v>
      </c>
      <c r="AA444" s="64">
        <f t="shared" si="188"/>
        <v>0</v>
      </c>
      <c r="AB444" s="64">
        <f t="shared" si="188"/>
        <v>0</v>
      </c>
      <c r="AC444" s="64">
        <f t="shared" si="188"/>
        <v>0</v>
      </c>
      <c r="AD444" s="64">
        <f t="shared" si="188"/>
        <v>0</v>
      </c>
      <c r="AE444" s="64">
        <f t="shared" si="188"/>
        <v>0</v>
      </c>
      <c r="AF444" s="64">
        <f t="shared" si="189"/>
        <v>105592</v>
      </c>
      <c r="AG444" s="59" t="str">
        <f t="shared" si="190"/>
        <v>ok</v>
      </c>
    </row>
    <row r="445" spans="1:33">
      <c r="A445" s="61">
        <v>569</v>
      </c>
      <c r="B445" s="61" t="s">
        <v>610</v>
      </c>
      <c r="C445" s="45" t="s">
        <v>611</v>
      </c>
      <c r="D445" s="45" t="s">
        <v>1170</v>
      </c>
      <c r="F445" s="80">
        <v>0</v>
      </c>
      <c r="G445" s="63"/>
      <c r="H445" s="64">
        <f t="shared" si="187"/>
        <v>0</v>
      </c>
      <c r="I445" s="64">
        <f t="shared" si="187"/>
        <v>0</v>
      </c>
      <c r="J445" s="64">
        <f t="shared" si="187"/>
        <v>0</v>
      </c>
      <c r="K445" s="64">
        <f t="shared" si="187"/>
        <v>0</v>
      </c>
      <c r="L445" s="64">
        <f t="shared" si="187"/>
        <v>0</v>
      </c>
      <c r="M445" s="64">
        <f t="shared" si="187"/>
        <v>0</v>
      </c>
      <c r="N445" s="64">
        <f t="shared" si="187"/>
        <v>0</v>
      </c>
      <c r="O445" s="64">
        <f t="shared" si="187"/>
        <v>0</v>
      </c>
      <c r="P445" s="64">
        <f t="shared" si="187"/>
        <v>0</v>
      </c>
      <c r="Q445" s="64">
        <f t="shared" si="187"/>
        <v>0</v>
      </c>
      <c r="R445" s="64">
        <f t="shared" si="188"/>
        <v>0</v>
      </c>
      <c r="S445" s="64">
        <f t="shared" si="188"/>
        <v>0</v>
      </c>
      <c r="T445" s="64">
        <f t="shared" si="188"/>
        <v>0</v>
      </c>
      <c r="U445" s="64">
        <f t="shared" si="188"/>
        <v>0</v>
      </c>
      <c r="V445" s="64">
        <f t="shared" si="188"/>
        <v>0</v>
      </c>
      <c r="W445" s="64">
        <f t="shared" si="188"/>
        <v>0</v>
      </c>
      <c r="X445" s="64">
        <f t="shared" si="188"/>
        <v>0</v>
      </c>
      <c r="Y445" s="64">
        <f t="shared" si="188"/>
        <v>0</v>
      </c>
      <c r="Z445" s="64">
        <f t="shared" si="188"/>
        <v>0</v>
      </c>
      <c r="AA445" s="64">
        <f t="shared" si="188"/>
        <v>0</v>
      </c>
      <c r="AB445" s="64">
        <f t="shared" si="188"/>
        <v>0</v>
      </c>
      <c r="AC445" s="64">
        <f t="shared" si="188"/>
        <v>0</v>
      </c>
      <c r="AD445" s="64">
        <f t="shared" si="188"/>
        <v>0</v>
      </c>
      <c r="AE445" s="64">
        <f t="shared" si="188"/>
        <v>0</v>
      </c>
      <c r="AF445" s="64">
        <f t="shared" si="189"/>
        <v>0</v>
      </c>
      <c r="AG445" s="59" t="str">
        <f t="shared" si="190"/>
        <v>ok</v>
      </c>
    </row>
    <row r="446" spans="1:33">
      <c r="A446" s="61">
        <v>570</v>
      </c>
      <c r="B446" s="61" t="s">
        <v>1156</v>
      </c>
      <c r="C446" s="45" t="s">
        <v>51</v>
      </c>
      <c r="D446" s="45" t="s">
        <v>1170</v>
      </c>
      <c r="F446" s="80">
        <v>416335</v>
      </c>
      <c r="G446" s="63"/>
      <c r="H446" s="64">
        <f t="shared" si="187"/>
        <v>0</v>
      </c>
      <c r="I446" s="64">
        <f t="shared" si="187"/>
        <v>0</v>
      </c>
      <c r="J446" s="64">
        <f t="shared" si="187"/>
        <v>0</v>
      </c>
      <c r="K446" s="64">
        <f t="shared" si="187"/>
        <v>0</v>
      </c>
      <c r="L446" s="64">
        <f t="shared" si="187"/>
        <v>0</v>
      </c>
      <c r="M446" s="64">
        <f t="shared" si="187"/>
        <v>0</v>
      </c>
      <c r="N446" s="64">
        <f t="shared" si="187"/>
        <v>416335</v>
      </c>
      <c r="O446" s="64">
        <f t="shared" si="187"/>
        <v>0</v>
      </c>
      <c r="P446" s="64">
        <f t="shared" si="187"/>
        <v>0</v>
      </c>
      <c r="Q446" s="64">
        <f t="shared" si="187"/>
        <v>0</v>
      </c>
      <c r="R446" s="64">
        <f t="shared" si="188"/>
        <v>0</v>
      </c>
      <c r="S446" s="64">
        <f t="shared" si="188"/>
        <v>0</v>
      </c>
      <c r="T446" s="64">
        <f t="shared" si="188"/>
        <v>0</v>
      </c>
      <c r="U446" s="64">
        <f t="shared" si="188"/>
        <v>0</v>
      </c>
      <c r="V446" s="64">
        <f t="shared" si="188"/>
        <v>0</v>
      </c>
      <c r="W446" s="64">
        <f t="shared" si="188"/>
        <v>0</v>
      </c>
      <c r="X446" s="64">
        <f t="shared" si="188"/>
        <v>0</v>
      </c>
      <c r="Y446" s="64">
        <f t="shared" si="188"/>
        <v>0</v>
      </c>
      <c r="Z446" s="64">
        <f t="shared" si="188"/>
        <v>0</v>
      </c>
      <c r="AA446" s="64">
        <f t="shared" si="188"/>
        <v>0</v>
      </c>
      <c r="AB446" s="64">
        <f t="shared" si="188"/>
        <v>0</v>
      </c>
      <c r="AC446" s="64">
        <f t="shared" si="188"/>
        <v>0</v>
      </c>
      <c r="AD446" s="64">
        <f t="shared" si="188"/>
        <v>0</v>
      </c>
      <c r="AE446" s="64">
        <f t="shared" si="188"/>
        <v>0</v>
      </c>
      <c r="AF446" s="64">
        <f t="shared" si="189"/>
        <v>416335</v>
      </c>
      <c r="AG446" s="59" t="str">
        <f t="shared" si="190"/>
        <v>ok</v>
      </c>
    </row>
    <row r="447" spans="1:33">
      <c r="A447" s="61">
        <v>571</v>
      </c>
      <c r="B447" s="61" t="s">
        <v>1157</v>
      </c>
      <c r="C447" s="45" t="s">
        <v>52</v>
      </c>
      <c r="D447" s="45" t="s">
        <v>1170</v>
      </c>
      <c r="F447" s="80">
        <v>83079</v>
      </c>
      <c r="G447" s="63"/>
      <c r="H447" s="64">
        <f t="shared" si="187"/>
        <v>0</v>
      </c>
      <c r="I447" s="64">
        <f t="shared" si="187"/>
        <v>0</v>
      </c>
      <c r="J447" s="64">
        <f t="shared" si="187"/>
        <v>0</v>
      </c>
      <c r="K447" s="64">
        <f t="shared" si="187"/>
        <v>0</v>
      </c>
      <c r="L447" s="64">
        <f t="shared" si="187"/>
        <v>0</v>
      </c>
      <c r="M447" s="64">
        <f t="shared" si="187"/>
        <v>0</v>
      </c>
      <c r="N447" s="64">
        <f t="shared" si="187"/>
        <v>83079</v>
      </c>
      <c r="O447" s="64">
        <f t="shared" si="187"/>
        <v>0</v>
      </c>
      <c r="P447" s="64">
        <f t="shared" si="187"/>
        <v>0</v>
      </c>
      <c r="Q447" s="64">
        <f t="shared" si="187"/>
        <v>0</v>
      </c>
      <c r="R447" s="64">
        <f t="shared" si="188"/>
        <v>0</v>
      </c>
      <c r="S447" s="64">
        <f t="shared" si="188"/>
        <v>0</v>
      </c>
      <c r="T447" s="64">
        <f t="shared" si="188"/>
        <v>0</v>
      </c>
      <c r="U447" s="64">
        <f t="shared" si="188"/>
        <v>0</v>
      </c>
      <c r="V447" s="64">
        <f t="shared" si="188"/>
        <v>0</v>
      </c>
      <c r="W447" s="64">
        <f t="shared" si="188"/>
        <v>0</v>
      </c>
      <c r="X447" s="64">
        <f t="shared" si="188"/>
        <v>0</v>
      </c>
      <c r="Y447" s="64">
        <f t="shared" si="188"/>
        <v>0</v>
      </c>
      <c r="Z447" s="64">
        <f t="shared" si="188"/>
        <v>0</v>
      </c>
      <c r="AA447" s="64">
        <f t="shared" si="188"/>
        <v>0</v>
      </c>
      <c r="AB447" s="64">
        <f t="shared" si="188"/>
        <v>0</v>
      </c>
      <c r="AC447" s="64">
        <f t="shared" si="188"/>
        <v>0</v>
      </c>
      <c r="AD447" s="64">
        <f t="shared" si="188"/>
        <v>0</v>
      </c>
      <c r="AE447" s="64">
        <f t="shared" si="188"/>
        <v>0</v>
      </c>
      <c r="AF447" s="64">
        <f t="shared" si="189"/>
        <v>83079</v>
      </c>
      <c r="AG447" s="59" t="str">
        <f t="shared" si="190"/>
        <v>ok</v>
      </c>
    </row>
    <row r="448" spans="1:33">
      <c r="A448" s="61">
        <v>573</v>
      </c>
      <c r="B448" s="61" t="s">
        <v>612</v>
      </c>
      <c r="C448" s="45" t="s">
        <v>613</v>
      </c>
      <c r="D448" s="45" t="s">
        <v>1170</v>
      </c>
      <c r="F448" s="80">
        <v>0</v>
      </c>
      <c r="G448" s="63"/>
      <c r="H448" s="64">
        <f t="shared" si="187"/>
        <v>0</v>
      </c>
      <c r="I448" s="64">
        <f t="shared" si="187"/>
        <v>0</v>
      </c>
      <c r="J448" s="64">
        <f t="shared" si="187"/>
        <v>0</v>
      </c>
      <c r="K448" s="64">
        <f t="shared" si="187"/>
        <v>0</v>
      </c>
      <c r="L448" s="64">
        <f t="shared" si="187"/>
        <v>0</v>
      </c>
      <c r="M448" s="64">
        <f t="shared" si="187"/>
        <v>0</v>
      </c>
      <c r="N448" s="64">
        <f t="shared" si="187"/>
        <v>0</v>
      </c>
      <c r="O448" s="64">
        <f t="shared" si="187"/>
        <v>0</v>
      </c>
      <c r="P448" s="64">
        <f t="shared" si="187"/>
        <v>0</v>
      </c>
      <c r="Q448" s="64">
        <f t="shared" si="187"/>
        <v>0</v>
      </c>
      <c r="R448" s="64">
        <f t="shared" si="188"/>
        <v>0</v>
      </c>
      <c r="S448" s="64">
        <f t="shared" si="188"/>
        <v>0</v>
      </c>
      <c r="T448" s="64">
        <f t="shared" si="188"/>
        <v>0</v>
      </c>
      <c r="U448" s="64">
        <f t="shared" si="188"/>
        <v>0</v>
      </c>
      <c r="V448" s="64">
        <f t="shared" si="188"/>
        <v>0</v>
      </c>
      <c r="W448" s="64">
        <f t="shared" si="188"/>
        <v>0</v>
      </c>
      <c r="X448" s="64">
        <f t="shared" si="188"/>
        <v>0</v>
      </c>
      <c r="Y448" s="64">
        <f t="shared" si="188"/>
        <v>0</v>
      </c>
      <c r="Z448" s="64">
        <f t="shared" si="188"/>
        <v>0</v>
      </c>
      <c r="AA448" s="64">
        <f t="shared" si="188"/>
        <v>0</v>
      </c>
      <c r="AB448" s="64">
        <f t="shared" si="188"/>
        <v>0</v>
      </c>
      <c r="AC448" s="64">
        <f t="shared" si="188"/>
        <v>0</v>
      </c>
      <c r="AD448" s="64">
        <f t="shared" si="188"/>
        <v>0</v>
      </c>
      <c r="AE448" s="64">
        <f t="shared" si="188"/>
        <v>0</v>
      </c>
      <c r="AF448" s="64">
        <f>SUM(H448:AE448)</f>
        <v>0</v>
      </c>
      <c r="AG448" s="59" t="str">
        <f t="shared" si="190"/>
        <v>ok</v>
      </c>
    </row>
    <row r="449" spans="1:33">
      <c r="A449" s="61"/>
      <c r="B449" s="61"/>
      <c r="F449" s="77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4"/>
      <c r="AG449" s="59"/>
    </row>
    <row r="450" spans="1:33">
      <c r="A450" s="61" t="s">
        <v>104</v>
      </c>
      <c r="B450" s="61"/>
      <c r="C450" s="45" t="s">
        <v>666</v>
      </c>
      <c r="F450" s="81">
        <f>SUM(F440:F449)</f>
        <v>3135417</v>
      </c>
      <c r="G450" s="65">
        <f>SUM(G440:G447)</f>
        <v>0</v>
      </c>
      <c r="H450" s="65">
        <f t="shared" ref="H450:M450" si="191">SUM(H440:H449)</f>
        <v>0</v>
      </c>
      <c r="I450" s="65">
        <f t="shared" si="191"/>
        <v>0</v>
      </c>
      <c r="J450" s="65">
        <f t="shared" si="191"/>
        <v>0</v>
      </c>
      <c r="K450" s="65">
        <f t="shared" si="191"/>
        <v>0</v>
      </c>
      <c r="L450" s="65">
        <f t="shared" si="191"/>
        <v>0</v>
      </c>
      <c r="M450" s="65">
        <f t="shared" si="191"/>
        <v>0</v>
      </c>
      <c r="N450" s="65">
        <f>SUM(N440:N449)</f>
        <v>3135417</v>
      </c>
      <c r="O450" s="65">
        <f>SUM(O440:O449)</f>
        <v>0</v>
      </c>
      <c r="P450" s="65">
        <f>SUM(P440:P449)</f>
        <v>0</v>
      </c>
      <c r="Q450" s="65">
        <f t="shared" ref="Q450:AB450" si="192">SUM(Q440:Q449)</f>
        <v>0</v>
      </c>
      <c r="R450" s="65">
        <f t="shared" si="192"/>
        <v>0</v>
      </c>
      <c r="S450" s="65">
        <f t="shared" si="192"/>
        <v>0</v>
      </c>
      <c r="T450" s="65">
        <f t="shared" si="192"/>
        <v>0</v>
      </c>
      <c r="U450" s="65">
        <f t="shared" si="192"/>
        <v>0</v>
      </c>
      <c r="V450" s="65">
        <f t="shared" si="192"/>
        <v>0</v>
      </c>
      <c r="W450" s="65">
        <f t="shared" si="192"/>
        <v>0</v>
      </c>
      <c r="X450" s="65">
        <f t="shared" si="192"/>
        <v>0</v>
      </c>
      <c r="Y450" s="65">
        <f t="shared" si="192"/>
        <v>0</v>
      </c>
      <c r="Z450" s="65">
        <f t="shared" si="192"/>
        <v>0</v>
      </c>
      <c r="AA450" s="65">
        <f t="shared" si="192"/>
        <v>0</v>
      </c>
      <c r="AB450" s="65">
        <f t="shared" si="192"/>
        <v>0</v>
      </c>
      <c r="AC450" s="65">
        <f>SUM(AC440:AC449)</f>
        <v>0</v>
      </c>
      <c r="AD450" s="65">
        <f>SUM(AD440:AD449)</f>
        <v>0</v>
      </c>
      <c r="AE450" s="65">
        <f>SUM(AE440:AE449)</f>
        <v>0</v>
      </c>
      <c r="AF450" s="63">
        <f>SUM(H450:AE450)</f>
        <v>3135417</v>
      </c>
      <c r="AG450" s="59" t="str">
        <f>IF(ABS(AF450-F450)&lt;1,"ok","err")</f>
        <v>ok</v>
      </c>
    </row>
    <row r="451" spans="1:33">
      <c r="A451" s="61"/>
      <c r="B451" s="61"/>
      <c r="W451" s="45"/>
      <c r="AG451" s="59"/>
    </row>
    <row r="452" spans="1:33" ht="15">
      <c r="A452" s="66" t="s">
        <v>106</v>
      </c>
      <c r="B452" s="61"/>
      <c r="W452" s="45"/>
      <c r="AG452" s="59"/>
    </row>
    <row r="453" spans="1:33">
      <c r="A453" s="61">
        <v>580</v>
      </c>
      <c r="B453" s="61" t="s">
        <v>997</v>
      </c>
      <c r="C453" s="45" t="s">
        <v>53</v>
      </c>
      <c r="D453" s="45" t="s">
        <v>658</v>
      </c>
      <c r="F453" s="77">
        <v>898041</v>
      </c>
      <c r="H453" s="64">
        <f t="shared" ref="H453:Q463" si="193">IF(VLOOKUP($D453,$C$6:$AE$653,H$2,)=0,0,((VLOOKUP($D453,$C$6:$AE$653,H$2,)/VLOOKUP($D453,$C$6:$AE$653,4,))*$F453))</f>
        <v>0</v>
      </c>
      <c r="I453" s="64">
        <f t="shared" si="193"/>
        <v>0</v>
      </c>
      <c r="J453" s="64">
        <f t="shared" si="193"/>
        <v>0</v>
      </c>
      <c r="K453" s="64">
        <f t="shared" si="193"/>
        <v>0</v>
      </c>
      <c r="L453" s="64">
        <f t="shared" si="193"/>
        <v>0</v>
      </c>
      <c r="M453" s="64">
        <f t="shared" si="193"/>
        <v>0</v>
      </c>
      <c r="N453" s="64">
        <f t="shared" si="193"/>
        <v>0</v>
      </c>
      <c r="O453" s="64">
        <f t="shared" si="193"/>
        <v>0</v>
      </c>
      <c r="P453" s="64">
        <f t="shared" si="193"/>
        <v>0</v>
      </c>
      <c r="Q453" s="64">
        <f t="shared" si="193"/>
        <v>0</v>
      </c>
      <c r="R453" s="64">
        <f t="shared" ref="R453:AE463" si="194">IF(VLOOKUP($D453,$C$6:$AE$653,R$2,)=0,0,((VLOOKUP($D453,$C$6:$AE$653,R$2,)/VLOOKUP($D453,$C$6:$AE$653,4,))*$F453))</f>
        <v>166627.28664474227</v>
      </c>
      <c r="S453" s="64">
        <f t="shared" si="194"/>
        <v>0</v>
      </c>
      <c r="T453" s="64">
        <f t="shared" si="194"/>
        <v>90524.508122150582</v>
      </c>
      <c r="U453" s="64">
        <f t="shared" si="194"/>
        <v>137596.86612884916</v>
      </c>
      <c r="V453" s="64">
        <f t="shared" si="194"/>
        <v>29082.838434249414</v>
      </c>
      <c r="W453" s="64">
        <f t="shared" si="194"/>
        <v>43032.389497037439</v>
      </c>
      <c r="X453" s="64">
        <f t="shared" si="194"/>
        <v>11689.058385867527</v>
      </c>
      <c r="Y453" s="64">
        <f t="shared" si="194"/>
        <v>8174.7704992297477</v>
      </c>
      <c r="Z453" s="64">
        <f t="shared" si="194"/>
        <v>4059.7438788722834</v>
      </c>
      <c r="AA453" s="64">
        <f t="shared" si="194"/>
        <v>394350.01128252473</v>
      </c>
      <c r="AB453" s="64">
        <f t="shared" si="194"/>
        <v>12903.527126476827</v>
      </c>
      <c r="AC453" s="64">
        <f t="shared" si="194"/>
        <v>0</v>
      </c>
      <c r="AD453" s="64">
        <f t="shared" si="194"/>
        <v>0</v>
      </c>
      <c r="AE453" s="64">
        <f t="shared" si="194"/>
        <v>0</v>
      </c>
      <c r="AF453" s="64">
        <f t="shared" ref="AF453:AF463" si="195">SUM(H453:AE453)</f>
        <v>898041</v>
      </c>
      <c r="AG453" s="59" t="str">
        <f t="shared" ref="AG453:AG463" si="196">IF(ABS(AF453-F453)&lt;1,"ok","err")</f>
        <v>ok</v>
      </c>
    </row>
    <row r="454" spans="1:33">
      <c r="A454" s="61">
        <v>581</v>
      </c>
      <c r="B454" s="61" t="s">
        <v>999</v>
      </c>
      <c r="C454" s="45" t="s">
        <v>54</v>
      </c>
      <c r="D454" s="45" t="s">
        <v>948</v>
      </c>
      <c r="F454" s="80">
        <v>574384</v>
      </c>
      <c r="H454" s="64">
        <f t="shared" si="193"/>
        <v>0</v>
      </c>
      <c r="I454" s="64">
        <f t="shared" si="193"/>
        <v>0</v>
      </c>
      <c r="J454" s="64">
        <f t="shared" si="193"/>
        <v>0</v>
      </c>
      <c r="K454" s="64">
        <f t="shared" si="193"/>
        <v>0</v>
      </c>
      <c r="L454" s="64">
        <f t="shared" si="193"/>
        <v>0</v>
      </c>
      <c r="M454" s="64">
        <f t="shared" si="193"/>
        <v>0</v>
      </c>
      <c r="N454" s="64">
        <f t="shared" si="193"/>
        <v>0</v>
      </c>
      <c r="O454" s="64">
        <f t="shared" si="193"/>
        <v>0</v>
      </c>
      <c r="P454" s="64">
        <f t="shared" si="193"/>
        <v>0</v>
      </c>
      <c r="Q454" s="64">
        <f t="shared" si="193"/>
        <v>0</v>
      </c>
      <c r="R454" s="64">
        <f t="shared" si="194"/>
        <v>574384</v>
      </c>
      <c r="S454" s="64">
        <f t="shared" si="194"/>
        <v>0</v>
      </c>
      <c r="T454" s="64">
        <f t="shared" si="194"/>
        <v>0</v>
      </c>
      <c r="U454" s="64">
        <f t="shared" si="194"/>
        <v>0</v>
      </c>
      <c r="V454" s="64">
        <f t="shared" si="194"/>
        <v>0</v>
      </c>
      <c r="W454" s="64">
        <f t="shared" si="194"/>
        <v>0</v>
      </c>
      <c r="X454" s="64">
        <f t="shared" si="194"/>
        <v>0</v>
      </c>
      <c r="Y454" s="64">
        <f t="shared" si="194"/>
        <v>0</v>
      </c>
      <c r="Z454" s="64">
        <f t="shared" si="194"/>
        <v>0</v>
      </c>
      <c r="AA454" s="64">
        <f t="shared" si="194"/>
        <v>0</v>
      </c>
      <c r="AB454" s="64">
        <f t="shared" si="194"/>
        <v>0</v>
      </c>
      <c r="AC454" s="64">
        <f t="shared" si="194"/>
        <v>0</v>
      </c>
      <c r="AD454" s="64">
        <f t="shared" si="194"/>
        <v>0</v>
      </c>
      <c r="AE454" s="64">
        <f t="shared" si="194"/>
        <v>0</v>
      </c>
      <c r="AF454" s="64">
        <f t="shared" si="195"/>
        <v>574384</v>
      </c>
      <c r="AG454" s="59" t="str">
        <f t="shared" si="196"/>
        <v>ok</v>
      </c>
    </row>
    <row r="455" spans="1:33">
      <c r="A455" s="61">
        <v>582</v>
      </c>
      <c r="B455" s="61" t="s">
        <v>1153</v>
      </c>
      <c r="C455" s="45" t="s">
        <v>55</v>
      </c>
      <c r="D455" s="45" t="s">
        <v>948</v>
      </c>
      <c r="F455" s="80">
        <v>851000</v>
      </c>
      <c r="H455" s="64">
        <f t="shared" si="193"/>
        <v>0</v>
      </c>
      <c r="I455" s="64">
        <f t="shared" si="193"/>
        <v>0</v>
      </c>
      <c r="J455" s="64">
        <f t="shared" si="193"/>
        <v>0</v>
      </c>
      <c r="K455" s="64">
        <f t="shared" si="193"/>
        <v>0</v>
      </c>
      <c r="L455" s="64">
        <f t="shared" si="193"/>
        <v>0</v>
      </c>
      <c r="M455" s="64">
        <f t="shared" si="193"/>
        <v>0</v>
      </c>
      <c r="N455" s="64">
        <f t="shared" si="193"/>
        <v>0</v>
      </c>
      <c r="O455" s="64">
        <f t="shared" si="193"/>
        <v>0</v>
      </c>
      <c r="P455" s="64">
        <f t="shared" si="193"/>
        <v>0</v>
      </c>
      <c r="Q455" s="64">
        <f t="shared" si="193"/>
        <v>0</v>
      </c>
      <c r="R455" s="64">
        <f t="shared" si="194"/>
        <v>851000</v>
      </c>
      <c r="S455" s="64">
        <f t="shared" si="194"/>
        <v>0</v>
      </c>
      <c r="T455" s="64">
        <f t="shared" si="194"/>
        <v>0</v>
      </c>
      <c r="U455" s="64">
        <f t="shared" si="194"/>
        <v>0</v>
      </c>
      <c r="V455" s="64">
        <f t="shared" si="194"/>
        <v>0</v>
      </c>
      <c r="W455" s="64">
        <f t="shared" si="194"/>
        <v>0</v>
      </c>
      <c r="X455" s="64">
        <f t="shared" si="194"/>
        <v>0</v>
      </c>
      <c r="Y455" s="64">
        <f t="shared" si="194"/>
        <v>0</v>
      </c>
      <c r="Z455" s="64">
        <f t="shared" si="194"/>
        <v>0</v>
      </c>
      <c r="AA455" s="64">
        <f t="shared" si="194"/>
        <v>0</v>
      </c>
      <c r="AB455" s="64">
        <f t="shared" si="194"/>
        <v>0</v>
      </c>
      <c r="AC455" s="64">
        <f t="shared" si="194"/>
        <v>0</v>
      </c>
      <c r="AD455" s="64">
        <f t="shared" si="194"/>
        <v>0</v>
      </c>
      <c r="AE455" s="64">
        <f t="shared" si="194"/>
        <v>0</v>
      </c>
      <c r="AF455" s="64">
        <f t="shared" si="195"/>
        <v>851000</v>
      </c>
      <c r="AG455" s="59" t="str">
        <f t="shared" si="196"/>
        <v>ok</v>
      </c>
    </row>
    <row r="456" spans="1:33">
      <c r="A456" s="61">
        <v>583</v>
      </c>
      <c r="B456" s="61" t="s">
        <v>1001</v>
      </c>
      <c r="C456" s="45" t="s">
        <v>56</v>
      </c>
      <c r="D456" s="45" t="s">
        <v>951</v>
      </c>
      <c r="F456" s="80">
        <v>1741898</v>
      </c>
      <c r="H456" s="64">
        <f t="shared" si="193"/>
        <v>0</v>
      </c>
      <c r="I456" s="64">
        <f t="shared" si="193"/>
        <v>0</v>
      </c>
      <c r="J456" s="64">
        <f t="shared" si="193"/>
        <v>0</v>
      </c>
      <c r="K456" s="64">
        <f t="shared" si="193"/>
        <v>0</v>
      </c>
      <c r="L456" s="64">
        <f t="shared" si="193"/>
        <v>0</v>
      </c>
      <c r="M456" s="64">
        <f t="shared" si="193"/>
        <v>0</v>
      </c>
      <c r="N456" s="64">
        <f t="shared" si="193"/>
        <v>0</v>
      </c>
      <c r="O456" s="64">
        <f t="shared" si="193"/>
        <v>0</v>
      </c>
      <c r="P456" s="64">
        <f t="shared" si="193"/>
        <v>0</v>
      </c>
      <c r="Q456" s="64">
        <f t="shared" si="193"/>
        <v>0</v>
      </c>
      <c r="R456" s="64">
        <f t="shared" si="194"/>
        <v>0</v>
      </c>
      <c r="S456" s="64">
        <f t="shared" si="194"/>
        <v>0</v>
      </c>
      <c r="T456" s="64">
        <f t="shared" si="194"/>
        <v>520213.62230684003</v>
      </c>
      <c r="U456" s="64">
        <f t="shared" si="194"/>
        <v>754507.33409316</v>
      </c>
      <c r="V456" s="64">
        <f t="shared" si="194"/>
        <v>190654.95149316001</v>
      </c>
      <c r="W456" s="64">
        <f t="shared" si="194"/>
        <v>276522.09210683999</v>
      </c>
      <c r="X456" s="64">
        <f t="shared" si="194"/>
        <v>0</v>
      </c>
      <c r="Y456" s="64">
        <f t="shared" si="194"/>
        <v>0</v>
      </c>
      <c r="Z456" s="64">
        <f t="shared" si="194"/>
        <v>0</v>
      </c>
      <c r="AA456" s="64">
        <f t="shared" si="194"/>
        <v>0</v>
      </c>
      <c r="AB456" s="64">
        <f t="shared" si="194"/>
        <v>0</v>
      </c>
      <c r="AC456" s="64">
        <f t="shared" si="194"/>
        <v>0</v>
      </c>
      <c r="AD456" s="64">
        <f t="shared" si="194"/>
        <v>0</v>
      </c>
      <c r="AE456" s="64">
        <f t="shared" si="194"/>
        <v>0</v>
      </c>
      <c r="AF456" s="64">
        <f t="shared" si="195"/>
        <v>1741898</v>
      </c>
      <c r="AG456" s="59" t="str">
        <f t="shared" si="196"/>
        <v>ok</v>
      </c>
    </row>
    <row r="457" spans="1:33">
      <c r="A457" s="61">
        <v>584</v>
      </c>
      <c r="B457" s="61" t="s">
        <v>1003</v>
      </c>
      <c r="C457" s="45" t="s">
        <v>57</v>
      </c>
      <c r="D457" s="45" t="s">
        <v>954</v>
      </c>
      <c r="F457" s="80">
        <v>168503</v>
      </c>
      <c r="H457" s="64">
        <f t="shared" si="193"/>
        <v>0</v>
      </c>
      <c r="I457" s="64">
        <f t="shared" si="193"/>
        <v>0</v>
      </c>
      <c r="J457" s="64">
        <f t="shared" si="193"/>
        <v>0</v>
      </c>
      <c r="K457" s="64">
        <f t="shared" si="193"/>
        <v>0</v>
      </c>
      <c r="L457" s="64">
        <f t="shared" si="193"/>
        <v>0</v>
      </c>
      <c r="M457" s="64">
        <f t="shared" si="193"/>
        <v>0</v>
      </c>
      <c r="N457" s="64">
        <f t="shared" si="193"/>
        <v>0</v>
      </c>
      <c r="O457" s="64">
        <f t="shared" si="193"/>
        <v>0</v>
      </c>
      <c r="P457" s="64">
        <f t="shared" si="193"/>
        <v>0</v>
      </c>
      <c r="Q457" s="64">
        <f t="shared" si="193"/>
        <v>0</v>
      </c>
      <c r="R457" s="64">
        <f t="shared" si="194"/>
        <v>0</v>
      </c>
      <c r="S457" s="64">
        <f t="shared" si="194"/>
        <v>0</v>
      </c>
      <c r="T457" s="64">
        <f t="shared" si="194"/>
        <v>52893.142250900004</v>
      </c>
      <c r="U457" s="64">
        <f t="shared" si="194"/>
        <v>95558.000749100014</v>
      </c>
      <c r="V457" s="64">
        <f t="shared" si="194"/>
        <v>7144.4766491</v>
      </c>
      <c r="W457" s="64">
        <f t="shared" si="194"/>
        <v>12907.380350899999</v>
      </c>
      <c r="X457" s="64">
        <f t="shared" si="194"/>
        <v>0</v>
      </c>
      <c r="Y457" s="64">
        <f t="shared" si="194"/>
        <v>0</v>
      </c>
      <c r="Z457" s="64">
        <f t="shared" si="194"/>
        <v>0</v>
      </c>
      <c r="AA457" s="64">
        <f t="shared" si="194"/>
        <v>0</v>
      </c>
      <c r="AB457" s="64">
        <f t="shared" si="194"/>
        <v>0</v>
      </c>
      <c r="AC457" s="64">
        <f t="shared" si="194"/>
        <v>0</v>
      </c>
      <c r="AD457" s="64">
        <f t="shared" si="194"/>
        <v>0</v>
      </c>
      <c r="AE457" s="64">
        <f t="shared" si="194"/>
        <v>0</v>
      </c>
      <c r="AF457" s="64">
        <f t="shared" si="195"/>
        <v>168503</v>
      </c>
      <c r="AG457" s="59" t="str">
        <f t="shared" si="196"/>
        <v>ok</v>
      </c>
    </row>
    <row r="458" spans="1:33">
      <c r="A458" s="61">
        <v>585</v>
      </c>
      <c r="B458" s="61" t="s">
        <v>1005</v>
      </c>
      <c r="C458" s="45" t="s">
        <v>58</v>
      </c>
      <c r="D458" s="45" t="s">
        <v>962</v>
      </c>
      <c r="F458" s="80">
        <v>0</v>
      </c>
      <c r="H458" s="64">
        <f t="shared" si="193"/>
        <v>0</v>
      </c>
      <c r="I458" s="64">
        <f t="shared" si="193"/>
        <v>0</v>
      </c>
      <c r="J458" s="64">
        <f t="shared" si="193"/>
        <v>0</v>
      </c>
      <c r="K458" s="64">
        <f t="shared" si="193"/>
        <v>0</v>
      </c>
      <c r="L458" s="64">
        <f t="shared" si="193"/>
        <v>0</v>
      </c>
      <c r="M458" s="64">
        <f t="shared" si="193"/>
        <v>0</v>
      </c>
      <c r="N458" s="64">
        <f t="shared" si="193"/>
        <v>0</v>
      </c>
      <c r="O458" s="64">
        <f t="shared" si="193"/>
        <v>0</v>
      </c>
      <c r="P458" s="64">
        <f t="shared" si="193"/>
        <v>0</v>
      </c>
      <c r="Q458" s="64">
        <f t="shared" si="193"/>
        <v>0</v>
      </c>
      <c r="R458" s="64">
        <f t="shared" si="194"/>
        <v>0</v>
      </c>
      <c r="S458" s="64">
        <f t="shared" si="194"/>
        <v>0</v>
      </c>
      <c r="T458" s="64">
        <f t="shared" si="194"/>
        <v>0</v>
      </c>
      <c r="U458" s="64">
        <f t="shared" si="194"/>
        <v>0</v>
      </c>
      <c r="V458" s="64">
        <f t="shared" si="194"/>
        <v>0</v>
      </c>
      <c r="W458" s="64">
        <f t="shared" si="194"/>
        <v>0</v>
      </c>
      <c r="X458" s="64">
        <f t="shared" si="194"/>
        <v>0</v>
      </c>
      <c r="Y458" s="64">
        <f t="shared" si="194"/>
        <v>0</v>
      </c>
      <c r="Z458" s="64">
        <f t="shared" si="194"/>
        <v>0</v>
      </c>
      <c r="AA458" s="64">
        <f t="shared" si="194"/>
        <v>0</v>
      </c>
      <c r="AB458" s="64">
        <f t="shared" si="194"/>
        <v>0</v>
      </c>
      <c r="AC458" s="64">
        <f t="shared" si="194"/>
        <v>0</v>
      </c>
      <c r="AD458" s="64">
        <f t="shared" si="194"/>
        <v>0</v>
      </c>
      <c r="AE458" s="64">
        <f t="shared" si="194"/>
        <v>0</v>
      </c>
      <c r="AF458" s="64">
        <f t="shared" si="195"/>
        <v>0</v>
      </c>
      <c r="AG458" s="59" t="str">
        <f t="shared" si="196"/>
        <v>ok</v>
      </c>
    </row>
    <row r="459" spans="1:33">
      <c r="A459" s="61">
        <v>586</v>
      </c>
      <c r="B459" s="61" t="s">
        <v>1007</v>
      </c>
      <c r="C459" s="45" t="s">
        <v>59</v>
      </c>
      <c r="D459" s="45" t="s">
        <v>959</v>
      </c>
      <c r="F459" s="80">
        <v>3736471</v>
      </c>
      <c r="H459" s="64">
        <f t="shared" si="193"/>
        <v>0</v>
      </c>
      <c r="I459" s="64">
        <f t="shared" si="193"/>
        <v>0</v>
      </c>
      <c r="J459" s="64">
        <f t="shared" si="193"/>
        <v>0</v>
      </c>
      <c r="K459" s="64">
        <f t="shared" si="193"/>
        <v>0</v>
      </c>
      <c r="L459" s="64">
        <f t="shared" si="193"/>
        <v>0</v>
      </c>
      <c r="M459" s="64">
        <f t="shared" si="193"/>
        <v>0</v>
      </c>
      <c r="N459" s="64">
        <f t="shared" si="193"/>
        <v>0</v>
      </c>
      <c r="O459" s="64">
        <f t="shared" si="193"/>
        <v>0</v>
      </c>
      <c r="P459" s="64">
        <f t="shared" si="193"/>
        <v>0</v>
      </c>
      <c r="Q459" s="64">
        <f t="shared" si="193"/>
        <v>0</v>
      </c>
      <c r="R459" s="64">
        <f t="shared" si="194"/>
        <v>0</v>
      </c>
      <c r="S459" s="64">
        <f t="shared" si="194"/>
        <v>0</v>
      </c>
      <c r="T459" s="64">
        <f t="shared" si="194"/>
        <v>0</v>
      </c>
      <c r="U459" s="64">
        <f t="shared" si="194"/>
        <v>0</v>
      </c>
      <c r="V459" s="64">
        <f t="shared" si="194"/>
        <v>0</v>
      </c>
      <c r="W459" s="64">
        <f t="shared" si="194"/>
        <v>0</v>
      </c>
      <c r="X459" s="64">
        <f t="shared" si="194"/>
        <v>0</v>
      </c>
      <c r="Y459" s="64">
        <f t="shared" si="194"/>
        <v>0</v>
      </c>
      <c r="Z459" s="64">
        <f t="shared" si="194"/>
        <v>0</v>
      </c>
      <c r="AA459" s="64">
        <f t="shared" si="194"/>
        <v>3736471</v>
      </c>
      <c r="AB459" s="64">
        <f t="shared" si="194"/>
        <v>0</v>
      </c>
      <c r="AC459" s="64">
        <f t="shared" si="194"/>
        <v>0</v>
      </c>
      <c r="AD459" s="64">
        <f t="shared" si="194"/>
        <v>0</v>
      </c>
      <c r="AE459" s="64">
        <f t="shared" si="194"/>
        <v>0</v>
      </c>
      <c r="AF459" s="64">
        <f t="shared" si="195"/>
        <v>3736471</v>
      </c>
      <c r="AG459" s="59" t="str">
        <f t="shared" si="196"/>
        <v>ok</v>
      </c>
    </row>
    <row r="460" spans="1:33">
      <c r="A460" s="61">
        <v>586</v>
      </c>
      <c r="B460" s="61" t="s">
        <v>27</v>
      </c>
      <c r="C460" s="45" t="s">
        <v>60</v>
      </c>
      <c r="D460" s="45" t="s">
        <v>42</v>
      </c>
      <c r="F460" s="80"/>
      <c r="H460" s="64">
        <f t="shared" si="193"/>
        <v>0</v>
      </c>
      <c r="I460" s="64">
        <f t="shared" si="193"/>
        <v>0</v>
      </c>
      <c r="J460" s="64">
        <f t="shared" si="193"/>
        <v>0</v>
      </c>
      <c r="K460" s="64">
        <f t="shared" si="193"/>
        <v>0</v>
      </c>
      <c r="L460" s="64">
        <f t="shared" si="193"/>
        <v>0</v>
      </c>
      <c r="M460" s="64">
        <f t="shared" si="193"/>
        <v>0</v>
      </c>
      <c r="N460" s="64">
        <f t="shared" si="193"/>
        <v>0</v>
      </c>
      <c r="O460" s="64">
        <f t="shared" si="193"/>
        <v>0</v>
      </c>
      <c r="P460" s="64">
        <f t="shared" si="193"/>
        <v>0</v>
      </c>
      <c r="Q460" s="64">
        <f t="shared" si="193"/>
        <v>0</v>
      </c>
      <c r="R460" s="64">
        <f t="shared" si="194"/>
        <v>0</v>
      </c>
      <c r="S460" s="64">
        <f t="shared" si="194"/>
        <v>0</v>
      </c>
      <c r="T460" s="64">
        <f t="shared" si="194"/>
        <v>0</v>
      </c>
      <c r="U460" s="64">
        <f t="shared" si="194"/>
        <v>0</v>
      </c>
      <c r="V460" s="64">
        <f t="shared" si="194"/>
        <v>0</v>
      </c>
      <c r="W460" s="64">
        <f t="shared" si="194"/>
        <v>0</v>
      </c>
      <c r="X460" s="64">
        <f t="shared" si="194"/>
        <v>0</v>
      </c>
      <c r="Y460" s="64">
        <f t="shared" si="194"/>
        <v>0</v>
      </c>
      <c r="Z460" s="64">
        <f t="shared" si="194"/>
        <v>0</v>
      </c>
      <c r="AA460" s="64">
        <f t="shared" si="194"/>
        <v>0</v>
      </c>
      <c r="AB460" s="64">
        <f t="shared" si="194"/>
        <v>0</v>
      </c>
      <c r="AC460" s="64">
        <f t="shared" si="194"/>
        <v>0</v>
      </c>
      <c r="AD460" s="64">
        <f t="shared" si="194"/>
        <v>0</v>
      </c>
      <c r="AE460" s="64">
        <f t="shared" si="194"/>
        <v>0</v>
      </c>
      <c r="AF460" s="64">
        <f t="shared" si="195"/>
        <v>0</v>
      </c>
      <c r="AG460" s="59" t="str">
        <f t="shared" si="196"/>
        <v>ok</v>
      </c>
    </row>
    <row r="461" spans="1:33">
      <c r="A461" s="61">
        <v>587</v>
      </c>
      <c r="B461" s="61" t="s">
        <v>1009</v>
      </c>
      <c r="C461" s="45" t="s">
        <v>61</v>
      </c>
      <c r="D461" s="45" t="s">
        <v>961</v>
      </c>
      <c r="F461" s="80">
        <v>0</v>
      </c>
      <c r="H461" s="64">
        <f t="shared" si="193"/>
        <v>0</v>
      </c>
      <c r="I461" s="64">
        <f t="shared" si="193"/>
        <v>0</v>
      </c>
      <c r="J461" s="64">
        <f t="shared" si="193"/>
        <v>0</v>
      </c>
      <c r="K461" s="64">
        <f t="shared" si="193"/>
        <v>0</v>
      </c>
      <c r="L461" s="64">
        <f t="shared" si="193"/>
        <v>0</v>
      </c>
      <c r="M461" s="64">
        <f t="shared" si="193"/>
        <v>0</v>
      </c>
      <c r="N461" s="64">
        <f t="shared" si="193"/>
        <v>0</v>
      </c>
      <c r="O461" s="64">
        <f t="shared" si="193"/>
        <v>0</v>
      </c>
      <c r="P461" s="64">
        <f t="shared" si="193"/>
        <v>0</v>
      </c>
      <c r="Q461" s="64">
        <f t="shared" si="193"/>
        <v>0</v>
      </c>
      <c r="R461" s="64">
        <f t="shared" si="194"/>
        <v>0</v>
      </c>
      <c r="S461" s="64">
        <f t="shared" si="194"/>
        <v>0</v>
      </c>
      <c r="T461" s="64">
        <f t="shared" si="194"/>
        <v>0</v>
      </c>
      <c r="U461" s="64">
        <f t="shared" si="194"/>
        <v>0</v>
      </c>
      <c r="V461" s="64">
        <f t="shared" si="194"/>
        <v>0</v>
      </c>
      <c r="W461" s="64">
        <f t="shared" si="194"/>
        <v>0</v>
      </c>
      <c r="X461" s="64">
        <f t="shared" si="194"/>
        <v>0</v>
      </c>
      <c r="Y461" s="64">
        <f t="shared" si="194"/>
        <v>0</v>
      </c>
      <c r="Z461" s="64">
        <f t="shared" si="194"/>
        <v>0</v>
      </c>
      <c r="AA461" s="64">
        <f t="shared" si="194"/>
        <v>0</v>
      </c>
      <c r="AB461" s="64">
        <f t="shared" si="194"/>
        <v>0</v>
      </c>
      <c r="AC461" s="64">
        <f t="shared" si="194"/>
        <v>0</v>
      </c>
      <c r="AD461" s="64">
        <f t="shared" si="194"/>
        <v>0</v>
      </c>
      <c r="AE461" s="64">
        <f t="shared" si="194"/>
        <v>0</v>
      </c>
      <c r="AF461" s="64">
        <f t="shared" si="195"/>
        <v>0</v>
      </c>
      <c r="AG461" s="59" t="str">
        <f t="shared" si="196"/>
        <v>ok</v>
      </c>
    </row>
    <row r="462" spans="1:33">
      <c r="A462" s="61">
        <v>588</v>
      </c>
      <c r="B462" s="61" t="s">
        <v>1011</v>
      </c>
      <c r="C462" s="45" t="s">
        <v>62</v>
      </c>
      <c r="D462" s="45" t="s">
        <v>944</v>
      </c>
      <c r="F462" s="80">
        <v>1539532</v>
      </c>
      <c r="H462" s="64">
        <f t="shared" si="193"/>
        <v>0</v>
      </c>
      <c r="I462" s="64">
        <f t="shared" si="193"/>
        <v>0</v>
      </c>
      <c r="J462" s="64">
        <f t="shared" si="193"/>
        <v>0</v>
      </c>
      <c r="K462" s="64">
        <f t="shared" si="193"/>
        <v>0</v>
      </c>
      <c r="L462" s="64">
        <f t="shared" si="193"/>
        <v>0</v>
      </c>
      <c r="M462" s="64">
        <f t="shared" si="193"/>
        <v>0</v>
      </c>
      <c r="N462" s="64">
        <f t="shared" si="193"/>
        <v>0</v>
      </c>
      <c r="O462" s="64">
        <f t="shared" si="193"/>
        <v>0</v>
      </c>
      <c r="P462" s="64">
        <f t="shared" si="193"/>
        <v>0</v>
      </c>
      <c r="Q462" s="64">
        <f t="shared" si="193"/>
        <v>0</v>
      </c>
      <c r="R462" s="64">
        <f t="shared" si="194"/>
        <v>172492.78691702455</v>
      </c>
      <c r="S462" s="64">
        <f t="shared" si="194"/>
        <v>0</v>
      </c>
      <c r="T462" s="64">
        <f t="shared" si="194"/>
        <v>294980.40824644017</v>
      </c>
      <c r="U462" s="64">
        <f t="shared" si="194"/>
        <v>469423.46418365283</v>
      </c>
      <c r="V462" s="64">
        <f t="shared" si="194"/>
        <v>81091.222767896557</v>
      </c>
      <c r="W462" s="64">
        <f t="shared" si="194"/>
        <v>123230.76853561448</v>
      </c>
      <c r="X462" s="64">
        <f t="shared" si="194"/>
        <v>112092.53557322365</v>
      </c>
      <c r="Y462" s="64">
        <f t="shared" si="194"/>
        <v>78392.17862883849</v>
      </c>
      <c r="Z462" s="64">
        <f t="shared" si="194"/>
        <v>38931.021656189172</v>
      </c>
      <c r="AA462" s="64">
        <f t="shared" si="194"/>
        <v>45158.897702567461</v>
      </c>
      <c r="AB462" s="64">
        <f t="shared" si="194"/>
        <v>123738.71578855267</v>
      </c>
      <c r="AC462" s="64">
        <f t="shared" si="194"/>
        <v>0</v>
      </c>
      <c r="AD462" s="64">
        <f t="shared" si="194"/>
        <v>0</v>
      </c>
      <c r="AE462" s="64">
        <f t="shared" si="194"/>
        <v>0</v>
      </c>
      <c r="AF462" s="64">
        <f t="shared" si="195"/>
        <v>1539532.0000000002</v>
      </c>
      <c r="AG462" s="59" t="str">
        <f t="shared" si="196"/>
        <v>ok</v>
      </c>
    </row>
    <row r="463" spans="1:33">
      <c r="A463" s="61">
        <v>589</v>
      </c>
      <c r="B463" s="61" t="s">
        <v>1013</v>
      </c>
      <c r="C463" s="45" t="s">
        <v>63</v>
      </c>
      <c r="D463" s="45" t="s">
        <v>944</v>
      </c>
      <c r="F463" s="80">
        <v>0</v>
      </c>
      <c r="H463" s="64">
        <f t="shared" si="193"/>
        <v>0</v>
      </c>
      <c r="I463" s="64">
        <f t="shared" si="193"/>
        <v>0</v>
      </c>
      <c r="J463" s="64">
        <f t="shared" si="193"/>
        <v>0</v>
      </c>
      <c r="K463" s="64">
        <f t="shared" si="193"/>
        <v>0</v>
      </c>
      <c r="L463" s="64">
        <f t="shared" si="193"/>
        <v>0</v>
      </c>
      <c r="M463" s="64">
        <f t="shared" si="193"/>
        <v>0</v>
      </c>
      <c r="N463" s="64">
        <f t="shared" si="193"/>
        <v>0</v>
      </c>
      <c r="O463" s="64">
        <f t="shared" si="193"/>
        <v>0</v>
      </c>
      <c r="P463" s="64">
        <f t="shared" si="193"/>
        <v>0</v>
      </c>
      <c r="Q463" s="64">
        <f t="shared" si="193"/>
        <v>0</v>
      </c>
      <c r="R463" s="64">
        <f t="shared" si="194"/>
        <v>0</v>
      </c>
      <c r="S463" s="64">
        <f t="shared" si="194"/>
        <v>0</v>
      </c>
      <c r="T463" s="64">
        <f t="shared" si="194"/>
        <v>0</v>
      </c>
      <c r="U463" s="64">
        <f t="shared" si="194"/>
        <v>0</v>
      </c>
      <c r="V463" s="64">
        <f t="shared" si="194"/>
        <v>0</v>
      </c>
      <c r="W463" s="64">
        <f t="shared" si="194"/>
        <v>0</v>
      </c>
      <c r="X463" s="64">
        <f t="shared" si="194"/>
        <v>0</v>
      </c>
      <c r="Y463" s="64">
        <f t="shared" si="194"/>
        <v>0</v>
      </c>
      <c r="Z463" s="64">
        <f t="shared" si="194"/>
        <v>0</v>
      </c>
      <c r="AA463" s="64">
        <f t="shared" si="194"/>
        <v>0</v>
      </c>
      <c r="AB463" s="64">
        <f t="shared" si="194"/>
        <v>0</v>
      </c>
      <c r="AC463" s="64">
        <f t="shared" si="194"/>
        <v>0</v>
      </c>
      <c r="AD463" s="64">
        <f t="shared" si="194"/>
        <v>0</v>
      </c>
      <c r="AE463" s="64">
        <f t="shared" si="194"/>
        <v>0</v>
      </c>
      <c r="AF463" s="64">
        <f t="shared" si="195"/>
        <v>0</v>
      </c>
      <c r="AG463" s="59" t="str">
        <f t="shared" si="196"/>
        <v>ok</v>
      </c>
    </row>
    <row r="464" spans="1:33">
      <c r="A464" s="61"/>
      <c r="B464" s="61"/>
      <c r="F464" s="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G464" s="59"/>
    </row>
    <row r="465" spans="1:33">
      <c r="A465" s="61" t="s">
        <v>107</v>
      </c>
      <c r="B465" s="61"/>
      <c r="C465" s="45" t="s">
        <v>64</v>
      </c>
      <c r="F465" s="77">
        <f>SUM(F453:F464)</f>
        <v>9509829</v>
      </c>
      <c r="G465" s="63">
        <f t="shared" ref="G465:M465" si="197">SUM(G453:G464)</f>
        <v>0</v>
      </c>
      <c r="H465" s="63">
        <f t="shared" si="197"/>
        <v>0</v>
      </c>
      <c r="I465" s="63">
        <f t="shared" si="197"/>
        <v>0</v>
      </c>
      <c r="J465" s="63">
        <f t="shared" si="197"/>
        <v>0</v>
      </c>
      <c r="K465" s="63">
        <f t="shared" si="197"/>
        <v>0</v>
      </c>
      <c r="L465" s="63">
        <f t="shared" si="197"/>
        <v>0</v>
      </c>
      <c r="M465" s="63">
        <f t="shared" si="197"/>
        <v>0</v>
      </c>
      <c r="N465" s="63">
        <f>SUM(N453:N464)</f>
        <v>0</v>
      </c>
      <c r="O465" s="63">
        <f>SUM(O453:O464)</f>
        <v>0</v>
      </c>
      <c r="P465" s="63">
        <f>SUM(P453:P464)</f>
        <v>0</v>
      </c>
      <c r="Q465" s="63">
        <f t="shared" ref="Q465:AB465" si="198">SUM(Q453:Q464)</f>
        <v>0</v>
      </c>
      <c r="R465" s="63">
        <f t="shared" si="198"/>
        <v>1764504.0735617669</v>
      </c>
      <c r="S465" s="63">
        <f t="shared" si="198"/>
        <v>0</v>
      </c>
      <c r="T465" s="63">
        <f t="shared" si="198"/>
        <v>958611.68092633085</v>
      </c>
      <c r="U465" s="63">
        <f t="shared" si="198"/>
        <v>1457085.6651547619</v>
      </c>
      <c r="V465" s="63">
        <f t="shared" si="198"/>
        <v>307973.489344406</v>
      </c>
      <c r="W465" s="63">
        <f t="shared" si="198"/>
        <v>455692.63049039192</v>
      </c>
      <c r="X465" s="63">
        <f t="shared" si="198"/>
        <v>123781.59395909117</v>
      </c>
      <c r="Y465" s="63">
        <f t="shared" si="198"/>
        <v>86566.949128068241</v>
      </c>
      <c r="Z465" s="63">
        <f t="shared" si="198"/>
        <v>42990.765535061459</v>
      </c>
      <c r="AA465" s="63">
        <f t="shared" si="198"/>
        <v>4175979.9089850918</v>
      </c>
      <c r="AB465" s="63">
        <f t="shared" si="198"/>
        <v>136642.24291502949</v>
      </c>
      <c r="AC465" s="63">
        <f>SUM(AC453:AC464)</f>
        <v>0</v>
      </c>
      <c r="AD465" s="63">
        <f>SUM(AD453:AD464)</f>
        <v>0</v>
      </c>
      <c r="AE465" s="63">
        <f>SUM(AE453:AE464)</f>
        <v>0</v>
      </c>
      <c r="AF465" s="64">
        <f>SUM(H465:AE465)</f>
        <v>9509828.9999999981</v>
      </c>
      <c r="AG465" s="59" t="str">
        <f>IF(ABS(AF465-F465)&lt;1,"ok","err")</f>
        <v>ok</v>
      </c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>
      <c r="A468" s="61"/>
      <c r="B468" s="61"/>
      <c r="F468" s="77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4"/>
      <c r="AG468" s="59"/>
    </row>
    <row r="469" spans="1:33">
      <c r="A469" s="61"/>
      <c r="B469" s="61"/>
      <c r="F469" s="77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4"/>
      <c r="AG469" s="59"/>
    </row>
    <row r="470" spans="1:33" ht="15">
      <c r="A470" s="66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0" t="s">
        <v>45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/>
      <c r="B472" s="61"/>
      <c r="F472" s="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G472" s="59"/>
    </row>
    <row r="473" spans="1:33" ht="15">
      <c r="A473" s="66" t="s">
        <v>108</v>
      </c>
      <c r="B473" s="61"/>
      <c r="F473" s="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G473" s="59"/>
    </row>
    <row r="474" spans="1:33">
      <c r="A474" s="61">
        <v>590</v>
      </c>
      <c r="B474" s="61" t="s">
        <v>1018</v>
      </c>
      <c r="C474" s="45" t="s">
        <v>65</v>
      </c>
      <c r="D474" s="45" t="s">
        <v>661</v>
      </c>
      <c r="F474" s="77">
        <v>0</v>
      </c>
      <c r="H474" s="64">
        <f t="shared" ref="H474:Q482" si="199">IF(VLOOKUP($D474,$C$6:$AE$653,H$2,)=0,0,((VLOOKUP($D474,$C$6:$AE$653,H$2,)/VLOOKUP($D474,$C$6:$AE$653,4,))*$F474))</f>
        <v>0</v>
      </c>
      <c r="I474" s="64">
        <f t="shared" si="199"/>
        <v>0</v>
      </c>
      <c r="J474" s="64">
        <f t="shared" si="199"/>
        <v>0</v>
      </c>
      <c r="K474" s="64">
        <f t="shared" si="199"/>
        <v>0</v>
      </c>
      <c r="L474" s="64">
        <f t="shared" si="199"/>
        <v>0</v>
      </c>
      <c r="M474" s="64">
        <f t="shared" si="199"/>
        <v>0</v>
      </c>
      <c r="N474" s="64">
        <f t="shared" si="199"/>
        <v>0</v>
      </c>
      <c r="O474" s="64">
        <f t="shared" si="199"/>
        <v>0</v>
      </c>
      <c r="P474" s="64">
        <f t="shared" si="199"/>
        <v>0</v>
      </c>
      <c r="Q474" s="64">
        <f t="shared" si="199"/>
        <v>0</v>
      </c>
      <c r="R474" s="64">
        <f t="shared" ref="R474:AE482" si="200">IF(VLOOKUP($D474,$C$6:$AE$653,R$2,)=0,0,((VLOOKUP($D474,$C$6:$AE$653,R$2,)/VLOOKUP($D474,$C$6:$AE$653,4,))*$F474))</f>
        <v>0</v>
      </c>
      <c r="S474" s="64">
        <f t="shared" si="200"/>
        <v>0</v>
      </c>
      <c r="T474" s="64">
        <f t="shared" si="200"/>
        <v>0</v>
      </c>
      <c r="U474" s="64">
        <f t="shared" si="200"/>
        <v>0</v>
      </c>
      <c r="V474" s="64">
        <f t="shared" si="200"/>
        <v>0</v>
      </c>
      <c r="W474" s="64">
        <f t="shared" si="200"/>
        <v>0</v>
      </c>
      <c r="X474" s="64">
        <f t="shared" si="200"/>
        <v>0</v>
      </c>
      <c r="Y474" s="64">
        <f t="shared" si="200"/>
        <v>0</v>
      </c>
      <c r="Z474" s="64">
        <f t="shared" si="200"/>
        <v>0</v>
      </c>
      <c r="AA474" s="64">
        <f t="shared" si="200"/>
        <v>0</v>
      </c>
      <c r="AB474" s="64">
        <f t="shared" si="200"/>
        <v>0</v>
      </c>
      <c r="AC474" s="64">
        <f t="shared" si="200"/>
        <v>0</v>
      </c>
      <c r="AD474" s="64">
        <f t="shared" si="200"/>
        <v>0</v>
      </c>
      <c r="AE474" s="64">
        <f t="shared" si="200"/>
        <v>0</v>
      </c>
      <c r="AF474" s="64">
        <f t="shared" ref="AF474:AF482" si="201">SUM(H474:AE474)</f>
        <v>0</v>
      </c>
      <c r="AG474" s="59" t="str">
        <f t="shared" ref="AG474:AG482" si="202">IF(ABS(AF474-F474)&lt;1,"ok","err")</f>
        <v>ok</v>
      </c>
    </row>
    <row r="475" spans="1:33">
      <c r="A475" s="61">
        <v>591</v>
      </c>
      <c r="B475" s="61" t="s">
        <v>223</v>
      </c>
      <c r="C475" s="45" t="s">
        <v>614</v>
      </c>
      <c r="D475" s="45" t="s">
        <v>948</v>
      </c>
      <c r="F475" s="80">
        <v>0</v>
      </c>
      <c r="H475" s="64">
        <f t="shared" si="199"/>
        <v>0</v>
      </c>
      <c r="I475" s="64">
        <f t="shared" si="199"/>
        <v>0</v>
      </c>
      <c r="J475" s="64">
        <f t="shared" si="199"/>
        <v>0</v>
      </c>
      <c r="K475" s="64">
        <f t="shared" si="199"/>
        <v>0</v>
      </c>
      <c r="L475" s="64">
        <f t="shared" si="199"/>
        <v>0</v>
      </c>
      <c r="M475" s="64">
        <f t="shared" si="199"/>
        <v>0</v>
      </c>
      <c r="N475" s="64">
        <f t="shared" si="199"/>
        <v>0</v>
      </c>
      <c r="O475" s="64">
        <f t="shared" si="199"/>
        <v>0</v>
      </c>
      <c r="P475" s="64">
        <f t="shared" si="199"/>
        <v>0</v>
      </c>
      <c r="Q475" s="64">
        <f t="shared" si="199"/>
        <v>0</v>
      </c>
      <c r="R475" s="64">
        <f t="shared" si="200"/>
        <v>0</v>
      </c>
      <c r="S475" s="64">
        <f t="shared" si="200"/>
        <v>0</v>
      </c>
      <c r="T475" s="64">
        <f t="shared" si="200"/>
        <v>0</v>
      </c>
      <c r="U475" s="64">
        <f t="shared" si="200"/>
        <v>0</v>
      </c>
      <c r="V475" s="64">
        <f t="shared" si="200"/>
        <v>0</v>
      </c>
      <c r="W475" s="64">
        <f t="shared" si="200"/>
        <v>0</v>
      </c>
      <c r="X475" s="64">
        <f t="shared" si="200"/>
        <v>0</v>
      </c>
      <c r="Y475" s="64">
        <f t="shared" si="200"/>
        <v>0</v>
      </c>
      <c r="Z475" s="64">
        <f t="shared" si="200"/>
        <v>0</v>
      </c>
      <c r="AA475" s="64">
        <f t="shared" si="200"/>
        <v>0</v>
      </c>
      <c r="AB475" s="64">
        <f t="shared" si="200"/>
        <v>0</v>
      </c>
      <c r="AC475" s="64">
        <f t="shared" si="200"/>
        <v>0</v>
      </c>
      <c r="AD475" s="64">
        <f t="shared" si="200"/>
        <v>0</v>
      </c>
      <c r="AE475" s="64">
        <f t="shared" si="200"/>
        <v>0</v>
      </c>
      <c r="AF475" s="64">
        <f>SUM(H475:AE475)</f>
        <v>0</v>
      </c>
      <c r="AG475" s="59" t="str">
        <f t="shared" si="202"/>
        <v>ok</v>
      </c>
    </row>
    <row r="476" spans="1:33">
      <c r="A476" s="61">
        <v>592</v>
      </c>
      <c r="B476" s="61" t="s">
        <v>1020</v>
      </c>
      <c r="C476" s="45" t="s">
        <v>66</v>
      </c>
      <c r="D476" s="45" t="s">
        <v>948</v>
      </c>
      <c r="F476" s="80">
        <v>199000</v>
      </c>
      <c r="H476" s="64">
        <f t="shared" si="199"/>
        <v>0</v>
      </c>
      <c r="I476" s="64">
        <f t="shared" si="199"/>
        <v>0</v>
      </c>
      <c r="J476" s="64">
        <f t="shared" si="199"/>
        <v>0</v>
      </c>
      <c r="K476" s="64">
        <f t="shared" si="199"/>
        <v>0</v>
      </c>
      <c r="L476" s="64">
        <f t="shared" si="199"/>
        <v>0</v>
      </c>
      <c r="M476" s="64">
        <f t="shared" si="199"/>
        <v>0</v>
      </c>
      <c r="N476" s="64">
        <f t="shared" si="199"/>
        <v>0</v>
      </c>
      <c r="O476" s="64">
        <f t="shared" si="199"/>
        <v>0</v>
      </c>
      <c r="P476" s="64">
        <f t="shared" si="199"/>
        <v>0</v>
      </c>
      <c r="Q476" s="64">
        <f t="shared" si="199"/>
        <v>0</v>
      </c>
      <c r="R476" s="64">
        <f t="shared" si="200"/>
        <v>199000</v>
      </c>
      <c r="S476" s="64">
        <f t="shared" si="200"/>
        <v>0</v>
      </c>
      <c r="T476" s="64">
        <f t="shared" si="200"/>
        <v>0</v>
      </c>
      <c r="U476" s="64">
        <f t="shared" si="200"/>
        <v>0</v>
      </c>
      <c r="V476" s="64">
        <f t="shared" si="200"/>
        <v>0</v>
      </c>
      <c r="W476" s="64">
        <f t="shared" si="200"/>
        <v>0</v>
      </c>
      <c r="X476" s="64">
        <f t="shared" si="200"/>
        <v>0</v>
      </c>
      <c r="Y476" s="64">
        <f t="shared" si="200"/>
        <v>0</v>
      </c>
      <c r="Z476" s="64">
        <f t="shared" si="200"/>
        <v>0</v>
      </c>
      <c r="AA476" s="64">
        <f t="shared" si="200"/>
        <v>0</v>
      </c>
      <c r="AB476" s="64">
        <f t="shared" si="200"/>
        <v>0</v>
      </c>
      <c r="AC476" s="64">
        <f t="shared" si="200"/>
        <v>0</v>
      </c>
      <c r="AD476" s="64">
        <f t="shared" si="200"/>
        <v>0</v>
      </c>
      <c r="AE476" s="64">
        <f t="shared" si="200"/>
        <v>0</v>
      </c>
      <c r="AF476" s="64">
        <f t="shared" si="201"/>
        <v>199000</v>
      </c>
      <c r="AG476" s="59" t="str">
        <f t="shared" si="202"/>
        <v>ok</v>
      </c>
    </row>
    <row r="477" spans="1:33">
      <c r="A477" s="61">
        <v>593</v>
      </c>
      <c r="B477" s="61" t="s">
        <v>1022</v>
      </c>
      <c r="C477" s="45" t="s">
        <v>67</v>
      </c>
      <c r="D477" s="45" t="s">
        <v>951</v>
      </c>
      <c r="F477" s="80">
        <v>2584023</v>
      </c>
      <c r="H477" s="64">
        <f t="shared" si="199"/>
        <v>0</v>
      </c>
      <c r="I477" s="64">
        <f t="shared" si="199"/>
        <v>0</v>
      </c>
      <c r="J477" s="64">
        <f t="shared" si="199"/>
        <v>0</v>
      </c>
      <c r="K477" s="64">
        <f t="shared" si="199"/>
        <v>0</v>
      </c>
      <c r="L477" s="64">
        <f t="shared" si="199"/>
        <v>0</v>
      </c>
      <c r="M477" s="64">
        <f t="shared" si="199"/>
        <v>0</v>
      </c>
      <c r="N477" s="64">
        <f t="shared" si="199"/>
        <v>0</v>
      </c>
      <c r="O477" s="64">
        <f t="shared" si="199"/>
        <v>0</v>
      </c>
      <c r="P477" s="64">
        <f t="shared" si="199"/>
        <v>0</v>
      </c>
      <c r="Q477" s="64">
        <f t="shared" si="199"/>
        <v>0</v>
      </c>
      <c r="R477" s="64">
        <f t="shared" si="200"/>
        <v>0</v>
      </c>
      <c r="S477" s="64">
        <f t="shared" si="200"/>
        <v>0</v>
      </c>
      <c r="T477" s="64">
        <f t="shared" si="200"/>
        <v>771712.21561434004</v>
      </c>
      <c r="U477" s="64">
        <f t="shared" si="200"/>
        <v>1119275.8157856599</v>
      </c>
      <c r="V477" s="64">
        <f t="shared" si="200"/>
        <v>282827.57068566</v>
      </c>
      <c r="W477" s="64">
        <f t="shared" si="200"/>
        <v>410207.39791434002</v>
      </c>
      <c r="X477" s="64">
        <f t="shared" si="200"/>
        <v>0</v>
      </c>
      <c r="Y477" s="64">
        <f t="shared" si="200"/>
        <v>0</v>
      </c>
      <c r="Z477" s="64">
        <f t="shared" si="200"/>
        <v>0</v>
      </c>
      <c r="AA477" s="64">
        <f t="shared" si="200"/>
        <v>0</v>
      </c>
      <c r="AB477" s="64">
        <f t="shared" si="200"/>
        <v>0</v>
      </c>
      <c r="AC477" s="64">
        <f t="shared" si="200"/>
        <v>0</v>
      </c>
      <c r="AD477" s="64">
        <f t="shared" si="200"/>
        <v>0</v>
      </c>
      <c r="AE477" s="64">
        <f t="shared" si="200"/>
        <v>0</v>
      </c>
      <c r="AF477" s="64">
        <f t="shared" si="201"/>
        <v>2584023</v>
      </c>
      <c r="AG477" s="59" t="str">
        <f t="shared" si="202"/>
        <v>ok</v>
      </c>
    </row>
    <row r="478" spans="1:33">
      <c r="A478" s="61">
        <v>594</v>
      </c>
      <c r="B478" s="61" t="s">
        <v>1024</v>
      </c>
      <c r="C478" s="45" t="s">
        <v>68</v>
      </c>
      <c r="D478" s="45" t="s">
        <v>954</v>
      </c>
      <c r="F478" s="80">
        <v>403600</v>
      </c>
      <c r="H478" s="64">
        <f t="shared" si="199"/>
        <v>0</v>
      </c>
      <c r="I478" s="64">
        <f t="shared" si="199"/>
        <v>0</v>
      </c>
      <c r="J478" s="64">
        <f t="shared" si="199"/>
        <v>0</v>
      </c>
      <c r="K478" s="64">
        <f t="shared" si="199"/>
        <v>0</v>
      </c>
      <c r="L478" s="64">
        <f t="shared" si="199"/>
        <v>0</v>
      </c>
      <c r="M478" s="64">
        <f t="shared" si="199"/>
        <v>0</v>
      </c>
      <c r="N478" s="64">
        <f t="shared" si="199"/>
        <v>0</v>
      </c>
      <c r="O478" s="64">
        <f t="shared" si="199"/>
        <v>0</v>
      </c>
      <c r="P478" s="64">
        <f t="shared" si="199"/>
        <v>0</v>
      </c>
      <c r="Q478" s="64">
        <f t="shared" si="199"/>
        <v>0</v>
      </c>
      <c r="R478" s="64">
        <f t="shared" si="200"/>
        <v>0</v>
      </c>
      <c r="S478" s="64">
        <f t="shared" si="200"/>
        <v>0</v>
      </c>
      <c r="T478" s="64">
        <f t="shared" si="200"/>
        <v>126690.16108000001</v>
      </c>
      <c r="U478" s="64">
        <f t="shared" si="200"/>
        <v>228881.43892000004</v>
      </c>
      <c r="V478" s="64">
        <f t="shared" si="200"/>
        <v>17112.518919999999</v>
      </c>
      <c r="W478" s="64">
        <f t="shared" si="200"/>
        <v>30915.881079999999</v>
      </c>
      <c r="X478" s="64">
        <f t="shared" si="200"/>
        <v>0</v>
      </c>
      <c r="Y478" s="64">
        <f t="shared" si="200"/>
        <v>0</v>
      </c>
      <c r="Z478" s="64">
        <f t="shared" si="200"/>
        <v>0</v>
      </c>
      <c r="AA478" s="64">
        <f t="shared" si="200"/>
        <v>0</v>
      </c>
      <c r="AB478" s="64">
        <f t="shared" si="200"/>
        <v>0</v>
      </c>
      <c r="AC478" s="64">
        <f t="shared" si="200"/>
        <v>0</v>
      </c>
      <c r="AD478" s="64">
        <f t="shared" si="200"/>
        <v>0</v>
      </c>
      <c r="AE478" s="64">
        <f t="shared" si="200"/>
        <v>0</v>
      </c>
      <c r="AF478" s="64">
        <f t="shared" si="201"/>
        <v>403600.00000000006</v>
      </c>
      <c r="AG478" s="59" t="str">
        <f t="shared" si="202"/>
        <v>ok</v>
      </c>
    </row>
    <row r="479" spans="1:33">
      <c r="A479" s="61">
        <v>595</v>
      </c>
      <c r="B479" s="61" t="s">
        <v>1026</v>
      </c>
      <c r="C479" s="45" t="s">
        <v>69</v>
      </c>
      <c r="D479" s="45" t="s">
        <v>955</v>
      </c>
      <c r="F479" s="80">
        <v>77717</v>
      </c>
      <c r="H479" s="64">
        <f t="shared" si="199"/>
        <v>0</v>
      </c>
      <c r="I479" s="64">
        <f t="shared" si="199"/>
        <v>0</v>
      </c>
      <c r="J479" s="64">
        <f t="shared" si="199"/>
        <v>0</v>
      </c>
      <c r="K479" s="64">
        <f t="shared" si="199"/>
        <v>0</v>
      </c>
      <c r="L479" s="64">
        <f t="shared" si="199"/>
        <v>0</v>
      </c>
      <c r="M479" s="64">
        <f t="shared" si="199"/>
        <v>0</v>
      </c>
      <c r="N479" s="64">
        <f t="shared" si="199"/>
        <v>0</v>
      </c>
      <c r="O479" s="64">
        <f t="shared" si="199"/>
        <v>0</v>
      </c>
      <c r="P479" s="64">
        <f t="shared" si="199"/>
        <v>0</v>
      </c>
      <c r="Q479" s="64">
        <f t="shared" si="199"/>
        <v>0</v>
      </c>
      <c r="R479" s="64">
        <f t="shared" si="200"/>
        <v>0</v>
      </c>
      <c r="S479" s="64">
        <f t="shared" si="200"/>
        <v>0</v>
      </c>
      <c r="T479" s="64">
        <f t="shared" si="200"/>
        <v>0</v>
      </c>
      <c r="U479" s="64">
        <f t="shared" si="200"/>
        <v>0</v>
      </c>
      <c r="V479" s="64">
        <f t="shared" si="200"/>
        <v>0</v>
      </c>
      <c r="W479" s="64">
        <f t="shared" si="200"/>
        <v>0</v>
      </c>
      <c r="X479" s="64">
        <f t="shared" si="200"/>
        <v>45733.305287180439</v>
      </c>
      <c r="Y479" s="64">
        <f t="shared" si="200"/>
        <v>31983.694712819564</v>
      </c>
      <c r="Z479" s="64">
        <f t="shared" si="200"/>
        <v>0</v>
      </c>
      <c r="AA479" s="64">
        <f t="shared" si="200"/>
        <v>0</v>
      </c>
      <c r="AB479" s="64">
        <f t="shared" si="200"/>
        <v>0</v>
      </c>
      <c r="AC479" s="64">
        <f t="shared" si="200"/>
        <v>0</v>
      </c>
      <c r="AD479" s="64">
        <f t="shared" si="200"/>
        <v>0</v>
      </c>
      <c r="AE479" s="64">
        <f t="shared" si="200"/>
        <v>0</v>
      </c>
      <c r="AF479" s="64">
        <f t="shared" si="201"/>
        <v>77717</v>
      </c>
      <c r="AG479" s="59" t="str">
        <f t="shared" si="202"/>
        <v>ok</v>
      </c>
    </row>
    <row r="480" spans="1:33">
      <c r="A480" s="61">
        <v>596</v>
      </c>
      <c r="B480" s="61" t="s">
        <v>1161</v>
      </c>
      <c r="C480" s="45" t="s">
        <v>70</v>
      </c>
      <c r="D480" s="45" t="s">
        <v>962</v>
      </c>
      <c r="F480" s="80">
        <v>6800</v>
      </c>
      <c r="H480" s="64">
        <f t="shared" si="199"/>
        <v>0</v>
      </c>
      <c r="I480" s="64">
        <f t="shared" si="199"/>
        <v>0</v>
      </c>
      <c r="J480" s="64">
        <f t="shared" si="199"/>
        <v>0</v>
      </c>
      <c r="K480" s="64">
        <f t="shared" si="199"/>
        <v>0</v>
      </c>
      <c r="L480" s="64">
        <f t="shared" si="199"/>
        <v>0</v>
      </c>
      <c r="M480" s="64">
        <f t="shared" si="199"/>
        <v>0</v>
      </c>
      <c r="N480" s="64">
        <f t="shared" si="199"/>
        <v>0</v>
      </c>
      <c r="O480" s="64">
        <f t="shared" si="199"/>
        <v>0</v>
      </c>
      <c r="P480" s="64">
        <f t="shared" si="199"/>
        <v>0</v>
      </c>
      <c r="Q480" s="64">
        <f t="shared" si="199"/>
        <v>0</v>
      </c>
      <c r="R480" s="64">
        <f t="shared" si="200"/>
        <v>0</v>
      </c>
      <c r="S480" s="64">
        <f t="shared" si="200"/>
        <v>0</v>
      </c>
      <c r="T480" s="64">
        <f t="shared" si="200"/>
        <v>0</v>
      </c>
      <c r="U480" s="64">
        <f t="shared" si="200"/>
        <v>0</v>
      </c>
      <c r="V480" s="64">
        <f t="shared" si="200"/>
        <v>0</v>
      </c>
      <c r="W480" s="64">
        <f t="shared" si="200"/>
        <v>0</v>
      </c>
      <c r="X480" s="64">
        <f t="shared" si="200"/>
        <v>0</v>
      </c>
      <c r="Y480" s="64">
        <f t="shared" si="200"/>
        <v>0</v>
      </c>
      <c r="Z480" s="64">
        <f t="shared" si="200"/>
        <v>0</v>
      </c>
      <c r="AA480" s="64">
        <f t="shared" si="200"/>
        <v>0</v>
      </c>
      <c r="AB480" s="64">
        <f t="shared" si="200"/>
        <v>6800</v>
      </c>
      <c r="AC480" s="64">
        <f t="shared" si="200"/>
        <v>0</v>
      </c>
      <c r="AD480" s="64">
        <f t="shared" si="200"/>
        <v>0</v>
      </c>
      <c r="AE480" s="64">
        <f t="shared" si="200"/>
        <v>0</v>
      </c>
      <c r="AF480" s="64">
        <f t="shared" si="201"/>
        <v>6800</v>
      </c>
      <c r="AG480" s="59" t="str">
        <f t="shared" si="202"/>
        <v>ok</v>
      </c>
    </row>
    <row r="481" spans="1:33">
      <c r="A481" s="61">
        <v>597</v>
      </c>
      <c r="B481" s="61" t="s">
        <v>1028</v>
      </c>
      <c r="C481" s="45" t="s">
        <v>71</v>
      </c>
      <c r="D481" s="45" t="s">
        <v>959</v>
      </c>
      <c r="F481" s="80">
        <v>0</v>
      </c>
      <c r="H481" s="64">
        <f t="shared" si="199"/>
        <v>0</v>
      </c>
      <c r="I481" s="64">
        <f t="shared" si="199"/>
        <v>0</v>
      </c>
      <c r="J481" s="64">
        <f t="shared" si="199"/>
        <v>0</v>
      </c>
      <c r="K481" s="64">
        <f t="shared" si="199"/>
        <v>0</v>
      </c>
      <c r="L481" s="64">
        <f t="shared" si="199"/>
        <v>0</v>
      </c>
      <c r="M481" s="64">
        <f t="shared" si="199"/>
        <v>0</v>
      </c>
      <c r="N481" s="64">
        <f t="shared" si="199"/>
        <v>0</v>
      </c>
      <c r="O481" s="64">
        <f t="shared" si="199"/>
        <v>0</v>
      </c>
      <c r="P481" s="64">
        <f t="shared" si="199"/>
        <v>0</v>
      </c>
      <c r="Q481" s="64">
        <f t="shared" si="199"/>
        <v>0</v>
      </c>
      <c r="R481" s="64">
        <f t="shared" si="200"/>
        <v>0</v>
      </c>
      <c r="S481" s="64">
        <f t="shared" si="200"/>
        <v>0</v>
      </c>
      <c r="T481" s="64">
        <f t="shared" si="200"/>
        <v>0</v>
      </c>
      <c r="U481" s="64">
        <f t="shared" si="200"/>
        <v>0</v>
      </c>
      <c r="V481" s="64">
        <f t="shared" si="200"/>
        <v>0</v>
      </c>
      <c r="W481" s="64">
        <f t="shared" si="200"/>
        <v>0</v>
      </c>
      <c r="X481" s="64">
        <f t="shared" si="200"/>
        <v>0</v>
      </c>
      <c r="Y481" s="64">
        <f t="shared" si="200"/>
        <v>0</v>
      </c>
      <c r="Z481" s="64">
        <f t="shared" si="200"/>
        <v>0</v>
      </c>
      <c r="AA481" s="64">
        <f t="shared" si="200"/>
        <v>0</v>
      </c>
      <c r="AB481" s="64">
        <f t="shared" si="200"/>
        <v>0</v>
      </c>
      <c r="AC481" s="64">
        <f t="shared" si="200"/>
        <v>0</v>
      </c>
      <c r="AD481" s="64">
        <f t="shared" si="200"/>
        <v>0</v>
      </c>
      <c r="AE481" s="64">
        <f t="shared" si="200"/>
        <v>0</v>
      </c>
      <c r="AF481" s="64">
        <f t="shared" si="201"/>
        <v>0</v>
      </c>
      <c r="AG481" s="59" t="str">
        <f t="shared" si="202"/>
        <v>ok</v>
      </c>
    </row>
    <row r="482" spans="1:33">
      <c r="A482" s="61">
        <v>598</v>
      </c>
      <c r="B482" s="61" t="s">
        <v>1165</v>
      </c>
      <c r="C482" s="45" t="s">
        <v>72</v>
      </c>
      <c r="D482" s="45" t="s">
        <v>944</v>
      </c>
      <c r="F482" s="80">
        <v>0</v>
      </c>
      <c r="H482" s="64">
        <f t="shared" si="199"/>
        <v>0</v>
      </c>
      <c r="I482" s="64">
        <f t="shared" si="199"/>
        <v>0</v>
      </c>
      <c r="J482" s="64">
        <f t="shared" si="199"/>
        <v>0</v>
      </c>
      <c r="K482" s="64">
        <f t="shared" si="199"/>
        <v>0</v>
      </c>
      <c r="L482" s="64">
        <f t="shared" si="199"/>
        <v>0</v>
      </c>
      <c r="M482" s="64">
        <f t="shared" si="199"/>
        <v>0</v>
      </c>
      <c r="N482" s="64">
        <f t="shared" si="199"/>
        <v>0</v>
      </c>
      <c r="O482" s="64">
        <f t="shared" si="199"/>
        <v>0</v>
      </c>
      <c r="P482" s="64">
        <f t="shared" si="199"/>
        <v>0</v>
      </c>
      <c r="Q482" s="64">
        <f t="shared" si="199"/>
        <v>0</v>
      </c>
      <c r="R482" s="64">
        <f t="shared" si="200"/>
        <v>0</v>
      </c>
      <c r="S482" s="64">
        <f t="shared" si="200"/>
        <v>0</v>
      </c>
      <c r="T482" s="64">
        <f t="shared" si="200"/>
        <v>0</v>
      </c>
      <c r="U482" s="64">
        <f t="shared" si="200"/>
        <v>0</v>
      </c>
      <c r="V482" s="64">
        <f t="shared" si="200"/>
        <v>0</v>
      </c>
      <c r="W482" s="64">
        <f t="shared" si="200"/>
        <v>0</v>
      </c>
      <c r="X482" s="64">
        <f t="shared" si="200"/>
        <v>0</v>
      </c>
      <c r="Y482" s="64">
        <f t="shared" si="200"/>
        <v>0</v>
      </c>
      <c r="Z482" s="64">
        <f t="shared" si="200"/>
        <v>0</v>
      </c>
      <c r="AA482" s="64">
        <f t="shared" si="200"/>
        <v>0</v>
      </c>
      <c r="AB482" s="64">
        <f t="shared" si="200"/>
        <v>0</v>
      </c>
      <c r="AC482" s="64">
        <f t="shared" si="200"/>
        <v>0</v>
      </c>
      <c r="AD482" s="64">
        <f t="shared" si="200"/>
        <v>0</v>
      </c>
      <c r="AE482" s="64">
        <f t="shared" si="200"/>
        <v>0</v>
      </c>
      <c r="AF482" s="64">
        <f t="shared" si="201"/>
        <v>0</v>
      </c>
      <c r="AG482" s="59" t="str">
        <f t="shared" si="202"/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59"/>
    </row>
    <row r="484" spans="1:33">
      <c r="A484" s="61" t="s">
        <v>109</v>
      </c>
      <c r="B484" s="61"/>
      <c r="C484" s="45" t="s">
        <v>73</v>
      </c>
      <c r="F484" s="77">
        <f t="shared" ref="F484:M484" si="203">SUM(F474:F483)</f>
        <v>3271140</v>
      </c>
      <c r="G484" s="63">
        <f t="shared" si="203"/>
        <v>0</v>
      </c>
      <c r="H484" s="63">
        <f t="shared" si="203"/>
        <v>0</v>
      </c>
      <c r="I484" s="63">
        <f t="shared" si="203"/>
        <v>0</v>
      </c>
      <c r="J484" s="63">
        <f t="shared" si="203"/>
        <v>0</v>
      </c>
      <c r="K484" s="63">
        <f t="shared" si="203"/>
        <v>0</v>
      </c>
      <c r="L484" s="63">
        <f t="shared" si="203"/>
        <v>0</v>
      </c>
      <c r="M484" s="63">
        <f t="shared" si="203"/>
        <v>0</v>
      </c>
      <c r="N484" s="63">
        <f>SUM(N474:N483)</f>
        <v>0</v>
      </c>
      <c r="O484" s="63">
        <f>SUM(O474:O483)</f>
        <v>0</v>
      </c>
      <c r="P484" s="63">
        <f>SUM(P474:P483)</f>
        <v>0</v>
      </c>
      <c r="Q484" s="63">
        <f t="shared" ref="Q484:AB484" si="204">SUM(Q474:Q483)</f>
        <v>0</v>
      </c>
      <c r="R484" s="63">
        <f t="shared" si="204"/>
        <v>199000</v>
      </c>
      <c r="S484" s="63">
        <f t="shared" si="204"/>
        <v>0</v>
      </c>
      <c r="T484" s="63">
        <f t="shared" si="204"/>
        <v>898402.37669434003</v>
      </c>
      <c r="U484" s="63">
        <f t="shared" si="204"/>
        <v>1348157.25470566</v>
      </c>
      <c r="V484" s="63">
        <f t="shared" si="204"/>
        <v>299940.08960566</v>
      </c>
      <c r="W484" s="63">
        <f t="shared" si="204"/>
        <v>441123.27899434004</v>
      </c>
      <c r="X484" s="63">
        <f t="shared" si="204"/>
        <v>45733.305287180439</v>
      </c>
      <c r="Y484" s="63">
        <f t="shared" si="204"/>
        <v>31983.694712819564</v>
      </c>
      <c r="Z484" s="63">
        <f t="shared" si="204"/>
        <v>0</v>
      </c>
      <c r="AA484" s="63">
        <f t="shared" si="204"/>
        <v>0</v>
      </c>
      <c r="AB484" s="63">
        <f t="shared" si="204"/>
        <v>6800</v>
      </c>
      <c r="AC484" s="63">
        <f>SUM(AC474:AC483)</f>
        <v>0</v>
      </c>
      <c r="AD484" s="63">
        <f>SUM(AD474:AD483)</f>
        <v>0</v>
      </c>
      <c r="AE484" s="63">
        <f>SUM(AE474:AE483)</f>
        <v>0</v>
      </c>
      <c r="AF484" s="64">
        <f>SUM(H484:AE484)</f>
        <v>3271140.0000000005</v>
      </c>
      <c r="AG484" s="59" t="str">
        <f>IF(ABS(AF484-F484)&lt;1,"ok","err")</f>
        <v>ok</v>
      </c>
    </row>
    <row r="485" spans="1:33">
      <c r="A485" s="61"/>
      <c r="B485" s="61"/>
      <c r="F485" s="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110</v>
      </c>
      <c r="B486" s="61"/>
      <c r="D486" s="45" t="s">
        <v>944</v>
      </c>
      <c r="F486" s="77">
        <f>F484+F465</f>
        <v>12780969</v>
      </c>
      <c r="G486" s="64">
        <f>G465+G484</f>
        <v>0</v>
      </c>
      <c r="H486" s="64">
        <f t="shared" ref="H486:M486" si="205">H484+H465</f>
        <v>0</v>
      </c>
      <c r="I486" s="64">
        <f t="shared" si="205"/>
        <v>0</v>
      </c>
      <c r="J486" s="64">
        <f t="shared" si="205"/>
        <v>0</v>
      </c>
      <c r="K486" s="64">
        <f t="shared" si="205"/>
        <v>0</v>
      </c>
      <c r="L486" s="64">
        <f t="shared" si="205"/>
        <v>0</v>
      </c>
      <c r="M486" s="64">
        <f t="shared" si="205"/>
        <v>0</v>
      </c>
      <c r="N486" s="64">
        <f>N484+N465</f>
        <v>0</v>
      </c>
      <c r="O486" s="64">
        <f>O484+O465</f>
        <v>0</v>
      </c>
      <c r="P486" s="64">
        <f>P484+P465</f>
        <v>0</v>
      </c>
      <c r="Q486" s="64">
        <f t="shared" ref="Q486:AB486" si="206">Q484+Q465</f>
        <v>0</v>
      </c>
      <c r="R486" s="64">
        <f t="shared" si="206"/>
        <v>1963504.0735617669</v>
      </c>
      <c r="S486" s="64">
        <f t="shared" si="206"/>
        <v>0</v>
      </c>
      <c r="T486" s="64">
        <f t="shared" si="206"/>
        <v>1857014.0576206709</v>
      </c>
      <c r="U486" s="64">
        <f t="shared" si="206"/>
        <v>2805242.9198604217</v>
      </c>
      <c r="V486" s="64">
        <f t="shared" si="206"/>
        <v>607913.578950066</v>
      </c>
      <c r="W486" s="64">
        <f t="shared" si="206"/>
        <v>896815.90948473196</v>
      </c>
      <c r="X486" s="64">
        <f t="shared" si="206"/>
        <v>169514.89924627161</v>
      </c>
      <c r="Y486" s="64">
        <f t="shared" si="206"/>
        <v>118550.6438408878</v>
      </c>
      <c r="Z486" s="64">
        <f t="shared" si="206"/>
        <v>42990.765535061459</v>
      </c>
      <c r="AA486" s="64">
        <f t="shared" si="206"/>
        <v>4175979.9089850918</v>
      </c>
      <c r="AB486" s="64">
        <f t="shared" si="206"/>
        <v>143442.24291502949</v>
      </c>
      <c r="AC486" s="64">
        <f>AC484+AC465</f>
        <v>0</v>
      </c>
      <c r="AD486" s="64">
        <f>AD484+AD465</f>
        <v>0</v>
      </c>
      <c r="AE486" s="64">
        <f>AE484+AE465</f>
        <v>0</v>
      </c>
      <c r="AF486" s="64">
        <f>SUM(H486:AE486)</f>
        <v>12780969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111</v>
      </c>
      <c r="B488" s="61"/>
      <c r="F488" s="77">
        <f t="shared" ref="F488:M488" si="207">F486+F450</f>
        <v>15916386</v>
      </c>
      <c r="G488" s="64">
        <f t="shared" si="207"/>
        <v>0</v>
      </c>
      <c r="H488" s="64">
        <f t="shared" si="207"/>
        <v>0</v>
      </c>
      <c r="I488" s="64">
        <f t="shared" si="207"/>
        <v>0</v>
      </c>
      <c r="J488" s="64">
        <f t="shared" si="207"/>
        <v>0</v>
      </c>
      <c r="K488" s="64">
        <f t="shared" si="207"/>
        <v>0</v>
      </c>
      <c r="L488" s="64">
        <f t="shared" si="207"/>
        <v>0</v>
      </c>
      <c r="M488" s="64">
        <f t="shared" si="207"/>
        <v>0</v>
      </c>
      <c r="N488" s="64">
        <f>N486+N450</f>
        <v>3135417</v>
      </c>
      <c r="O488" s="64">
        <f>O486+O450</f>
        <v>0</v>
      </c>
      <c r="P488" s="64">
        <f>P486+P450</f>
        <v>0</v>
      </c>
      <c r="Q488" s="64">
        <f t="shared" ref="Q488:AB488" si="208">Q486+Q450</f>
        <v>0</v>
      </c>
      <c r="R488" s="64">
        <f t="shared" si="208"/>
        <v>1963504.0735617669</v>
      </c>
      <c r="S488" s="64">
        <f t="shared" si="208"/>
        <v>0</v>
      </c>
      <c r="T488" s="64">
        <f t="shared" si="208"/>
        <v>1857014.0576206709</v>
      </c>
      <c r="U488" s="64">
        <f t="shared" si="208"/>
        <v>2805242.9198604217</v>
      </c>
      <c r="V488" s="64">
        <f t="shared" si="208"/>
        <v>607913.578950066</v>
      </c>
      <c r="W488" s="64">
        <f t="shared" si="208"/>
        <v>896815.90948473196</v>
      </c>
      <c r="X488" s="64">
        <f t="shared" si="208"/>
        <v>169514.89924627161</v>
      </c>
      <c r="Y488" s="64">
        <f t="shared" si="208"/>
        <v>118550.6438408878</v>
      </c>
      <c r="Z488" s="64">
        <f t="shared" si="208"/>
        <v>42990.765535061459</v>
      </c>
      <c r="AA488" s="64">
        <f t="shared" si="208"/>
        <v>4175979.9089850918</v>
      </c>
      <c r="AB488" s="64">
        <f t="shared" si="208"/>
        <v>143442.24291502949</v>
      </c>
      <c r="AC488" s="64">
        <f>AC486+AC450</f>
        <v>0</v>
      </c>
      <c r="AD488" s="64">
        <f>AD486+AD450</f>
        <v>0</v>
      </c>
      <c r="AE488" s="64">
        <f>AE486+AE450</f>
        <v>0</v>
      </c>
      <c r="AF488" s="64">
        <f>SUM(H488:AE488)</f>
        <v>15916386</v>
      </c>
      <c r="AG488" s="59" t="str">
        <f>IF(ABS(AF488-F488)&lt;1,"ok","err")</f>
        <v>ok</v>
      </c>
    </row>
    <row r="489" spans="1:33">
      <c r="A489" s="61"/>
      <c r="B489" s="61"/>
      <c r="F489" s="80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>
      <c r="A490" s="61" t="s">
        <v>340</v>
      </c>
      <c r="B490" s="61"/>
      <c r="C490" s="45" t="s">
        <v>74</v>
      </c>
      <c r="F490" s="77">
        <f>F488+F427+F434</f>
        <v>46834191</v>
      </c>
      <c r="G490" s="63">
        <f>G488+G434</f>
        <v>0</v>
      </c>
      <c r="H490" s="63">
        <f>H488+H427+H434</f>
        <v>6084771.3260635436</v>
      </c>
      <c r="I490" s="63">
        <f t="shared" ref="I490:AE490" si="209">I488+I427+I434</f>
        <v>6374183.0955313304</v>
      </c>
      <c r="J490" s="63">
        <f t="shared" si="209"/>
        <v>5239557.0106498227</v>
      </c>
      <c r="K490" s="63">
        <f t="shared" si="209"/>
        <v>13219293.567755304</v>
      </c>
      <c r="L490" s="63">
        <f t="shared" si="209"/>
        <v>0</v>
      </c>
      <c r="M490" s="63">
        <f t="shared" si="209"/>
        <v>0</v>
      </c>
      <c r="N490" s="63">
        <f t="shared" si="209"/>
        <v>3135417</v>
      </c>
      <c r="O490" s="63">
        <f t="shared" si="209"/>
        <v>0</v>
      </c>
      <c r="P490" s="63">
        <f t="shared" si="209"/>
        <v>0</v>
      </c>
      <c r="Q490" s="63">
        <f t="shared" si="209"/>
        <v>0</v>
      </c>
      <c r="R490" s="63">
        <f t="shared" si="209"/>
        <v>1963504.0735617669</v>
      </c>
      <c r="S490" s="63">
        <f t="shared" si="209"/>
        <v>0</v>
      </c>
      <c r="T490" s="63">
        <f t="shared" si="209"/>
        <v>1857014.0576206709</v>
      </c>
      <c r="U490" s="63">
        <f t="shared" si="209"/>
        <v>2805242.9198604217</v>
      </c>
      <c r="V490" s="63">
        <f t="shared" si="209"/>
        <v>607913.578950066</v>
      </c>
      <c r="W490" s="63">
        <f t="shared" si="209"/>
        <v>896815.90948473196</v>
      </c>
      <c r="X490" s="63">
        <f t="shared" si="209"/>
        <v>169514.89924627161</v>
      </c>
      <c r="Y490" s="63">
        <f t="shared" si="209"/>
        <v>118550.6438408878</v>
      </c>
      <c r="Z490" s="63">
        <f t="shared" si="209"/>
        <v>42990.765535061459</v>
      </c>
      <c r="AA490" s="63">
        <f t="shared" si="209"/>
        <v>4175979.9089850918</v>
      </c>
      <c r="AB490" s="63">
        <f t="shared" si="209"/>
        <v>143442.24291502949</v>
      </c>
      <c r="AC490" s="63">
        <f t="shared" si="209"/>
        <v>0</v>
      </c>
      <c r="AD490" s="63">
        <f t="shared" si="209"/>
        <v>0</v>
      </c>
      <c r="AE490" s="63">
        <f t="shared" si="209"/>
        <v>0</v>
      </c>
      <c r="AF490" s="64">
        <f>SUM(H490:AE490)</f>
        <v>46834190.999999993</v>
      </c>
      <c r="AG490" s="59" t="str">
        <f>IF(ABS(AF490-F490)&lt;1,"ok","err")</f>
        <v>ok</v>
      </c>
    </row>
    <row r="491" spans="1:33" ht="15">
      <c r="A491" s="66"/>
      <c r="B491" s="61"/>
      <c r="F491" s="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G491" s="59"/>
    </row>
    <row r="492" spans="1:33" ht="15">
      <c r="A492" s="66" t="s">
        <v>1034</v>
      </c>
      <c r="B492" s="61"/>
      <c r="F492" s="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G492" s="59"/>
    </row>
    <row r="493" spans="1:33">
      <c r="A493" s="61">
        <v>901</v>
      </c>
      <c r="B493" s="61" t="s">
        <v>1035</v>
      </c>
      <c r="C493" s="45" t="s">
        <v>75</v>
      </c>
      <c r="D493" s="45" t="s">
        <v>662</v>
      </c>
      <c r="F493" s="77">
        <v>869231.40000000014</v>
      </c>
      <c r="H493" s="64">
        <f t="shared" ref="H493:Q497" si="210">IF(VLOOKUP($D493,$C$6:$AE$653,H$2,)=0,0,((VLOOKUP($D493,$C$6:$AE$653,H$2,)/VLOOKUP($D493,$C$6:$AE$653,4,))*$F493))</f>
        <v>0</v>
      </c>
      <c r="I493" s="64">
        <f t="shared" si="210"/>
        <v>0</v>
      </c>
      <c r="J493" s="64">
        <f t="shared" si="210"/>
        <v>0</v>
      </c>
      <c r="K493" s="64">
        <f t="shared" si="210"/>
        <v>0</v>
      </c>
      <c r="L493" s="64">
        <f t="shared" si="210"/>
        <v>0</v>
      </c>
      <c r="M493" s="64">
        <f t="shared" si="210"/>
        <v>0</v>
      </c>
      <c r="N493" s="64">
        <f t="shared" si="210"/>
        <v>0</v>
      </c>
      <c r="O493" s="64">
        <f t="shared" si="210"/>
        <v>0</v>
      </c>
      <c r="P493" s="64">
        <f t="shared" si="210"/>
        <v>0</v>
      </c>
      <c r="Q493" s="64">
        <f t="shared" si="210"/>
        <v>0</v>
      </c>
      <c r="R493" s="64">
        <f t="shared" ref="R493:AE497" si="211">IF(VLOOKUP($D493,$C$6:$AE$653,R$2,)=0,0,((VLOOKUP($D493,$C$6:$AE$653,R$2,)/VLOOKUP($D493,$C$6:$AE$653,4,))*$F493))</f>
        <v>0</v>
      </c>
      <c r="S493" s="64">
        <f t="shared" si="211"/>
        <v>0</v>
      </c>
      <c r="T493" s="64">
        <f t="shared" si="211"/>
        <v>0</v>
      </c>
      <c r="U493" s="64">
        <f t="shared" si="211"/>
        <v>0</v>
      </c>
      <c r="V493" s="64">
        <f t="shared" si="211"/>
        <v>0</v>
      </c>
      <c r="W493" s="64">
        <f t="shared" si="211"/>
        <v>0</v>
      </c>
      <c r="X493" s="64">
        <f t="shared" si="211"/>
        <v>0</v>
      </c>
      <c r="Y493" s="64">
        <f t="shared" si="211"/>
        <v>0</v>
      </c>
      <c r="Z493" s="64">
        <f t="shared" si="211"/>
        <v>0</v>
      </c>
      <c r="AA493" s="64">
        <f t="shared" si="211"/>
        <v>0</v>
      </c>
      <c r="AB493" s="64">
        <f t="shared" si="211"/>
        <v>0</v>
      </c>
      <c r="AC493" s="64">
        <f t="shared" si="211"/>
        <v>869231.40000000014</v>
      </c>
      <c r="AD493" s="64">
        <f t="shared" si="211"/>
        <v>0</v>
      </c>
      <c r="AE493" s="64">
        <f t="shared" si="211"/>
        <v>0</v>
      </c>
      <c r="AF493" s="64">
        <f>SUM(H493:AE493)</f>
        <v>869231.40000000014</v>
      </c>
      <c r="AG493" s="59" t="str">
        <f>IF(ABS(AF493-F493)&lt;1,"ok","err")</f>
        <v>ok</v>
      </c>
    </row>
    <row r="494" spans="1:33">
      <c r="A494" s="61">
        <v>902</v>
      </c>
      <c r="B494" s="61" t="s">
        <v>1038</v>
      </c>
      <c r="C494" s="45" t="s">
        <v>76</v>
      </c>
      <c r="D494" s="45" t="s">
        <v>662</v>
      </c>
      <c r="F494" s="80">
        <v>340095.28</v>
      </c>
      <c r="H494" s="64">
        <f t="shared" si="210"/>
        <v>0</v>
      </c>
      <c r="I494" s="64">
        <f t="shared" si="210"/>
        <v>0</v>
      </c>
      <c r="J494" s="64">
        <f t="shared" si="210"/>
        <v>0</v>
      </c>
      <c r="K494" s="64">
        <f t="shared" si="210"/>
        <v>0</v>
      </c>
      <c r="L494" s="64">
        <f t="shared" si="210"/>
        <v>0</v>
      </c>
      <c r="M494" s="64">
        <f t="shared" si="210"/>
        <v>0</v>
      </c>
      <c r="N494" s="64">
        <f t="shared" si="210"/>
        <v>0</v>
      </c>
      <c r="O494" s="64">
        <f t="shared" si="210"/>
        <v>0</v>
      </c>
      <c r="P494" s="64">
        <f t="shared" si="210"/>
        <v>0</v>
      </c>
      <c r="Q494" s="64">
        <f t="shared" si="210"/>
        <v>0</v>
      </c>
      <c r="R494" s="64">
        <f t="shared" si="211"/>
        <v>0</v>
      </c>
      <c r="S494" s="64">
        <f t="shared" si="211"/>
        <v>0</v>
      </c>
      <c r="T494" s="64">
        <f t="shared" si="211"/>
        <v>0</v>
      </c>
      <c r="U494" s="64">
        <f t="shared" si="211"/>
        <v>0</v>
      </c>
      <c r="V494" s="64">
        <f t="shared" si="211"/>
        <v>0</v>
      </c>
      <c r="W494" s="64">
        <f t="shared" si="211"/>
        <v>0</v>
      </c>
      <c r="X494" s="64">
        <f t="shared" si="211"/>
        <v>0</v>
      </c>
      <c r="Y494" s="64">
        <f t="shared" si="211"/>
        <v>0</v>
      </c>
      <c r="Z494" s="64">
        <f t="shared" si="211"/>
        <v>0</v>
      </c>
      <c r="AA494" s="64">
        <f t="shared" si="211"/>
        <v>0</v>
      </c>
      <c r="AB494" s="64">
        <f t="shared" si="211"/>
        <v>0</v>
      </c>
      <c r="AC494" s="64">
        <f t="shared" si="211"/>
        <v>340095.28</v>
      </c>
      <c r="AD494" s="64">
        <f t="shared" si="211"/>
        <v>0</v>
      </c>
      <c r="AE494" s="64">
        <f t="shared" si="211"/>
        <v>0</v>
      </c>
      <c r="AF494" s="64">
        <f>SUM(H494:AE494)</f>
        <v>340095.28</v>
      </c>
      <c r="AG494" s="59" t="str">
        <f>IF(ABS(AF494-F494)&lt;1,"ok","err")</f>
        <v>ok</v>
      </c>
    </row>
    <row r="495" spans="1:33">
      <c r="A495" s="61">
        <v>903</v>
      </c>
      <c r="B495" s="61" t="s">
        <v>29</v>
      </c>
      <c r="C495" s="45" t="s">
        <v>77</v>
      </c>
      <c r="D495" s="45" t="s">
        <v>662</v>
      </c>
      <c r="F495" s="80">
        <v>3084679.3600000008</v>
      </c>
      <c r="H495" s="64">
        <f t="shared" si="210"/>
        <v>0</v>
      </c>
      <c r="I495" s="64">
        <f t="shared" si="210"/>
        <v>0</v>
      </c>
      <c r="J495" s="64">
        <f t="shared" si="210"/>
        <v>0</v>
      </c>
      <c r="K495" s="64">
        <f t="shared" si="210"/>
        <v>0</v>
      </c>
      <c r="L495" s="64">
        <f t="shared" si="210"/>
        <v>0</v>
      </c>
      <c r="M495" s="64">
        <f t="shared" si="210"/>
        <v>0</v>
      </c>
      <c r="N495" s="64">
        <f t="shared" si="210"/>
        <v>0</v>
      </c>
      <c r="O495" s="64">
        <f t="shared" si="210"/>
        <v>0</v>
      </c>
      <c r="P495" s="64">
        <f t="shared" si="210"/>
        <v>0</v>
      </c>
      <c r="Q495" s="64">
        <f t="shared" si="210"/>
        <v>0</v>
      </c>
      <c r="R495" s="64">
        <f t="shared" si="211"/>
        <v>0</v>
      </c>
      <c r="S495" s="64">
        <f t="shared" si="211"/>
        <v>0</v>
      </c>
      <c r="T495" s="64">
        <f t="shared" si="211"/>
        <v>0</v>
      </c>
      <c r="U495" s="64">
        <f t="shared" si="211"/>
        <v>0</v>
      </c>
      <c r="V495" s="64">
        <f t="shared" si="211"/>
        <v>0</v>
      </c>
      <c r="W495" s="64">
        <f t="shared" si="211"/>
        <v>0</v>
      </c>
      <c r="X495" s="64">
        <f t="shared" si="211"/>
        <v>0</v>
      </c>
      <c r="Y495" s="64">
        <f t="shared" si="211"/>
        <v>0</v>
      </c>
      <c r="Z495" s="64">
        <f t="shared" si="211"/>
        <v>0</v>
      </c>
      <c r="AA495" s="64">
        <f t="shared" si="211"/>
        <v>0</v>
      </c>
      <c r="AB495" s="64">
        <f t="shared" si="211"/>
        <v>0</v>
      </c>
      <c r="AC495" s="64">
        <f t="shared" si="211"/>
        <v>3084679.3600000008</v>
      </c>
      <c r="AD495" s="64">
        <f t="shared" si="211"/>
        <v>0</v>
      </c>
      <c r="AE495" s="64">
        <f t="shared" si="211"/>
        <v>0</v>
      </c>
      <c r="AF495" s="64">
        <f>SUM(H495:AE495)</f>
        <v>3084679.3600000008</v>
      </c>
      <c r="AG495" s="59" t="str">
        <f>IF(ABS(AF495-F495)&lt;1,"ok","err")</f>
        <v>ok</v>
      </c>
    </row>
    <row r="496" spans="1:33">
      <c r="A496" s="61">
        <v>904</v>
      </c>
      <c r="B496" s="61" t="s">
        <v>1041</v>
      </c>
      <c r="C496" s="45" t="s">
        <v>78</v>
      </c>
      <c r="D496" s="45" t="s">
        <v>662</v>
      </c>
      <c r="F496" s="80">
        <v>0</v>
      </c>
      <c r="H496" s="64">
        <f t="shared" si="210"/>
        <v>0</v>
      </c>
      <c r="I496" s="64">
        <f t="shared" si="210"/>
        <v>0</v>
      </c>
      <c r="J496" s="64">
        <f t="shared" si="210"/>
        <v>0</v>
      </c>
      <c r="K496" s="64">
        <f t="shared" si="210"/>
        <v>0</v>
      </c>
      <c r="L496" s="64">
        <f t="shared" si="210"/>
        <v>0</v>
      </c>
      <c r="M496" s="64">
        <f t="shared" si="210"/>
        <v>0</v>
      </c>
      <c r="N496" s="64">
        <f t="shared" si="210"/>
        <v>0</v>
      </c>
      <c r="O496" s="64">
        <f t="shared" si="210"/>
        <v>0</v>
      </c>
      <c r="P496" s="64">
        <f t="shared" si="210"/>
        <v>0</v>
      </c>
      <c r="Q496" s="64">
        <f t="shared" si="210"/>
        <v>0</v>
      </c>
      <c r="R496" s="64">
        <f t="shared" si="211"/>
        <v>0</v>
      </c>
      <c r="S496" s="64">
        <f t="shared" si="211"/>
        <v>0</v>
      </c>
      <c r="T496" s="64">
        <f t="shared" si="211"/>
        <v>0</v>
      </c>
      <c r="U496" s="64">
        <f t="shared" si="211"/>
        <v>0</v>
      </c>
      <c r="V496" s="64">
        <f t="shared" si="211"/>
        <v>0</v>
      </c>
      <c r="W496" s="64">
        <f t="shared" si="211"/>
        <v>0</v>
      </c>
      <c r="X496" s="64">
        <f t="shared" si="211"/>
        <v>0</v>
      </c>
      <c r="Y496" s="64">
        <f t="shared" si="211"/>
        <v>0</v>
      </c>
      <c r="Z496" s="64">
        <f t="shared" si="211"/>
        <v>0</v>
      </c>
      <c r="AA496" s="64">
        <f t="shared" si="211"/>
        <v>0</v>
      </c>
      <c r="AB496" s="64">
        <f t="shared" si="211"/>
        <v>0</v>
      </c>
      <c r="AC496" s="64">
        <f t="shared" si="211"/>
        <v>0</v>
      </c>
      <c r="AD496" s="64">
        <f t="shared" si="211"/>
        <v>0</v>
      </c>
      <c r="AE496" s="64">
        <f t="shared" si="211"/>
        <v>0</v>
      </c>
      <c r="AF496" s="64">
        <f>SUM(H496:AE496)</f>
        <v>0</v>
      </c>
      <c r="AG496" s="59" t="str">
        <f>IF(ABS(AF496-F496)&lt;1,"ok","err")</f>
        <v>ok</v>
      </c>
    </row>
    <row r="497" spans="1:33">
      <c r="A497" s="61">
        <v>905</v>
      </c>
      <c r="B497" s="61" t="s">
        <v>30</v>
      </c>
      <c r="C497" s="45" t="s">
        <v>77</v>
      </c>
      <c r="D497" s="45" t="s">
        <v>662</v>
      </c>
      <c r="F497" s="80">
        <v>0</v>
      </c>
      <c r="H497" s="64">
        <f t="shared" si="210"/>
        <v>0</v>
      </c>
      <c r="I497" s="64">
        <f t="shared" si="210"/>
        <v>0</v>
      </c>
      <c r="J497" s="64">
        <f t="shared" si="210"/>
        <v>0</v>
      </c>
      <c r="K497" s="64">
        <f t="shared" si="210"/>
        <v>0</v>
      </c>
      <c r="L497" s="64">
        <f t="shared" si="210"/>
        <v>0</v>
      </c>
      <c r="M497" s="64">
        <f t="shared" si="210"/>
        <v>0</v>
      </c>
      <c r="N497" s="64">
        <f t="shared" si="210"/>
        <v>0</v>
      </c>
      <c r="O497" s="64">
        <f t="shared" si="210"/>
        <v>0</v>
      </c>
      <c r="P497" s="64">
        <f t="shared" si="210"/>
        <v>0</v>
      </c>
      <c r="Q497" s="64">
        <f t="shared" si="210"/>
        <v>0</v>
      </c>
      <c r="R497" s="64">
        <f t="shared" si="211"/>
        <v>0</v>
      </c>
      <c r="S497" s="64">
        <f t="shared" si="211"/>
        <v>0</v>
      </c>
      <c r="T497" s="64">
        <f t="shared" si="211"/>
        <v>0</v>
      </c>
      <c r="U497" s="64">
        <f t="shared" si="211"/>
        <v>0</v>
      </c>
      <c r="V497" s="64">
        <f t="shared" si="211"/>
        <v>0</v>
      </c>
      <c r="W497" s="64">
        <f t="shared" si="211"/>
        <v>0</v>
      </c>
      <c r="X497" s="64">
        <f t="shared" si="211"/>
        <v>0</v>
      </c>
      <c r="Y497" s="64">
        <f t="shared" si="211"/>
        <v>0</v>
      </c>
      <c r="Z497" s="64">
        <f t="shared" si="211"/>
        <v>0</v>
      </c>
      <c r="AA497" s="64">
        <f t="shared" si="211"/>
        <v>0</v>
      </c>
      <c r="AB497" s="64">
        <f t="shared" si="211"/>
        <v>0</v>
      </c>
      <c r="AC497" s="64">
        <f t="shared" si="211"/>
        <v>0</v>
      </c>
      <c r="AD497" s="64">
        <f t="shared" si="211"/>
        <v>0</v>
      </c>
      <c r="AE497" s="64">
        <f t="shared" si="211"/>
        <v>0</v>
      </c>
      <c r="AF497" s="64">
        <f>SUM(H497:AE497)</f>
        <v>0</v>
      </c>
      <c r="AG497" s="59" t="str">
        <f>IF(ABS(AF497-F497)&lt;1,"ok","err")</f>
        <v>ok</v>
      </c>
    </row>
    <row r="498" spans="1:33" ht="15">
      <c r="A498" s="66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59"/>
    </row>
    <row r="499" spans="1:33">
      <c r="A499" s="61" t="s">
        <v>112</v>
      </c>
      <c r="B499" s="61"/>
      <c r="C499" s="45" t="s">
        <v>79</v>
      </c>
      <c r="F499" s="77">
        <f>SUM(F493:F498)</f>
        <v>4294006.040000001</v>
      </c>
      <c r="G499" s="63">
        <f>SUM(G493:G498)</f>
        <v>0</v>
      </c>
      <c r="H499" s="63">
        <f t="shared" ref="H499:M499" si="212">SUM(H493:H498)</f>
        <v>0</v>
      </c>
      <c r="I499" s="63">
        <f t="shared" si="212"/>
        <v>0</v>
      </c>
      <c r="J499" s="63">
        <f t="shared" si="212"/>
        <v>0</v>
      </c>
      <c r="K499" s="63">
        <f t="shared" si="212"/>
        <v>0</v>
      </c>
      <c r="L499" s="63">
        <f t="shared" si="212"/>
        <v>0</v>
      </c>
      <c r="M499" s="63">
        <f t="shared" si="212"/>
        <v>0</v>
      </c>
      <c r="N499" s="63">
        <f>SUM(N493:N498)</f>
        <v>0</v>
      </c>
      <c r="O499" s="63">
        <f>SUM(O493:O498)</f>
        <v>0</v>
      </c>
      <c r="P499" s="63">
        <f>SUM(P493:P498)</f>
        <v>0</v>
      </c>
      <c r="Q499" s="63">
        <f t="shared" ref="Q499:AB499" si="213">SUM(Q493:Q498)</f>
        <v>0</v>
      </c>
      <c r="R499" s="63">
        <f t="shared" si="213"/>
        <v>0</v>
      </c>
      <c r="S499" s="63">
        <f t="shared" si="213"/>
        <v>0</v>
      </c>
      <c r="T499" s="63">
        <f t="shared" si="213"/>
        <v>0</v>
      </c>
      <c r="U499" s="63">
        <f t="shared" si="213"/>
        <v>0</v>
      </c>
      <c r="V499" s="63">
        <f t="shared" si="213"/>
        <v>0</v>
      </c>
      <c r="W499" s="63">
        <f t="shared" si="213"/>
        <v>0</v>
      </c>
      <c r="X499" s="63">
        <f t="shared" si="213"/>
        <v>0</v>
      </c>
      <c r="Y499" s="63">
        <f t="shared" si="213"/>
        <v>0</v>
      </c>
      <c r="Z499" s="63">
        <f t="shared" si="213"/>
        <v>0</v>
      </c>
      <c r="AA499" s="63">
        <f t="shared" si="213"/>
        <v>0</v>
      </c>
      <c r="AB499" s="63">
        <f t="shared" si="213"/>
        <v>0</v>
      </c>
      <c r="AC499" s="63">
        <f>SUM(AC493:AC498)</f>
        <v>4294006.040000001</v>
      </c>
      <c r="AD499" s="63">
        <f>SUM(AD493:AD498)</f>
        <v>0</v>
      </c>
      <c r="AE499" s="63">
        <f>SUM(AE493:AE498)</f>
        <v>0</v>
      </c>
      <c r="AF499" s="64">
        <f>SUM(H499:AE499)</f>
        <v>4294006.040000001</v>
      </c>
      <c r="AG499" s="59" t="str">
        <f>IF(ABS(AF499-F499)&lt;1,"ok","err")</f>
        <v>ok</v>
      </c>
    </row>
    <row r="500" spans="1:33">
      <c r="A500" s="61"/>
      <c r="B500" s="61"/>
      <c r="F500" s="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G500" s="59"/>
    </row>
    <row r="501" spans="1:33" ht="15">
      <c r="A501" s="66" t="s">
        <v>1045</v>
      </c>
      <c r="B501" s="61"/>
      <c r="F501" s="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G501" s="59"/>
    </row>
    <row r="502" spans="1:33">
      <c r="A502" s="61">
        <v>907</v>
      </c>
      <c r="B502" s="61" t="s">
        <v>1166</v>
      </c>
      <c r="C502" s="45" t="s">
        <v>80</v>
      </c>
      <c r="D502" s="45" t="s">
        <v>663</v>
      </c>
      <c r="F502" s="77">
        <v>262520.7</v>
      </c>
      <c r="H502" s="64">
        <f t="shared" ref="H502:Q512" si="214">IF(VLOOKUP($D502,$C$6:$AE$653,H$2,)=0,0,((VLOOKUP($D502,$C$6:$AE$653,H$2,)/VLOOKUP($D502,$C$6:$AE$653,4,))*$F502))</f>
        <v>0</v>
      </c>
      <c r="I502" s="64">
        <f t="shared" si="214"/>
        <v>0</v>
      </c>
      <c r="J502" s="64">
        <f t="shared" si="214"/>
        <v>0</v>
      </c>
      <c r="K502" s="64">
        <f t="shared" si="214"/>
        <v>0</v>
      </c>
      <c r="L502" s="64">
        <f t="shared" si="214"/>
        <v>0</v>
      </c>
      <c r="M502" s="64">
        <f t="shared" si="214"/>
        <v>0</v>
      </c>
      <c r="N502" s="64">
        <f t="shared" si="214"/>
        <v>0</v>
      </c>
      <c r="O502" s="64">
        <f t="shared" si="214"/>
        <v>0</v>
      </c>
      <c r="P502" s="64">
        <f t="shared" si="214"/>
        <v>0</v>
      </c>
      <c r="Q502" s="64">
        <f t="shared" si="214"/>
        <v>0</v>
      </c>
      <c r="R502" s="64">
        <f t="shared" ref="R502:AE512" si="215">IF(VLOOKUP($D502,$C$6:$AE$653,R$2,)=0,0,((VLOOKUP($D502,$C$6:$AE$653,R$2,)/VLOOKUP($D502,$C$6:$AE$653,4,))*$F502))</f>
        <v>0</v>
      </c>
      <c r="S502" s="64">
        <f t="shared" si="215"/>
        <v>0</v>
      </c>
      <c r="T502" s="64">
        <f t="shared" si="215"/>
        <v>0</v>
      </c>
      <c r="U502" s="64">
        <f t="shared" si="215"/>
        <v>0</v>
      </c>
      <c r="V502" s="64">
        <f t="shared" si="215"/>
        <v>0</v>
      </c>
      <c r="W502" s="64">
        <f t="shared" si="215"/>
        <v>0</v>
      </c>
      <c r="X502" s="64">
        <f t="shared" si="215"/>
        <v>0</v>
      </c>
      <c r="Y502" s="64">
        <f t="shared" si="215"/>
        <v>0</v>
      </c>
      <c r="Z502" s="64">
        <f t="shared" si="215"/>
        <v>0</v>
      </c>
      <c r="AA502" s="64">
        <f t="shared" si="215"/>
        <v>0</v>
      </c>
      <c r="AB502" s="64">
        <f t="shared" si="215"/>
        <v>0</v>
      </c>
      <c r="AC502" s="64">
        <f t="shared" si="215"/>
        <v>0</v>
      </c>
      <c r="AD502" s="64">
        <f t="shared" si="215"/>
        <v>262520.7</v>
      </c>
      <c r="AE502" s="64">
        <f t="shared" si="215"/>
        <v>0</v>
      </c>
      <c r="AF502" s="64">
        <f t="shared" ref="AF502:AF512" si="216">SUM(H502:AE502)</f>
        <v>262520.7</v>
      </c>
      <c r="AG502" s="59" t="str">
        <f t="shared" ref="AG502:AG512" si="217">IF(ABS(AF502-F502)&lt;1,"ok","err")</f>
        <v>ok</v>
      </c>
    </row>
    <row r="503" spans="1:33">
      <c r="A503" s="61">
        <v>908</v>
      </c>
      <c r="B503" s="61" t="s">
        <v>1048</v>
      </c>
      <c r="C503" s="45" t="s">
        <v>81</v>
      </c>
      <c r="D503" s="45" t="s">
        <v>663</v>
      </c>
      <c r="F503" s="80">
        <v>916351.68</v>
      </c>
      <c r="H503" s="64">
        <f t="shared" si="214"/>
        <v>0</v>
      </c>
      <c r="I503" s="64">
        <f t="shared" si="214"/>
        <v>0</v>
      </c>
      <c r="J503" s="64">
        <f t="shared" si="214"/>
        <v>0</v>
      </c>
      <c r="K503" s="64">
        <f t="shared" si="214"/>
        <v>0</v>
      </c>
      <c r="L503" s="64">
        <f t="shared" si="214"/>
        <v>0</v>
      </c>
      <c r="M503" s="64">
        <f t="shared" si="214"/>
        <v>0</v>
      </c>
      <c r="N503" s="64">
        <f t="shared" si="214"/>
        <v>0</v>
      </c>
      <c r="O503" s="64">
        <f t="shared" si="214"/>
        <v>0</v>
      </c>
      <c r="P503" s="64">
        <f t="shared" si="214"/>
        <v>0</v>
      </c>
      <c r="Q503" s="64">
        <f t="shared" si="214"/>
        <v>0</v>
      </c>
      <c r="R503" s="64">
        <f t="shared" si="215"/>
        <v>0</v>
      </c>
      <c r="S503" s="64">
        <f t="shared" si="215"/>
        <v>0</v>
      </c>
      <c r="T503" s="64">
        <f t="shared" si="215"/>
        <v>0</v>
      </c>
      <c r="U503" s="64">
        <f t="shared" si="215"/>
        <v>0</v>
      </c>
      <c r="V503" s="64">
        <f t="shared" si="215"/>
        <v>0</v>
      </c>
      <c r="W503" s="64">
        <f t="shared" si="215"/>
        <v>0</v>
      </c>
      <c r="X503" s="64">
        <f t="shared" si="215"/>
        <v>0</v>
      </c>
      <c r="Y503" s="64">
        <f t="shared" si="215"/>
        <v>0</v>
      </c>
      <c r="Z503" s="64">
        <f t="shared" si="215"/>
        <v>0</v>
      </c>
      <c r="AA503" s="64">
        <f t="shared" si="215"/>
        <v>0</v>
      </c>
      <c r="AB503" s="64">
        <f t="shared" si="215"/>
        <v>0</v>
      </c>
      <c r="AC503" s="64">
        <f t="shared" si="215"/>
        <v>0</v>
      </c>
      <c r="AD503" s="64">
        <f t="shared" si="215"/>
        <v>916351.68</v>
      </c>
      <c r="AE503" s="64">
        <f t="shared" si="215"/>
        <v>0</v>
      </c>
      <c r="AF503" s="64">
        <f t="shared" si="216"/>
        <v>916351.68</v>
      </c>
      <c r="AG503" s="59" t="str">
        <f t="shared" si="217"/>
        <v>ok</v>
      </c>
    </row>
    <row r="504" spans="1:33">
      <c r="A504" s="61">
        <v>908</v>
      </c>
      <c r="B504" s="61" t="s">
        <v>31</v>
      </c>
      <c r="C504" s="45" t="s">
        <v>82</v>
      </c>
      <c r="D504" s="45" t="s">
        <v>663</v>
      </c>
      <c r="F504" s="80"/>
      <c r="H504" s="64">
        <f t="shared" si="214"/>
        <v>0</v>
      </c>
      <c r="I504" s="64">
        <f t="shared" si="214"/>
        <v>0</v>
      </c>
      <c r="J504" s="64">
        <f t="shared" si="214"/>
        <v>0</v>
      </c>
      <c r="K504" s="64">
        <f t="shared" si="214"/>
        <v>0</v>
      </c>
      <c r="L504" s="64">
        <f t="shared" si="214"/>
        <v>0</v>
      </c>
      <c r="M504" s="64">
        <f t="shared" si="214"/>
        <v>0</v>
      </c>
      <c r="N504" s="64">
        <f t="shared" si="214"/>
        <v>0</v>
      </c>
      <c r="O504" s="64">
        <f t="shared" si="214"/>
        <v>0</v>
      </c>
      <c r="P504" s="64">
        <f t="shared" si="214"/>
        <v>0</v>
      </c>
      <c r="Q504" s="64">
        <f t="shared" si="214"/>
        <v>0</v>
      </c>
      <c r="R504" s="64">
        <f t="shared" si="215"/>
        <v>0</v>
      </c>
      <c r="S504" s="64">
        <f t="shared" si="215"/>
        <v>0</v>
      </c>
      <c r="T504" s="64">
        <f t="shared" si="215"/>
        <v>0</v>
      </c>
      <c r="U504" s="64">
        <f t="shared" si="215"/>
        <v>0</v>
      </c>
      <c r="V504" s="64">
        <f t="shared" si="215"/>
        <v>0</v>
      </c>
      <c r="W504" s="64">
        <f t="shared" si="215"/>
        <v>0</v>
      </c>
      <c r="X504" s="64">
        <f t="shared" si="215"/>
        <v>0</v>
      </c>
      <c r="Y504" s="64">
        <f t="shared" si="215"/>
        <v>0</v>
      </c>
      <c r="Z504" s="64">
        <f t="shared" si="215"/>
        <v>0</v>
      </c>
      <c r="AA504" s="64">
        <f t="shared" si="215"/>
        <v>0</v>
      </c>
      <c r="AB504" s="64">
        <f t="shared" si="215"/>
        <v>0</v>
      </c>
      <c r="AC504" s="64">
        <f t="shared" si="215"/>
        <v>0</v>
      </c>
      <c r="AD504" s="64">
        <f t="shared" si="215"/>
        <v>0</v>
      </c>
      <c r="AE504" s="64">
        <f t="shared" si="215"/>
        <v>0</v>
      </c>
      <c r="AF504" s="64">
        <f t="shared" si="216"/>
        <v>0</v>
      </c>
      <c r="AG504" s="59" t="str">
        <f t="shared" si="217"/>
        <v>ok</v>
      </c>
    </row>
    <row r="505" spans="1:33">
      <c r="A505" s="61">
        <v>909</v>
      </c>
      <c r="B505" s="61" t="s">
        <v>1050</v>
      </c>
      <c r="C505" s="45" t="s">
        <v>83</v>
      </c>
      <c r="D505" s="45" t="s">
        <v>663</v>
      </c>
      <c r="F505" s="80"/>
      <c r="H505" s="64">
        <f t="shared" si="214"/>
        <v>0</v>
      </c>
      <c r="I505" s="64">
        <f t="shared" si="214"/>
        <v>0</v>
      </c>
      <c r="J505" s="64">
        <f t="shared" si="214"/>
        <v>0</v>
      </c>
      <c r="K505" s="64">
        <f t="shared" si="214"/>
        <v>0</v>
      </c>
      <c r="L505" s="64">
        <f t="shared" si="214"/>
        <v>0</v>
      </c>
      <c r="M505" s="64">
        <f t="shared" si="214"/>
        <v>0</v>
      </c>
      <c r="N505" s="64">
        <f t="shared" si="214"/>
        <v>0</v>
      </c>
      <c r="O505" s="64">
        <f t="shared" si="214"/>
        <v>0</v>
      </c>
      <c r="P505" s="64">
        <f t="shared" si="214"/>
        <v>0</v>
      </c>
      <c r="Q505" s="64">
        <f t="shared" si="214"/>
        <v>0</v>
      </c>
      <c r="R505" s="64">
        <f t="shared" si="215"/>
        <v>0</v>
      </c>
      <c r="S505" s="64">
        <f t="shared" si="215"/>
        <v>0</v>
      </c>
      <c r="T505" s="64">
        <f t="shared" si="215"/>
        <v>0</v>
      </c>
      <c r="U505" s="64">
        <f t="shared" si="215"/>
        <v>0</v>
      </c>
      <c r="V505" s="64">
        <f t="shared" si="215"/>
        <v>0</v>
      </c>
      <c r="W505" s="64">
        <f t="shared" si="215"/>
        <v>0</v>
      </c>
      <c r="X505" s="64">
        <f t="shared" si="215"/>
        <v>0</v>
      </c>
      <c r="Y505" s="64">
        <f t="shared" si="215"/>
        <v>0</v>
      </c>
      <c r="Z505" s="64">
        <f t="shared" si="215"/>
        <v>0</v>
      </c>
      <c r="AA505" s="64">
        <f t="shared" si="215"/>
        <v>0</v>
      </c>
      <c r="AB505" s="64">
        <f t="shared" si="215"/>
        <v>0</v>
      </c>
      <c r="AC505" s="64">
        <f t="shared" si="215"/>
        <v>0</v>
      </c>
      <c r="AD505" s="64">
        <f t="shared" si="215"/>
        <v>0</v>
      </c>
      <c r="AE505" s="64">
        <f t="shared" si="215"/>
        <v>0</v>
      </c>
      <c r="AF505" s="64">
        <f t="shared" si="216"/>
        <v>0</v>
      </c>
      <c r="AG505" s="59" t="str">
        <f t="shared" si="217"/>
        <v>ok</v>
      </c>
    </row>
    <row r="506" spans="1:33">
      <c r="A506" s="61">
        <v>909</v>
      </c>
      <c r="B506" s="61" t="s">
        <v>33</v>
      </c>
      <c r="C506" s="45" t="s">
        <v>84</v>
      </c>
      <c r="D506" s="45" t="s">
        <v>663</v>
      </c>
      <c r="F506" s="80"/>
      <c r="H506" s="64">
        <f t="shared" si="214"/>
        <v>0</v>
      </c>
      <c r="I506" s="64">
        <f t="shared" si="214"/>
        <v>0</v>
      </c>
      <c r="J506" s="64">
        <f t="shared" si="214"/>
        <v>0</v>
      </c>
      <c r="K506" s="64">
        <f t="shared" si="214"/>
        <v>0</v>
      </c>
      <c r="L506" s="64">
        <f t="shared" si="214"/>
        <v>0</v>
      </c>
      <c r="M506" s="64">
        <f t="shared" si="214"/>
        <v>0</v>
      </c>
      <c r="N506" s="64">
        <f t="shared" si="214"/>
        <v>0</v>
      </c>
      <c r="O506" s="64">
        <f t="shared" si="214"/>
        <v>0</v>
      </c>
      <c r="P506" s="64">
        <f t="shared" si="214"/>
        <v>0</v>
      </c>
      <c r="Q506" s="64">
        <f t="shared" si="214"/>
        <v>0</v>
      </c>
      <c r="R506" s="64">
        <f t="shared" si="215"/>
        <v>0</v>
      </c>
      <c r="S506" s="64">
        <f t="shared" si="215"/>
        <v>0</v>
      </c>
      <c r="T506" s="64">
        <f t="shared" si="215"/>
        <v>0</v>
      </c>
      <c r="U506" s="64">
        <f t="shared" si="215"/>
        <v>0</v>
      </c>
      <c r="V506" s="64">
        <f t="shared" si="215"/>
        <v>0</v>
      </c>
      <c r="W506" s="64">
        <f t="shared" si="215"/>
        <v>0</v>
      </c>
      <c r="X506" s="64">
        <f t="shared" si="215"/>
        <v>0</v>
      </c>
      <c r="Y506" s="64">
        <f t="shared" si="215"/>
        <v>0</v>
      </c>
      <c r="Z506" s="64">
        <f t="shared" si="215"/>
        <v>0</v>
      </c>
      <c r="AA506" s="64">
        <f t="shared" si="215"/>
        <v>0</v>
      </c>
      <c r="AB506" s="64">
        <f t="shared" si="215"/>
        <v>0</v>
      </c>
      <c r="AC506" s="64">
        <f t="shared" si="215"/>
        <v>0</v>
      </c>
      <c r="AD506" s="64">
        <f t="shared" si="215"/>
        <v>0</v>
      </c>
      <c r="AE506" s="64">
        <f t="shared" si="215"/>
        <v>0</v>
      </c>
      <c r="AF506" s="64">
        <f t="shared" si="216"/>
        <v>0</v>
      </c>
      <c r="AG506" s="59" t="str">
        <f t="shared" si="217"/>
        <v>ok</v>
      </c>
    </row>
    <row r="507" spans="1:33">
      <c r="A507" s="61">
        <v>910</v>
      </c>
      <c r="B507" s="61" t="s">
        <v>1052</v>
      </c>
      <c r="C507" s="45" t="s">
        <v>85</v>
      </c>
      <c r="D507" s="45" t="s">
        <v>663</v>
      </c>
      <c r="F507" s="80"/>
      <c r="H507" s="64">
        <f t="shared" si="214"/>
        <v>0</v>
      </c>
      <c r="I507" s="64">
        <f t="shared" si="214"/>
        <v>0</v>
      </c>
      <c r="J507" s="64">
        <f t="shared" si="214"/>
        <v>0</v>
      </c>
      <c r="K507" s="64">
        <f t="shared" si="214"/>
        <v>0</v>
      </c>
      <c r="L507" s="64">
        <f t="shared" si="214"/>
        <v>0</v>
      </c>
      <c r="M507" s="64">
        <f t="shared" si="214"/>
        <v>0</v>
      </c>
      <c r="N507" s="64">
        <f t="shared" si="214"/>
        <v>0</v>
      </c>
      <c r="O507" s="64">
        <f t="shared" si="214"/>
        <v>0</v>
      </c>
      <c r="P507" s="64">
        <f t="shared" si="214"/>
        <v>0</v>
      </c>
      <c r="Q507" s="64">
        <f t="shared" si="214"/>
        <v>0</v>
      </c>
      <c r="R507" s="64">
        <f t="shared" si="215"/>
        <v>0</v>
      </c>
      <c r="S507" s="64">
        <f t="shared" si="215"/>
        <v>0</v>
      </c>
      <c r="T507" s="64">
        <f t="shared" si="215"/>
        <v>0</v>
      </c>
      <c r="U507" s="64">
        <f t="shared" si="215"/>
        <v>0</v>
      </c>
      <c r="V507" s="64">
        <f t="shared" si="215"/>
        <v>0</v>
      </c>
      <c r="W507" s="64">
        <f t="shared" si="215"/>
        <v>0</v>
      </c>
      <c r="X507" s="64">
        <f t="shared" si="215"/>
        <v>0</v>
      </c>
      <c r="Y507" s="64">
        <f t="shared" si="215"/>
        <v>0</v>
      </c>
      <c r="Z507" s="64">
        <f t="shared" si="215"/>
        <v>0</v>
      </c>
      <c r="AA507" s="64">
        <f t="shared" si="215"/>
        <v>0</v>
      </c>
      <c r="AB507" s="64">
        <f t="shared" si="215"/>
        <v>0</v>
      </c>
      <c r="AC507" s="64">
        <f t="shared" si="215"/>
        <v>0</v>
      </c>
      <c r="AD507" s="64">
        <f t="shared" si="215"/>
        <v>0</v>
      </c>
      <c r="AE507" s="64">
        <f t="shared" si="215"/>
        <v>0</v>
      </c>
      <c r="AF507" s="64">
        <f t="shared" si="216"/>
        <v>0</v>
      </c>
      <c r="AG507" s="59" t="str">
        <f t="shared" si="217"/>
        <v>ok</v>
      </c>
    </row>
    <row r="508" spans="1:33">
      <c r="A508" s="61">
        <v>911</v>
      </c>
      <c r="B508" s="61" t="s">
        <v>149</v>
      </c>
      <c r="C508" s="45" t="s">
        <v>172</v>
      </c>
      <c r="D508" s="45" t="s">
        <v>663</v>
      </c>
      <c r="F508" s="80"/>
      <c r="H508" s="64">
        <f t="shared" si="214"/>
        <v>0</v>
      </c>
      <c r="I508" s="64">
        <f t="shared" si="214"/>
        <v>0</v>
      </c>
      <c r="J508" s="64">
        <f t="shared" si="214"/>
        <v>0</v>
      </c>
      <c r="K508" s="64">
        <f t="shared" si="214"/>
        <v>0</v>
      </c>
      <c r="L508" s="64">
        <f t="shared" si="214"/>
        <v>0</v>
      </c>
      <c r="M508" s="64">
        <f t="shared" si="214"/>
        <v>0</v>
      </c>
      <c r="N508" s="64">
        <f t="shared" si="214"/>
        <v>0</v>
      </c>
      <c r="O508" s="64">
        <f t="shared" si="214"/>
        <v>0</v>
      </c>
      <c r="P508" s="64">
        <f t="shared" si="214"/>
        <v>0</v>
      </c>
      <c r="Q508" s="64">
        <f t="shared" si="214"/>
        <v>0</v>
      </c>
      <c r="R508" s="64">
        <f t="shared" si="215"/>
        <v>0</v>
      </c>
      <c r="S508" s="64">
        <f t="shared" si="215"/>
        <v>0</v>
      </c>
      <c r="T508" s="64">
        <f t="shared" si="215"/>
        <v>0</v>
      </c>
      <c r="U508" s="64">
        <f t="shared" si="215"/>
        <v>0</v>
      </c>
      <c r="V508" s="64">
        <f t="shared" si="215"/>
        <v>0</v>
      </c>
      <c r="W508" s="64">
        <f t="shared" si="215"/>
        <v>0</v>
      </c>
      <c r="X508" s="64">
        <f t="shared" si="215"/>
        <v>0</v>
      </c>
      <c r="Y508" s="64">
        <f t="shared" si="215"/>
        <v>0</v>
      </c>
      <c r="Z508" s="64">
        <f t="shared" si="215"/>
        <v>0</v>
      </c>
      <c r="AA508" s="64">
        <f t="shared" si="215"/>
        <v>0</v>
      </c>
      <c r="AB508" s="64">
        <f t="shared" si="215"/>
        <v>0</v>
      </c>
      <c r="AC508" s="64">
        <f t="shared" si="215"/>
        <v>0</v>
      </c>
      <c r="AD508" s="64">
        <f t="shared" si="215"/>
        <v>0</v>
      </c>
      <c r="AE508" s="64">
        <f t="shared" si="215"/>
        <v>0</v>
      </c>
      <c r="AF508" s="64">
        <f t="shared" si="216"/>
        <v>0</v>
      </c>
      <c r="AG508" s="59" t="str">
        <f t="shared" si="217"/>
        <v>ok</v>
      </c>
    </row>
    <row r="509" spans="1:33">
      <c r="A509" s="61">
        <v>912</v>
      </c>
      <c r="B509" s="61" t="s">
        <v>149</v>
      </c>
      <c r="C509" s="45" t="s">
        <v>152</v>
      </c>
      <c r="D509" s="45" t="s">
        <v>663</v>
      </c>
      <c r="F509" s="80"/>
      <c r="H509" s="64">
        <f t="shared" si="214"/>
        <v>0</v>
      </c>
      <c r="I509" s="64">
        <f t="shared" si="214"/>
        <v>0</v>
      </c>
      <c r="J509" s="64">
        <f t="shared" si="214"/>
        <v>0</v>
      </c>
      <c r="K509" s="64">
        <f t="shared" si="214"/>
        <v>0</v>
      </c>
      <c r="L509" s="64">
        <f t="shared" si="214"/>
        <v>0</v>
      </c>
      <c r="M509" s="64">
        <f t="shared" si="214"/>
        <v>0</v>
      </c>
      <c r="N509" s="64">
        <f t="shared" si="214"/>
        <v>0</v>
      </c>
      <c r="O509" s="64">
        <f t="shared" si="214"/>
        <v>0</v>
      </c>
      <c r="P509" s="64">
        <f t="shared" si="214"/>
        <v>0</v>
      </c>
      <c r="Q509" s="64">
        <f t="shared" si="214"/>
        <v>0</v>
      </c>
      <c r="R509" s="64">
        <f t="shared" si="215"/>
        <v>0</v>
      </c>
      <c r="S509" s="64">
        <f t="shared" si="215"/>
        <v>0</v>
      </c>
      <c r="T509" s="64">
        <f t="shared" si="215"/>
        <v>0</v>
      </c>
      <c r="U509" s="64">
        <f t="shared" si="215"/>
        <v>0</v>
      </c>
      <c r="V509" s="64">
        <f t="shared" si="215"/>
        <v>0</v>
      </c>
      <c r="W509" s="64">
        <f t="shared" si="215"/>
        <v>0</v>
      </c>
      <c r="X509" s="64">
        <f t="shared" si="215"/>
        <v>0</v>
      </c>
      <c r="Y509" s="64">
        <f t="shared" si="215"/>
        <v>0</v>
      </c>
      <c r="Z509" s="64">
        <f t="shared" si="215"/>
        <v>0</v>
      </c>
      <c r="AA509" s="64">
        <f t="shared" si="215"/>
        <v>0</v>
      </c>
      <c r="AB509" s="64">
        <f t="shared" si="215"/>
        <v>0</v>
      </c>
      <c r="AC509" s="64">
        <f t="shared" si="215"/>
        <v>0</v>
      </c>
      <c r="AD509" s="64">
        <f t="shared" si="215"/>
        <v>0</v>
      </c>
      <c r="AE509" s="64">
        <f t="shared" si="215"/>
        <v>0</v>
      </c>
      <c r="AF509" s="64">
        <f t="shared" si="216"/>
        <v>0</v>
      </c>
      <c r="AG509" s="59" t="str">
        <f t="shared" si="217"/>
        <v>ok</v>
      </c>
    </row>
    <row r="510" spans="1:33">
      <c r="A510" s="61">
        <v>913</v>
      </c>
      <c r="B510" s="61" t="s">
        <v>138</v>
      </c>
      <c r="C510" s="45" t="s">
        <v>153</v>
      </c>
      <c r="D510" s="45" t="s">
        <v>663</v>
      </c>
      <c r="F510" s="80"/>
      <c r="H510" s="64">
        <f t="shared" si="214"/>
        <v>0</v>
      </c>
      <c r="I510" s="64">
        <f t="shared" si="214"/>
        <v>0</v>
      </c>
      <c r="J510" s="64">
        <f t="shared" si="214"/>
        <v>0</v>
      </c>
      <c r="K510" s="64">
        <f t="shared" si="214"/>
        <v>0</v>
      </c>
      <c r="L510" s="64">
        <f t="shared" si="214"/>
        <v>0</v>
      </c>
      <c r="M510" s="64">
        <f t="shared" si="214"/>
        <v>0</v>
      </c>
      <c r="N510" s="64">
        <f t="shared" si="214"/>
        <v>0</v>
      </c>
      <c r="O510" s="64">
        <f t="shared" si="214"/>
        <v>0</v>
      </c>
      <c r="P510" s="64">
        <f t="shared" si="214"/>
        <v>0</v>
      </c>
      <c r="Q510" s="64">
        <f t="shared" si="214"/>
        <v>0</v>
      </c>
      <c r="R510" s="64">
        <f t="shared" si="215"/>
        <v>0</v>
      </c>
      <c r="S510" s="64">
        <f t="shared" si="215"/>
        <v>0</v>
      </c>
      <c r="T510" s="64">
        <f t="shared" si="215"/>
        <v>0</v>
      </c>
      <c r="U510" s="64">
        <f t="shared" si="215"/>
        <v>0</v>
      </c>
      <c r="V510" s="64">
        <f t="shared" si="215"/>
        <v>0</v>
      </c>
      <c r="W510" s="64">
        <f t="shared" si="215"/>
        <v>0</v>
      </c>
      <c r="X510" s="64">
        <f t="shared" si="215"/>
        <v>0</v>
      </c>
      <c r="Y510" s="64">
        <f t="shared" si="215"/>
        <v>0</v>
      </c>
      <c r="Z510" s="64">
        <f t="shared" si="215"/>
        <v>0</v>
      </c>
      <c r="AA510" s="64">
        <f t="shared" si="215"/>
        <v>0</v>
      </c>
      <c r="AB510" s="64">
        <f t="shared" si="215"/>
        <v>0</v>
      </c>
      <c r="AC510" s="64">
        <f t="shared" si="215"/>
        <v>0</v>
      </c>
      <c r="AD510" s="64">
        <f t="shared" si="215"/>
        <v>0</v>
      </c>
      <c r="AE510" s="64">
        <f t="shared" si="215"/>
        <v>0</v>
      </c>
      <c r="AF510" s="64">
        <f t="shared" si="216"/>
        <v>0</v>
      </c>
      <c r="AG510" s="59" t="str">
        <f t="shared" si="217"/>
        <v>ok</v>
      </c>
    </row>
    <row r="511" spans="1:33">
      <c r="A511" s="61">
        <v>915</v>
      </c>
      <c r="B511" s="61" t="s">
        <v>160</v>
      </c>
      <c r="C511" s="45" t="s">
        <v>164</v>
      </c>
      <c r="D511" s="45" t="s">
        <v>663</v>
      </c>
      <c r="F511" s="80"/>
      <c r="H511" s="64">
        <f t="shared" si="214"/>
        <v>0</v>
      </c>
      <c r="I511" s="64">
        <f t="shared" si="214"/>
        <v>0</v>
      </c>
      <c r="J511" s="64">
        <f t="shared" si="214"/>
        <v>0</v>
      </c>
      <c r="K511" s="64">
        <f t="shared" si="214"/>
        <v>0</v>
      </c>
      <c r="L511" s="64">
        <f t="shared" si="214"/>
        <v>0</v>
      </c>
      <c r="M511" s="64">
        <f t="shared" si="214"/>
        <v>0</v>
      </c>
      <c r="N511" s="64">
        <f t="shared" si="214"/>
        <v>0</v>
      </c>
      <c r="O511" s="64">
        <f t="shared" si="214"/>
        <v>0</v>
      </c>
      <c r="P511" s="64">
        <f t="shared" si="214"/>
        <v>0</v>
      </c>
      <c r="Q511" s="64">
        <f t="shared" si="214"/>
        <v>0</v>
      </c>
      <c r="R511" s="64">
        <f t="shared" si="215"/>
        <v>0</v>
      </c>
      <c r="S511" s="64">
        <f t="shared" si="215"/>
        <v>0</v>
      </c>
      <c r="T511" s="64">
        <f t="shared" si="215"/>
        <v>0</v>
      </c>
      <c r="U511" s="64">
        <f t="shared" si="215"/>
        <v>0</v>
      </c>
      <c r="V511" s="64">
        <f t="shared" si="215"/>
        <v>0</v>
      </c>
      <c r="W511" s="64">
        <f t="shared" si="215"/>
        <v>0</v>
      </c>
      <c r="X511" s="64">
        <f t="shared" si="215"/>
        <v>0</v>
      </c>
      <c r="Y511" s="64">
        <f t="shared" si="215"/>
        <v>0</v>
      </c>
      <c r="Z511" s="64">
        <f t="shared" si="215"/>
        <v>0</v>
      </c>
      <c r="AA511" s="64">
        <f t="shared" si="215"/>
        <v>0</v>
      </c>
      <c r="AB511" s="64">
        <f t="shared" si="215"/>
        <v>0</v>
      </c>
      <c r="AC511" s="64">
        <f t="shared" si="215"/>
        <v>0</v>
      </c>
      <c r="AD511" s="64">
        <f t="shared" si="215"/>
        <v>0</v>
      </c>
      <c r="AE511" s="64">
        <f t="shared" si="215"/>
        <v>0</v>
      </c>
      <c r="AF511" s="64">
        <f t="shared" si="216"/>
        <v>0</v>
      </c>
      <c r="AG511" s="59" t="str">
        <f t="shared" si="217"/>
        <v>ok</v>
      </c>
    </row>
    <row r="512" spans="1:33">
      <c r="A512" s="61">
        <v>916</v>
      </c>
      <c r="B512" s="61" t="s">
        <v>161</v>
      </c>
      <c r="C512" s="45" t="s">
        <v>165</v>
      </c>
      <c r="D512" s="45" t="s">
        <v>663</v>
      </c>
      <c r="F512" s="80"/>
      <c r="H512" s="64">
        <f t="shared" si="214"/>
        <v>0</v>
      </c>
      <c r="I512" s="64">
        <f t="shared" si="214"/>
        <v>0</v>
      </c>
      <c r="J512" s="64">
        <f t="shared" si="214"/>
        <v>0</v>
      </c>
      <c r="K512" s="64">
        <f t="shared" si="214"/>
        <v>0</v>
      </c>
      <c r="L512" s="64">
        <f t="shared" si="214"/>
        <v>0</v>
      </c>
      <c r="M512" s="64">
        <f t="shared" si="214"/>
        <v>0</v>
      </c>
      <c r="N512" s="64">
        <f t="shared" si="214"/>
        <v>0</v>
      </c>
      <c r="O512" s="64">
        <f t="shared" si="214"/>
        <v>0</v>
      </c>
      <c r="P512" s="64">
        <f t="shared" si="214"/>
        <v>0</v>
      </c>
      <c r="Q512" s="64">
        <f t="shared" si="214"/>
        <v>0</v>
      </c>
      <c r="R512" s="64">
        <f t="shared" si="215"/>
        <v>0</v>
      </c>
      <c r="S512" s="64">
        <f t="shared" si="215"/>
        <v>0</v>
      </c>
      <c r="T512" s="64">
        <f t="shared" si="215"/>
        <v>0</v>
      </c>
      <c r="U512" s="64">
        <f t="shared" si="215"/>
        <v>0</v>
      </c>
      <c r="V512" s="64">
        <f t="shared" si="215"/>
        <v>0</v>
      </c>
      <c r="W512" s="64">
        <f t="shared" si="215"/>
        <v>0</v>
      </c>
      <c r="X512" s="64">
        <f t="shared" si="215"/>
        <v>0</v>
      </c>
      <c r="Y512" s="64">
        <f t="shared" si="215"/>
        <v>0</v>
      </c>
      <c r="Z512" s="64">
        <f t="shared" si="215"/>
        <v>0</v>
      </c>
      <c r="AA512" s="64">
        <f t="shared" si="215"/>
        <v>0</v>
      </c>
      <c r="AB512" s="64">
        <f t="shared" si="215"/>
        <v>0</v>
      </c>
      <c r="AC512" s="64">
        <f t="shared" si="215"/>
        <v>0</v>
      </c>
      <c r="AD512" s="64">
        <f t="shared" si="215"/>
        <v>0</v>
      </c>
      <c r="AE512" s="64">
        <f t="shared" si="215"/>
        <v>0</v>
      </c>
      <c r="AF512" s="64">
        <f t="shared" si="216"/>
        <v>0</v>
      </c>
      <c r="AG512" s="59" t="str">
        <f t="shared" si="217"/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59"/>
    </row>
    <row r="514" spans="1:33">
      <c r="A514" s="61" t="s">
        <v>113</v>
      </c>
      <c r="B514" s="61"/>
      <c r="C514" s="45" t="s">
        <v>86</v>
      </c>
      <c r="F514" s="77">
        <f>SUM(F502:F513)</f>
        <v>1178872.3800000001</v>
      </c>
      <c r="G514" s="63">
        <f>SUM(G502:G513)</f>
        <v>0</v>
      </c>
      <c r="H514" s="63">
        <f t="shared" ref="H514:M514" si="218">SUM(H502:H513)</f>
        <v>0</v>
      </c>
      <c r="I514" s="63">
        <f t="shared" si="218"/>
        <v>0</v>
      </c>
      <c r="J514" s="63">
        <f t="shared" si="218"/>
        <v>0</v>
      </c>
      <c r="K514" s="63">
        <f t="shared" si="218"/>
        <v>0</v>
      </c>
      <c r="L514" s="63">
        <f t="shared" si="218"/>
        <v>0</v>
      </c>
      <c r="M514" s="63">
        <f t="shared" si="218"/>
        <v>0</v>
      </c>
      <c r="N514" s="63">
        <f>SUM(N502:N513)</f>
        <v>0</v>
      </c>
      <c r="O514" s="63">
        <f>SUM(O502:O513)</f>
        <v>0</v>
      </c>
      <c r="P514" s="63">
        <f>SUM(P502:P513)</f>
        <v>0</v>
      </c>
      <c r="Q514" s="63">
        <f t="shared" ref="Q514:AB514" si="219">SUM(Q502:Q513)</f>
        <v>0</v>
      </c>
      <c r="R514" s="63">
        <f t="shared" si="219"/>
        <v>0</v>
      </c>
      <c r="S514" s="63">
        <f t="shared" si="219"/>
        <v>0</v>
      </c>
      <c r="T514" s="63">
        <f t="shared" si="219"/>
        <v>0</v>
      </c>
      <c r="U514" s="63">
        <f t="shared" si="219"/>
        <v>0</v>
      </c>
      <c r="V514" s="63">
        <f t="shared" si="219"/>
        <v>0</v>
      </c>
      <c r="W514" s="63">
        <f t="shared" si="219"/>
        <v>0</v>
      </c>
      <c r="X514" s="63">
        <f t="shared" si="219"/>
        <v>0</v>
      </c>
      <c r="Y514" s="63">
        <f t="shared" si="219"/>
        <v>0</v>
      </c>
      <c r="Z514" s="63">
        <f t="shared" si="219"/>
        <v>0</v>
      </c>
      <c r="AA514" s="63">
        <f t="shared" si="219"/>
        <v>0</v>
      </c>
      <c r="AB514" s="63">
        <f t="shared" si="219"/>
        <v>0</v>
      </c>
      <c r="AC514" s="63">
        <f>SUM(AC502:AC513)</f>
        <v>0</v>
      </c>
      <c r="AD514" s="63">
        <f>SUM(AD502:AD513)</f>
        <v>1178872.3800000001</v>
      </c>
      <c r="AE514" s="63">
        <f>SUM(AE502:AE513)</f>
        <v>0</v>
      </c>
      <c r="AF514" s="64">
        <f>SUM(H514:AE514)</f>
        <v>1178872.3800000001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 t="s">
        <v>846</v>
      </c>
      <c r="B516" s="61"/>
      <c r="C516" s="45" t="s">
        <v>664</v>
      </c>
      <c r="F516" s="77">
        <f>F490+F499+F514</f>
        <v>52307069.420000002</v>
      </c>
      <c r="G516" s="64"/>
      <c r="H516" s="64">
        <f t="shared" ref="H516:AE516" si="220">H490+H499+H514</f>
        <v>6084771.3260635436</v>
      </c>
      <c r="I516" s="64">
        <f t="shared" si="220"/>
        <v>6374183.0955313304</v>
      </c>
      <c r="J516" s="64">
        <f t="shared" si="220"/>
        <v>5239557.0106498227</v>
      </c>
      <c r="K516" s="64">
        <f t="shared" si="220"/>
        <v>13219293.567755304</v>
      </c>
      <c r="L516" s="64">
        <f t="shared" si="220"/>
        <v>0</v>
      </c>
      <c r="M516" s="64">
        <f t="shared" si="220"/>
        <v>0</v>
      </c>
      <c r="N516" s="64">
        <f t="shared" si="220"/>
        <v>3135417</v>
      </c>
      <c r="O516" s="64">
        <f t="shared" si="220"/>
        <v>0</v>
      </c>
      <c r="P516" s="64">
        <f t="shared" si="220"/>
        <v>0</v>
      </c>
      <c r="Q516" s="64">
        <f t="shared" si="220"/>
        <v>0</v>
      </c>
      <c r="R516" s="64">
        <f t="shared" si="220"/>
        <v>1963504.0735617669</v>
      </c>
      <c r="S516" s="64">
        <f t="shared" si="220"/>
        <v>0</v>
      </c>
      <c r="T516" s="64">
        <f t="shared" si="220"/>
        <v>1857014.0576206709</v>
      </c>
      <c r="U516" s="64">
        <f t="shared" si="220"/>
        <v>2805242.9198604217</v>
      </c>
      <c r="V516" s="64">
        <f t="shared" si="220"/>
        <v>607913.578950066</v>
      </c>
      <c r="W516" s="64">
        <f t="shared" si="220"/>
        <v>896815.90948473196</v>
      </c>
      <c r="X516" s="64">
        <f t="shared" si="220"/>
        <v>169514.89924627161</v>
      </c>
      <c r="Y516" s="64">
        <f t="shared" si="220"/>
        <v>118550.6438408878</v>
      </c>
      <c r="Z516" s="64">
        <f t="shared" si="220"/>
        <v>42990.765535061459</v>
      </c>
      <c r="AA516" s="64">
        <f t="shared" si="220"/>
        <v>4175979.9089850918</v>
      </c>
      <c r="AB516" s="64">
        <f t="shared" si="220"/>
        <v>143442.24291502949</v>
      </c>
      <c r="AC516" s="64">
        <f t="shared" si="220"/>
        <v>4294006.040000001</v>
      </c>
      <c r="AD516" s="64">
        <f t="shared" si="220"/>
        <v>1178872.3800000001</v>
      </c>
      <c r="AE516" s="64">
        <f t="shared" si="220"/>
        <v>0</v>
      </c>
      <c r="AF516" s="64">
        <f>SUM(H516:AE516)</f>
        <v>52307069.419999994</v>
      </c>
      <c r="AG516" s="59" t="str">
        <f>IF(ABS(AF516-F516)&lt;1,"ok","err")</f>
        <v>ok</v>
      </c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>
      <c r="A520" s="61"/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0" t="s">
        <v>45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/>
      <c r="B523" s="61"/>
      <c r="F523" s="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G523" s="59"/>
    </row>
    <row r="524" spans="1:33" ht="15">
      <c r="A524" s="66" t="s">
        <v>1056</v>
      </c>
      <c r="B524" s="61"/>
      <c r="F524" s="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G524" s="59"/>
    </row>
    <row r="525" spans="1:33">
      <c r="A525" s="61">
        <v>920</v>
      </c>
      <c r="B525" s="61" t="s">
        <v>1057</v>
      </c>
      <c r="C525" s="45" t="s">
        <v>88</v>
      </c>
      <c r="D525" s="45" t="s">
        <v>664</v>
      </c>
      <c r="F525" s="77">
        <v>21224500.219999999</v>
      </c>
      <c r="H525" s="64">
        <f t="shared" ref="H525:Q536" si="221">IF(VLOOKUP($D525,$C$6:$AE$653,H$2,)=0,0,((VLOOKUP($D525,$C$6:$AE$653,H$2,)/VLOOKUP($D525,$C$6:$AE$653,4,))*$F525))</f>
        <v>2469001.4520160696</v>
      </c>
      <c r="I525" s="64">
        <f t="shared" si="221"/>
        <v>2586435.2947614435</v>
      </c>
      <c r="J525" s="64">
        <f t="shared" si="221"/>
        <v>2126041.090780721</v>
      </c>
      <c r="K525" s="64">
        <f t="shared" si="221"/>
        <v>5363957.5366802691</v>
      </c>
      <c r="L525" s="64">
        <f t="shared" si="221"/>
        <v>0</v>
      </c>
      <c r="M525" s="64">
        <f t="shared" si="221"/>
        <v>0</v>
      </c>
      <c r="N525" s="64">
        <f t="shared" si="221"/>
        <v>1272249.803787454</v>
      </c>
      <c r="O525" s="64">
        <f t="shared" si="221"/>
        <v>0</v>
      </c>
      <c r="P525" s="64">
        <f t="shared" si="221"/>
        <v>0</v>
      </c>
      <c r="Q525" s="64">
        <f t="shared" si="221"/>
        <v>0</v>
      </c>
      <c r="R525" s="64">
        <f t="shared" ref="R525:AE536" si="222">IF(VLOOKUP($D525,$C$6:$AE$653,R$2,)=0,0,((VLOOKUP($D525,$C$6:$AE$653,R$2,)/VLOOKUP($D525,$C$6:$AE$653,4,))*$F525))</f>
        <v>796725.81743507308</v>
      </c>
      <c r="S525" s="64">
        <f t="shared" si="222"/>
        <v>0</v>
      </c>
      <c r="T525" s="64">
        <f t="shared" si="222"/>
        <v>753515.64734082972</v>
      </c>
      <c r="U525" s="64">
        <f t="shared" si="222"/>
        <v>1138275.9468257544</v>
      </c>
      <c r="V525" s="64">
        <f t="shared" si="222"/>
        <v>246671.47353572122</v>
      </c>
      <c r="W525" s="64">
        <f t="shared" si="222"/>
        <v>363898.60260227503</v>
      </c>
      <c r="X525" s="64">
        <f t="shared" si="222"/>
        <v>68783.609103707451</v>
      </c>
      <c r="Y525" s="64">
        <f t="shared" si="222"/>
        <v>48103.978949353739</v>
      </c>
      <c r="Z525" s="64">
        <f t="shared" si="222"/>
        <v>17444.248409909873</v>
      </c>
      <c r="AA525" s="64">
        <f t="shared" si="222"/>
        <v>1694476.2434555381</v>
      </c>
      <c r="AB525" s="64">
        <f t="shared" si="222"/>
        <v>58204.176798007597</v>
      </c>
      <c r="AC525" s="64">
        <f t="shared" si="222"/>
        <v>1742367.3922327217</v>
      </c>
      <c r="AD525" s="64">
        <f t="shared" si="222"/>
        <v>478347.90528514993</v>
      </c>
      <c r="AE525" s="64">
        <f t="shared" si="222"/>
        <v>0</v>
      </c>
      <c r="AF525" s="64">
        <f t="shared" ref="AF525:AF536" si="223">SUM(H525:AE525)</f>
        <v>21224500.219999991</v>
      </c>
      <c r="AG525" s="59" t="str">
        <f t="shared" ref="AG525:AG536" si="224">IF(ABS(AF525-F525)&lt;1,"ok","err")</f>
        <v>ok</v>
      </c>
    </row>
    <row r="526" spans="1:33">
      <c r="A526" s="61">
        <v>921</v>
      </c>
      <c r="B526" s="61" t="s">
        <v>1059</v>
      </c>
      <c r="C526" s="61" t="s">
        <v>88</v>
      </c>
      <c r="D526" s="61" t="s">
        <v>664</v>
      </c>
      <c r="F526" s="77"/>
      <c r="H526" s="64">
        <f t="shared" si="221"/>
        <v>0</v>
      </c>
      <c r="I526" s="64">
        <f t="shared" si="221"/>
        <v>0</v>
      </c>
      <c r="J526" s="64">
        <f t="shared" si="221"/>
        <v>0</v>
      </c>
      <c r="K526" s="64">
        <f t="shared" si="221"/>
        <v>0</v>
      </c>
      <c r="L526" s="64">
        <f t="shared" si="221"/>
        <v>0</v>
      </c>
      <c r="M526" s="64">
        <f t="shared" si="221"/>
        <v>0</v>
      </c>
      <c r="N526" s="64">
        <f t="shared" si="221"/>
        <v>0</v>
      </c>
      <c r="O526" s="64">
        <f t="shared" si="221"/>
        <v>0</v>
      </c>
      <c r="P526" s="64">
        <f t="shared" si="221"/>
        <v>0</v>
      </c>
      <c r="Q526" s="64">
        <f t="shared" si="221"/>
        <v>0</v>
      </c>
      <c r="R526" s="64">
        <f t="shared" si="222"/>
        <v>0</v>
      </c>
      <c r="S526" s="64">
        <f t="shared" si="222"/>
        <v>0</v>
      </c>
      <c r="T526" s="64">
        <f t="shared" si="222"/>
        <v>0</v>
      </c>
      <c r="U526" s="64">
        <f t="shared" si="222"/>
        <v>0</v>
      </c>
      <c r="V526" s="64">
        <f t="shared" si="222"/>
        <v>0</v>
      </c>
      <c r="W526" s="64">
        <f t="shared" si="222"/>
        <v>0</v>
      </c>
      <c r="X526" s="64">
        <f t="shared" si="222"/>
        <v>0</v>
      </c>
      <c r="Y526" s="64">
        <f t="shared" si="222"/>
        <v>0</v>
      </c>
      <c r="Z526" s="64">
        <f t="shared" si="222"/>
        <v>0</v>
      </c>
      <c r="AA526" s="64">
        <f t="shared" si="222"/>
        <v>0</v>
      </c>
      <c r="AB526" s="64">
        <f t="shared" si="222"/>
        <v>0</v>
      </c>
      <c r="AC526" s="64">
        <f t="shared" si="222"/>
        <v>0</v>
      </c>
      <c r="AD526" s="64">
        <f t="shared" si="222"/>
        <v>0</v>
      </c>
      <c r="AE526" s="64">
        <f t="shared" si="222"/>
        <v>0</v>
      </c>
      <c r="AF526" s="64">
        <f>SUM(H526:AE526)</f>
        <v>0</v>
      </c>
      <c r="AG526" s="59" t="str">
        <f t="shared" si="224"/>
        <v>ok</v>
      </c>
    </row>
    <row r="527" spans="1:33">
      <c r="A527" s="61">
        <v>922</v>
      </c>
      <c r="B527" s="61" t="s">
        <v>615</v>
      </c>
      <c r="C527" s="45" t="s">
        <v>616</v>
      </c>
      <c r="D527" s="45" t="s">
        <v>664</v>
      </c>
      <c r="F527" s="80">
        <v>-2423558.2800000003</v>
      </c>
      <c r="H527" s="64">
        <f t="shared" si="221"/>
        <v>-281927.43529136298</v>
      </c>
      <c r="I527" s="64">
        <f t="shared" si="221"/>
        <v>-295336.83287376544</v>
      </c>
      <c r="J527" s="64">
        <f t="shared" si="221"/>
        <v>-242765.88074034039</v>
      </c>
      <c r="K527" s="64">
        <f t="shared" si="221"/>
        <v>-612493.27743133414</v>
      </c>
      <c r="L527" s="64">
        <f t="shared" si="221"/>
        <v>0</v>
      </c>
      <c r="M527" s="64">
        <f t="shared" si="221"/>
        <v>0</v>
      </c>
      <c r="N527" s="64">
        <f t="shared" si="221"/>
        <v>-145274.16496205534</v>
      </c>
      <c r="O527" s="64">
        <f t="shared" si="221"/>
        <v>0</v>
      </c>
      <c r="P527" s="64">
        <f t="shared" si="221"/>
        <v>0</v>
      </c>
      <c r="Q527" s="64">
        <f t="shared" si="221"/>
        <v>0</v>
      </c>
      <c r="R527" s="64">
        <f t="shared" si="222"/>
        <v>-90975.591025461617</v>
      </c>
      <c r="S527" s="64">
        <f t="shared" si="222"/>
        <v>0</v>
      </c>
      <c r="T527" s="64">
        <f t="shared" si="222"/>
        <v>-86041.558919799543</v>
      </c>
      <c r="U527" s="64">
        <f t="shared" si="222"/>
        <v>-129976.1156804472</v>
      </c>
      <c r="V527" s="64">
        <f t="shared" si="222"/>
        <v>-28166.632237774225</v>
      </c>
      <c r="W527" s="64">
        <f t="shared" si="222"/>
        <v>-41552.42584162829</v>
      </c>
      <c r="X527" s="64">
        <f t="shared" si="222"/>
        <v>-7854.1818956231518</v>
      </c>
      <c r="Y527" s="64">
        <f t="shared" si="222"/>
        <v>-5492.8405981402166</v>
      </c>
      <c r="Z527" s="64">
        <f t="shared" si="222"/>
        <v>-1991.9033303020178</v>
      </c>
      <c r="AA527" s="64">
        <f t="shared" si="222"/>
        <v>-193486.86129345128</v>
      </c>
      <c r="AB527" s="64">
        <f t="shared" si="222"/>
        <v>-6646.1501164805859</v>
      </c>
      <c r="AC527" s="64">
        <f t="shared" si="222"/>
        <v>-198955.39949009084</v>
      </c>
      <c r="AD527" s="64">
        <f t="shared" si="222"/>
        <v>-54621.028271943032</v>
      </c>
      <c r="AE527" s="64">
        <f t="shared" si="222"/>
        <v>0</v>
      </c>
      <c r="AF527" s="64">
        <f t="shared" si="223"/>
        <v>-2423558.2800000007</v>
      </c>
      <c r="AG527" s="59" t="str">
        <f t="shared" si="224"/>
        <v>ok</v>
      </c>
    </row>
    <row r="528" spans="1:33">
      <c r="A528" s="61">
        <v>923</v>
      </c>
      <c r="B528" s="61" t="s">
        <v>1061</v>
      </c>
      <c r="C528" s="45" t="s">
        <v>89</v>
      </c>
      <c r="D528" s="45" t="s">
        <v>664</v>
      </c>
      <c r="F528" s="80"/>
      <c r="H528" s="64">
        <f t="shared" si="221"/>
        <v>0</v>
      </c>
      <c r="I528" s="64">
        <f t="shared" si="221"/>
        <v>0</v>
      </c>
      <c r="J528" s="64">
        <f t="shared" si="221"/>
        <v>0</v>
      </c>
      <c r="K528" s="64">
        <f t="shared" si="221"/>
        <v>0</v>
      </c>
      <c r="L528" s="64">
        <f t="shared" si="221"/>
        <v>0</v>
      </c>
      <c r="M528" s="64">
        <f t="shared" si="221"/>
        <v>0</v>
      </c>
      <c r="N528" s="64">
        <f t="shared" si="221"/>
        <v>0</v>
      </c>
      <c r="O528" s="64">
        <f t="shared" si="221"/>
        <v>0</v>
      </c>
      <c r="P528" s="64">
        <f t="shared" si="221"/>
        <v>0</v>
      </c>
      <c r="Q528" s="64">
        <f t="shared" si="221"/>
        <v>0</v>
      </c>
      <c r="R528" s="64">
        <f t="shared" si="222"/>
        <v>0</v>
      </c>
      <c r="S528" s="64">
        <f t="shared" si="222"/>
        <v>0</v>
      </c>
      <c r="T528" s="64">
        <f t="shared" si="222"/>
        <v>0</v>
      </c>
      <c r="U528" s="64">
        <f t="shared" si="222"/>
        <v>0</v>
      </c>
      <c r="V528" s="64">
        <f t="shared" si="222"/>
        <v>0</v>
      </c>
      <c r="W528" s="64">
        <f t="shared" si="222"/>
        <v>0</v>
      </c>
      <c r="X528" s="64">
        <f t="shared" si="222"/>
        <v>0</v>
      </c>
      <c r="Y528" s="64">
        <f t="shared" si="222"/>
        <v>0</v>
      </c>
      <c r="Z528" s="64">
        <f t="shared" si="222"/>
        <v>0</v>
      </c>
      <c r="AA528" s="64">
        <f t="shared" si="222"/>
        <v>0</v>
      </c>
      <c r="AB528" s="64">
        <f t="shared" si="222"/>
        <v>0</v>
      </c>
      <c r="AC528" s="64">
        <f t="shared" si="222"/>
        <v>0</v>
      </c>
      <c r="AD528" s="64">
        <f t="shared" si="222"/>
        <v>0</v>
      </c>
      <c r="AE528" s="64">
        <f t="shared" si="222"/>
        <v>0</v>
      </c>
      <c r="AF528" s="64">
        <f t="shared" si="223"/>
        <v>0</v>
      </c>
      <c r="AG528" s="59" t="str">
        <f t="shared" si="224"/>
        <v>ok</v>
      </c>
    </row>
    <row r="529" spans="1:33">
      <c r="A529" s="61">
        <v>924</v>
      </c>
      <c r="B529" s="61" t="s">
        <v>1063</v>
      </c>
      <c r="C529" s="45" t="s">
        <v>90</v>
      </c>
      <c r="D529" s="45" t="s">
        <v>977</v>
      </c>
      <c r="F529" s="80"/>
      <c r="H529" s="64">
        <f t="shared" si="221"/>
        <v>0</v>
      </c>
      <c r="I529" s="64">
        <f t="shared" si="221"/>
        <v>0</v>
      </c>
      <c r="J529" s="64">
        <f t="shared" si="221"/>
        <v>0</v>
      </c>
      <c r="K529" s="64">
        <f t="shared" si="221"/>
        <v>0</v>
      </c>
      <c r="L529" s="64">
        <f t="shared" si="221"/>
        <v>0</v>
      </c>
      <c r="M529" s="64">
        <f t="shared" si="221"/>
        <v>0</v>
      </c>
      <c r="N529" s="64">
        <f t="shared" si="221"/>
        <v>0</v>
      </c>
      <c r="O529" s="64">
        <f t="shared" si="221"/>
        <v>0</v>
      </c>
      <c r="P529" s="64">
        <f t="shared" si="221"/>
        <v>0</v>
      </c>
      <c r="Q529" s="64">
        <f t="shared" si="221"/>
        <v>0</v>
      </c>
      <c r="R529" s="64">
        <f t="shared" si="222"/>
        <v>0</v>
      </c>
      <c r="S529" s="64">
        <f t="shared" si="222"/>
        <v>0</v>
      </c>
      <c r="T529" s="64">
        <f t="shared" si="222"/>
        <v>0</v>
      </c>
      <c r="U529" s="64">
        <f t="shared" si="222"/>
        <v>0</v>
      </c>
      <c r="V529" s="64">
        <f t="shared" si="222"/>
        <v>0</v>
      </c>
      <c r="W529" s="64">
        <f t="shared" si="222"/>
        <v>0</v>
      </c>
      <c r="X529" s="64">
        <f t="shared" si="222"/>
        <v>0</v>
      </c>
      <c r="Y529" s="64">
        <f t="shared" si="222"/>
        <v>0</v>
      </c>
      <c r="Z529" s="64">
        <f t="shared" si="222"/>
        <v>0</v>
      </c>
      <c r="AA529" s="64">
        <f t="shared" si="222"/>
        <v>0</v>
      </c>
      <c r="AB529" s="64">
        <f t="shared" si="222"/>
        <v>0</v>
      </c>
      <c r="AC529" s="64">
        <f t="shared" si="222"/>
        <v>0</v>
      </c>
      <c r="AD529" s="64">
        <f t="shared" si="222"/>
        <v>0</v>
      </c>
      <c r="AE529" s="64">
        <f t="shared" si="222"/>
        <v>0</v>
      </c>
      <c r="AF529" s="64">
        <f t="shared" si="223"/>
        <v>0</v>
      </c>
      <c r="AG529" s="59" t="str">
        <f t="shared" si="224"/>
        <v>ok</v>
      </c>
    </row>
    <row r="530" spans="1:33">
      <c r="A530" s="61">
        <v>925</v>
      </c>
      <c r="B530" s="61" t="s">
        <v>1383</v>
      </c>
      <c r="C530" s="45" t="s">
        <v>91</v>
      </c>
      <c r="D530" s="45" t="s">
        <v>664</v>
      </c>
      <c r="F530" s="80"/>
      <c r="H530" s="64">
        <f t="shared" si="221"/>
        <v>0</v>
      </c>
      <c r="I530" s="64">
        <f t="shared" si="221"/>
        <v>0</v>
      </c>
      <c r="J530" s="64">
        <f t="shared" si="221"/>
        <v>0</v>
      </c>
      <c r="K530" s="64">
        <f t="shared" si="221"/>
        <v>0</v>
      </c>
      <c r="L530" s="64">
        <f t="shared" si="221"/>
        <v>0</v>
      </c>
      <c r="M530" s="64">
        <f t="shared" si="221"/>
        <v>0</v>
      </c>
      <c r="N530" s="64">
        <f t="shared" si="221"/>
        <v>0</v>
      </c>
      <c r="O530" s="64">
        <f t="shared" si="221"/>
        <v>0</v>
      </c>
      <c r="P530" s="64">
        <f t="shared" si="221"/>
        <v>0</v>
      </c>
      <c r="Q530" s="64">
        <f t="shared" si="221"/>
        <v>0</v>
      </c>
      <c r="R530" s="64">
        <f t="shared" si="222"/>
        <v>0</v>
      </c>
      <c r="S530" s="64">
        <f t="shared" si="222"/>
        <v>0</v>
      </c>
      <c r="T530" s="64">
        <f t="shared" si="222"/>
        <v>0</v>
      </c>
      <c r="U530" s="64">
        <f t="shared" si="222"/>
        <v>0</v>
      </c>
      <c r="V530" s="64">
        <f t="shared" si="222"/>
        <v>0</v>
      </c>
      <c r="W530" s="64">
        <f t="shared" si="222"/>
        <v>0</v>
      </c>
      <c r="X530" s="64">
        <f t="shared" si="222"/>
        <v>0</v>
      </c>
      <c r="Y530" s="64">
        <f t="shared" si="222"/>
        <v>0</v>
      </c>
      <c r="Z530" s="64">
        <f t="shared" si="222"/>
        <v>0</v>
      </c>
      <c r="AA530" s="64">
        <f t="shared" si="222"/>
        <v>0</v>
      </c>
      <c r="AB530" s="64">
        <f t="shared" si="222"/>
        <v>0</v>
      </c>
      <c r="AC530" s="64">
        <f t="shared" si="222"/>
        <v>0</v>
      </c>
      <c r="AD530" s="64">
        <f t="shared" si="222"/>
        <v>0</v>
      </c>
      <c r="AE530" s="64">
        <f t="shared" si="222"/>
        <v>0</v>
      </c>
      <c r="AF530" s="64">
        <f t="shared" si="223"/>
        <v>0</v>
      </c>
      <c r="AG530" s="59" t="str">
        <f t="shared" si="224"/>
        <v>ok</v>
      </c>
    </row>
    <row r="531" spans="1:33">
      <c r="A531" s="61">
        <v>926</v>
      </c>
      <c r="B531" s="61" t="s">
        <v>1066</v>
      </c>
      <c r="C531" s="45" t="s">
        <v>92</v>
      </c>
      <c r="D531" s="45" t="s">
        <v>664</v>
      </c>
      <c r="F531" s="80"/>
      <c r="H531" s="64">
        <f t="shared" si="221"/>
        <v>0</v>
      </c>
      <c r="I531" s="64">
        <f t="shared" si="221"/>
        <v>0</v>
      </c>
      <c r="J531" s="64">
        <f t="shared" si="221"/>
        <v>0</v>
      </c>
      <c r="K531" s="64">
        <f t="shared" si="221"/>
        <v>0</v>
      </c>
      <c r="L531" s="64">
        <f t="shared" si="221"/>
        <v>0</v>
      </c>
      <c r="M531" s="64">
        <f t="shared" si="221"/>
        <v>0</v>
      </c>
      <c r="N531" s="64">
        <f t="shared" si="221"/>
        <v>0</v>
      </c>
      <c r="O531" s="64">
        <f t="shared" si="221"/>
        <v>0</v>
      </c>
      <c r="P531" s="64">
        <f t="shared" si="221"/>
        <v>0</v>
      </c>
      <c r="Q531" s="64">
        <f t="shared" si="221"/>
        <v>0</v>
      </c>
      <c r="R531" s="64">
        <f t="shared" si="222"/>
        <v>0</v>
      </c>
      <c r="S531" s="64">
        <f t="shared" si="222"/>
        <v>0</v>
      </c>
      <c r="T531" s="64">
        <f t="shared" si="222"/>
        <v>0</v>
      </c>
      <c r="U531" s="64">
        <f t="shared" si="222"/>
        <v>0</v>
      </c>
      <c r="V531" s="64">
        <f t="shared" si="222"/>
        <v>0</v>
      </c>
      <c r="W531" s="64">
        <f t="shared" si="222"/>
        <v>0</v>
      </c>
      <c r="X531" s="64">
        <f t="shared" si="222"/>
        <v>0</v>
      </c>
      <c r="Y531" s="64">
        <f t="shared" si="222"/>
        <v>0</v>
      </c>
      <c r="Z531" s="64">
        <f t="shared" si="222"/>
        <v>0</v>
      </c>
      <c r="AA531" s="64">
        <f t="shared" si="222"/>
        <v>0</v>
      </c>
      <c r="AB531" s="64">
        <f t="shared" si="222"/>
        <v>0</v>
      </c>
      <c r="AC531" s="64">
        <f t="shared" si="222"/>
        <v>0</v>
      </c>
      <c r="AD531" s="64">
        <f t="shared" si="222"/>
        <v>0</v>
      </c>
      <c r="AE531" s="64">
        <f t="shared" si="222"/>
        <v>0</v>
      </c>
      <c r="AF531" s="64">
        <f t="shared" si="223"/>
        <v>0</v>
      </c>
      <c r="AG531" s="59" t="str">
        <f t="shared" si="224"/>
        <v>ok</v>
      </c>
    </row>
    <row r="532" spans="1:33">
      <c r="A532" s="61">
        <v>928</v>
      </c>
      <c r="B532" s="61" t="s">
        <v>896</v>
      </c>
      <c r="C532" s="45" t="s">
        <v>93</v>
      </c>
      <c r="D532" s="45" t="s">
        <v>977</v>
      </c>
      <c r="F532" s="80"/>
      <c r="H532" s="64">
        <f t="shared" si="221"/>
        <v>0</v>
      </c>
      <c r="I532" s="64">
        <f t="shared" si="221"/>
        <v>0</v>
      </c>
      <c r="J532" s="64">
        <f t="shared" si="221"/>
        <v>0</v>
      </c>
      <c r="K532" s="64">
        <f t="shared" si="221"/>
        <v>0</v>
      </c>
      <c r="L532" s="64">
        <f t="shared" si="221"/>
        <v>0</v>
      </c>
      <c r="M532" s="64">
        <f t="shared" si="221"/>
        <v>0</v>
      </c>
      <c r="N532" s="64">
        <f t="shared" si="221"/>
        <v>0</v>
      </c>
      <c r="O532" s="64">
        <f t="shared" si="221"/>
        <v>0</v>
      </c>
      <c r="P532" s="64">
        <f t="shared" si="221"/>
        <v>0</v>
      </c>
      <c r="Q532" s="64">
        <f t="shared" si="221"/>
        <v>0</v>
      </c>
      <c r="R532" s="64">
        <f t="shared" si="222"/>
        <v>0</v>
      </c>
      <c r="S532" s="64">
        <f t="shared" si="222"/>
        <v>0</v>
      </c>
      <c r="T532" s="64">
        <f t="shared" si="222"/>
        <v>0</v>
      </c>
      <c r="U532" s="64">
        <f t="shared" si="222"/>
        <v>0</v>
      </c>
      <c r="V532" s="64">
        <f t="shared" si="222"/>
        <v>0</v>
      </c>
      <c r="W532" s="64">
        <f t="shared" si="222"/>
        <v>0</v>
      </c>
      <c r="X532" s="64">
        <f t="shared" si="222"/>
        <v>0</v>
      </c>
      <c r="Y532" s="64">
        <f t="shared" si="222"/>
        <v>0</v>
      </c>
      <c r="Z532" s="64">
        <f t="shared" si="222"/>
        <v>0</v>
      </c>
      <c r="AA532" s="64">
        <f t="shared" si="222"/>
        <v>0</v>
      </c>
      <c r="AB532" s="64">
        <f t="shared" si="222"/>
        <v>0</v>
      </c>
      <c r="AC532" s="64">
        <f t="shared" si="222"/>
        <v>0</v>
      </c>
      <c r="AD532" s="64">
        <f t="shared" si="222"/>
        <v>0</v>
      </c>
      <c r="AE532" s="64">
        <f t="shared" si="222"/>
        <v>0</v>
      </c>
      <c r="AF532" s="64">
        <f t="shared" si="223"/>
        <v>0</v>
      </c>
      <c r="AG532" s="59" t="str">
        <f t="shared" si="224"/>
        <v>ok</v>
      </c>
    </row>
    <row r="533" spans="1:33">
      <c r="A533" s="61">
        <v>929</v>
      </c>
      <c r="B533" s="61" t="s">
        <v>1167</v>
      </c>
      <c r="C533" s="45" t="s">
        <v>94</v>
      </c>
      <c r="D533" s="45" t="s">
        <v>664</v>
      </c>
      <c r="F533" s="80"/>
      <c r="H533" s="64">
        <f t="shared" si="221"/>
        <v>0</v>
      </c>
      <c r="I533" s="64">
        <f t="shared" si="221"/>
        <v>0</v>
      </c>
      <c r="J533" s="64">
        <f t="shared" si="221"/>
        <v>0</v>
      </c>
      <c r="K533" s="64">
        <f t="shared" si="221"/>
        <v>0</v>
      </c>
      <c r="L533" s="64">
        <f t="shared" si="221"/>
        <v>0</v>
      </c>
      <c r="M533" s="64">
        <f t="shared" si="221"/>
        <v>0</v>
      </c>
      <c r="N533" s="64">
        <f t="shared" si="221"/>
        <v>0</v>
      </c>
      <c r="O533" s="64">
        <f t="shared" si="221"/>
        <v>0</v>
      </c>
      <c r="P533" s="64">
        <f t="shared" si="221"/>
        <v>0</v>
      </c>
      <c r="Q533" s="64">
        <f t="shared" si="221"/>
        <v>0</v>
      </c>
      <c r="R533" s="64">
        <f t="shared" si="222"/>
        <v>0</v>
      </c>
      <c r="S533" s="64">
        <f t="shared" si="222"/>
        <v>0</v>
      </c>
      <c r="T533" s="64">
        <f t="shared" si="222"/>
        <v>0</v>
      </c>
      <c r="U533" s="64">
        <f t="shared" si="222"/>
        <v>0</v>
      </c>
      <c r="V533" s="64">
        <f t="shared" si="222"/>
        <v>0</v>
      </c>
      <c r="W533" s="64">
        <f t="shared" si="222"/>
        <v>0</v>
      </c>
      <c r="X533" s="64">
        <f t="shared" si="222"/>
        <v>0</v>
      </c>
      <c r="Y533" s="64">
        <f t="shared" si="222"/>
        <v>0</v>
      </c>
      <c r="Z533" s="64">
        <f t="shared" si="222"/>
        <v>0</v>
      </c>
      <c r="AA533" s="64">
        <f t="shared" si="222"/>
        <v>0</v>
      </c>
      <c r="AB533" s="64">
        <f t="shared" si="222"/>
        <v>0</v>
      </c>
      <c r="AC533" s="64">
        <f t="shared" si="222"/>
        <v>0</v>
      </c>
      <c r="AD533" s="64">
        <f t="shared" si="222"/>
        <v>0</v>
      </c>
      <c r="AE533" s="64">
        <f t="shared" si="222"/>
        <v>0</v>
      </c>
      <c r="AF533" s="64">
        <f t="shared" si="223"/>
        <v>0</v>
      </c>
      <c r="AG533" s="59" t="str">
        <f t="shared" si="224"/>
        <v>ok</v>
      </c>
    </row>
    <row r="534" spans="1:33">
      <c r="A534" s="61">
        <v>930</v>
      </c>
      <c r="B534" s="61" t="s">
        <v>1069</v>
      </c>
      <c r="C534" s="45" t="s">
        <v>95</v>
      </c>
      <c r="D534" s="45" t="s">
        <v>664</v>
      </c>
      <c r="F534" s="80"/>
      <c r="H534" s="64">
        <f t="shared" si="221"/>
        <v>0</v>
      </c>
      <c r="I534" s="64">
        <f t="shared" si="221"/>
        <v>0</v>
      </c>
      <c r="J534" s="64">
        <f t="shared" si="221"/>
        <v>0</v>
      </c>
      <c r="K534" s="64">
        <f t="shared" si="221"/>
        <v>0</v>
      </c>
      <c r="L534" s="64">
        <f t="shared" si="221"/>
        <v>0</v>
      </c>
      <c r="M534" s="64">
        <f t="shared" si="221"/>
        <v>0</v>
      </c>
      <c r="N534" s="64">
        <f t="shared" si="221"/>
        <v>0</v>
      </c>
      <c r="O534" s="64">
        <f t="shared" si="221"/>
        <v>0</v>
      </c>
      <c r="P534" s="64">
        <f t="shared" si="221"/>
        <v>0</v>
      </c>
      <c r="Q534" s="64">
        <f t="shared" si="221"/>
        <v>0</v>
      </c>
      <c r="R534" s="64">
        <f t="shared" si="222"/>
        <v>0</v>
      </c>
      <c r="S534" s="64">
        <f t="shared" si="222"/>
        <v>0</v>
      </c>
      <c r="T534" s="64">
        <f t="shared" si="222"/>
        <v>0</v>
      </c>
      <c r="U534" s="64">
        <f t="shared" si="222"/>
        <v>0</v>
      </c>
      <c r="V534" s="64">
        <f t="shared" si="222"/>
        <v>0</v>
      </c>
      <c r="W534" s="64">
        <f t="shared" si="222"/>
        <v>0</v>
      </c>
      <c r="X534" s="64">
        <f t="shared" si="222"/>
        <v>0</v>
      </c>
      <c r="Y534" s="64">
        <f t="shared" si="222"/>
        <v>0</v>
      </c>
      <c r="Z534" s="64">
        <f t="shared" si="222"/>
        <v>0</v>
      </c>
      <c r="AA534" s="64">
        <f t="shared" si="222"/>
        <v>0</v>
      </c>
      <c r="AB534" s="64">
        <f t="shared" si="222"/>
        <v>0</v>
      </c>
      <c r="AC534" s="64">
        <f t="shared" si="222"/>
        <v>0</v>
      </c>
      <c r="AD534" s="64">
        <f t="shared" si="222"/>
        <v>0</v>
      </c>
      <c r="AE534" s="64">
        <f t="shared" si="222"/>
        <v>0</v>
      </c>
      <c r="AF534" s="64">
        <f t="shared" si="223"/>
        <v>0</v>
      </c>
      <c r="AG534" s="59" t="str">
        <f t="shared" si="224"/>
        <v>ok</v>
      </c>
    </row>
    <row r="535" spans="1:33">
      <c r="A535" s="61">
        <v>931</v>
      </c>
      <c r="B535" s="61" t="s">
        <v>1071</v>
      </c>
      <c r="C535" s="45" t="s">
        <v>96</v>
      </c>
      <c r="D535" s="45" t="s">
        <v>967</v>
      </c>
      <c r="F535" s="80"/>
      <c r="H535" s="64">
        <f t="shared" si="221"/>
        <v>0</v>
      </c>
      <c r="I535" s="64">
        <f t="shared" si="221"/>
        <v>0</v>
      </c>
      <c r="J535" s="64">
        <f t="shared" si="221"/>
        <v>0</v>
      </c>
      <c r="K535" s="64">
        <f t="shared" si="221"/>
        <v>0</v>
      </c>
      <c r="L535" s="64">
        <f t="shared" si="221"/>
        <v>0</v>
      </c>
      <c r="M535" s="64">
        <f t="shared" si="221"/>
        <v>0</v>
      </c>
      <c r="N535" s="64">
        <f t="shared" si="221"/>
        <v>0</v>
      </c>
      <c r="O535" s="64">
        <f t="shared" si="221"/>
        <v>0</v>
      </c>
      <c r="P535" s="64">
        <f t="shared" si="221"/>
        <v>0</v>
      </c>
      <c r="Q535" s="64">
        <f t="shared" si="221"/>
        <v>0</v>
      </c>
      <c r="R535" s="64">
        <f t="shared" si="222"/>
        <v>0</v>
      </c>
      <c r="S535" s="64">
        <f t="shared" si="222"/>
        <v>0</v>
      </c>
      <c r="T535" s="64">
        <f t="shared" si="222"/>
        <v>0</v>
      </c>
      <c r="U535" s="64">
        <f t="shared" si="222"/>
        <v>0</v>
      </c>
      <c r="V535" s="64">
        <f t="shared" si="222"/>
        <v>0</v>
      </c>
      <c r="W535" s="64">
        <f t="shared" si="222"/>
        <v>0</v>
      </c>
      <c r="X535" s="64">
        <f t="shared" si="222"/>
        <v>0</v>
      </c>
      <c r="Y535" s="64">
        <f t="shared" si="222"/>
        <v>0</v>
      </c>
      <c r="Z535" s="64">
        <f t="shared" si="222"/>
        <v>0</v>
      </c>
      <c r="AA535" s="64">
        <f t="shared" si="222"/>
        <v>0</v>
      </c>
      <c r="AB535" s="64">
        <f t="shared" si="222"/>
        <v>0</v>
      </c>
      <c r="AC535" s="64">
        <f t="shared" si="222"/>
        <v>0</v>
      </c>
      <c r="AD535" s="64">
        <f t="shared" si="222"/>
        <v>0</v>
      </c>
      <c r="AE535" s="64">
        <f t="shared" si="222"/>
        <v>0</v>
      </c>
      <c r="AF535" s="64">
        <f t="shared" si="223"/>
        <v>0</v>
      </c>
      <c r="AG535" s="59" t="str">
        <f t="shared" si="224"/>
        <v>ok</v>
      </c>
    </row>
    <row r="536" spans="1:33">
      <c r="A536" s="61">
        <v>935</v>
      </c>
      <c r="B536" s="61" t="s">
        <v>1073</v>
      </c>
      <c r="C536" s="45" t="s">
        <v>97</v>
      </c>
      <c r="D536" s="45" t="s">
        <v>967</v>
      </c>
      <c r="F536" s="80">
        <v>430712.79999999993</v>
      </c>
      <c r="H536" s="64">
        <f t="shared" si="221"/>
        <v>83058.253487253809</v>
      </c>
      <c r="I536" s="64">
        <f t="shared" si="221"/>
        <v>87008.777643796129</v>
      </c>
      <c r="J536" s="64">
        <f t="shared" si="221"/>
        <v>71520.921827806756</v>
      </c>
      <c r="K536" s="64">
        <f t="shared" si="221"/>
        <v>0</v>
      </c>
      <c r="L536" s="64">
        <f t="shared" si="221"/>
        <v>0</v>
      </c>
      <c r="M536" s="64">
        <f t="shared" si="221"/>
        <v>0</v>
      </c>
      <c r="N536" s="64">
        <f t="shared" si="221"/>
        <v>46338.533719054532</v>
      </c>
      <c r="O536" s="64">
        <f t="shared" si="221"/>
        <v>0</v>
      </c>
      <c r="P536" s="64">
        <f t="shared" si="221"/>
        <v>0</v>
      </c>
      <c r="Q536" s="64">
        <f t="shared" si="221"/>
        <v>0</v>
      </c>
      <c r="R536" s="64">
        <f t="shared" si="222"/>
        <v>15998.114439020788</v>
      </c>
      <c r="S536" s="64">
        <f t="shared" si="222"/>
        <v>0</v>
      </c>
      <c r="T536" s="64">
        <f t="shared" si="222"/>
        <v>27358.421257728867</v>
      </c>
      <c r="U536" s="64">
        <f t="shared" si="222"/>
        <v>43537.416460110828</v>
      </c>
      <c r="V536" s="64">
        <f t="shared" si="222"/>
        <v>7520.9328171211573</v>
      </c>
      <c r="W536" s="64">
        <f t="shared" si="222"/>
        <v>11429.231173530683</v>
      </c>
      <c r="X536" s="64">
        <f t="shared" si="222"/>
        <v>10396.198263774761</v>
      </c>
      <c r="Y536" s="64">
        <f t="shared" si="222"/>
        <v>7270.605729337537</v>
      </c>
      <c r="Z536" s="64">
        <f t="shared" si="222"/>
        <v>3610.7187483921398</v>
      </c>
      <c r="AA536" s="64">
        <f t="shared" si="222"/>
        <v>4188.3328937878196</v>
      </c>
      <c r="AB536" s="64">
        <f t="shared" si="222"/>
        <v>11476.341539284123</v>
      </c>
      <c r="AC536" s="64">
        <f t="shared" si="222"/>
        <v>0</v>
      </c>
      <c r="AD536" s="64">
        <f t="shared" si="222"/>
        <v>0</v>
      </c>
      <c r="AE536" s="64">
        <f t="shared" si="222"/>
        <v>0</v>
      </c>
      <c r="AF536" s="64">
        <f t="shared" si="223"/>
        <v>430712.79999999993</v>
      </c>
      <c r="AG536" s="59" t="str">
        <f t="shared" si="224"/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1074</v>
      </c>
      <c r="B538" s="61"/>
      <c r="C538" s="45" t="s">
        <v>98</v>
      </c>
      <c r="F538" s="77">
        <f t="shared" ref="F538:M538" si="225">SUM(F525:F537)</f>
        <v>19231654.739999998</v>
      </c>
      <c r="G538" s="63">
        <f t="shared" si="225"/>
        <v>0</v>
      </c>
      <c r="H538" s="63">
        <f t="shared" si="225"/>
        <v>2270132.2702119607</v>
      </c>
      <c r="I538" s="63">
        <f t="shared" si="225"/>
        <v>2378107.2395314742</v>
      </c>
      <c r="J538" s="63">
        <f t="shared" si="225"/>
        <v>1954796.1318681876</v>
      </c>
      <c r="K538" s="63">
        <f t="shared" si="225"/>
        <v>4751464.2592489347</v>
      </c>
      <c r="L538" s="63">
        <f t="shared" si="225"/>
        <v>0</v>
      </c>
      <c r="M538" s="63">
        <f t="shared" si="225"/>
        <v>0</v>
      </c>
      <c r="N538" s="63">
        <f>SUM(N525:N537)</f>
        <v>1173314.1725444531</v>
      </c>
      <c r="O538" s="63">
        <f>SUM(O525:O537)</f>
        <v>0</v>
      </c>
      <c r="P538" s="63">
        <f>SUM(P525:P537)</f>
        <v>0</v>
      </c>
      <c r="Q538" s="63">
        <f t="shared" ref="Q538:AB538" si="226">SUM(Q525:Q537)</f>
        <v>0</v>
      </c>
      <c r="R538" s="63">
        <f t="shared" si="226"/>
        <v>721748.34084863227</v>
      </c>
      <c r="S538" s="63">
        <f t="shared" si="226"/>
        <v>0</v>
      </c>
      <c r="T538" s="63">
        <f t="shared" si="226"/>
        <v>694832.50967875903</v>
      </c>
      <c r="U538" s="63">
        <f t="shared" si="226"/>
        <v>1051837.2476054181</v>
      </c>
      <c r="V538" s="63">
        <f t="shared" si="226"/>
        <v>226025.77411506814</v>
      </c>
      <c r="W538" s="63">
        <f t="shared" si="226"/>
        <v>333775.40793417743</v>
      </c>
      <c r="X538" s="63">
        <f t="shared" si="226"/>
        <v>71325.625471859064</v>
      </c>
      <c r="Y538" s="63">
        <f t="shared" si="226"/>
        <v>49881.744080551056</v>
      </c>
      <c r="Z538" s="63">
        <f t="shared" si="226"/>
        <v>19063.063827999995</v>
      </c>
      <c r="AA538" s="63">
        <f t="shared" si="226"/>
        <v>1505177.7150558745</v>
      </c>
      <c r="AB538" s="63">
        <f t="shared" si="226"/>
        <v>63034.368220811128</v>
      </c>
      <c r="AC538" s="63">
        <f>SUM(AC525:AC537)</f>
        <v>1543411.9927426309</v>
      </c>
      <c r="AD538" s="63">
        <f>SUM(AD525:AD537)</f>
        <v>423726.87701320689</v>
      </c>
      <c r="AE538" s="63">
        <f>SUM(AE525:AE537)</f>
        <v>0</v>
      </c>
      <c r="AF538" s="64">
        <f>SUM(H538:AE538)</f>
        <v>19231654.739999998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1076</v>
      </c>
      <c r="B540" s="61"/>
      <c r="C540" s="45" t="s">
        <v>99</v>
      </c>
      <c r="F540" s="77">
        <f>F490+F499+F514+F538</f>
        <v>71538724.159999996</v>
      </c>
      <c r="G540" s="63"/>
      <c r="H540" s="63">
        <f t="shared" ref="H540:M540" si="227">H490+H499+H514+H538</f>
        <v>8354903.5962755047</v>
      </c>
      <c r="I540" s="63">
        <f t="shared" si="227"/>
        <v>8752290.3350628056</v>
      </c>
      <c r="J540" s="63">
        <f t="shared" si="227"/>
        <v>7194353.14251801</v>
      </c>
      <c r="K540" s="63">
        <f t="shared" si="227"/>
        <v>17970757.827004239</v>
      </c>
      <c r="L540" s="63">
        <f t="shared" si="227"/>
        <v>0</v>
      </c>
      <c r="M540" s="63">
        <f t="shared" si="227"/>
        <v>0</v>
      </c>
      <c r="N540" s="63">
        <f>N490+N499+N514+N538</f>
        <v>4308731.1725444533</v>
      </c>
      <c r="O540" s="63">
        <f>O490+O499+O514+O538</f>
        <v>0</v>
      </c>
      <c r="P540" s="63">
        <f>P490+P499+P514+P538</f>
        <v>0</v>
      </c>
      <c r="Q540" s="63">
        <f t="shared" ref="Q540:AB540" si="228">Q490+Q499+Q514+Q538</f>
        <v>0</v>
      </c>
      <c r="R540" s="63">
        <f t="shared" si="228"/>
        <v>2685252.4144103993</v>
      </c>
      <c r="S540" s="63">
        <f t="shared" si="228"/>
        <v>0</v>
      </c>
      <c r="T540" s="63">
        <f t="shared" si="228"/>
        <v>2551846.5672994298</v>
      </c>
      <c r="U540" s="63">
        <f t="shared" si="228"/>
        <v>3857080.1674658395</v>
      </c>
      <c r="V540" s="63">
        <f t="shared" si="228"/>
        <v>833939.35306513414</v>
      </c>
      <c r="W540" s="63">
        <f t="shared" si="228"/>
        <v>1230591.3174189094</v>
      </c>
      <c r="X540" s="63">
        <f t="shared" si="228"/>
        <v>240840.52471813068</v>
      </c>
      <c r="Y540" s="63">
        <f t="shared" si="228"/>
        <v>168432.38792143884</v>
      </c>
      <c r="Z540" s="63">
        <f t="shared" si="228"/>
        <v>62053.82936306145</v>
      </c>
      <c r="AA540" s="63">
        <f t="shared" si="228"/>
        <v>5681157.6240409669</v>
      </c>
      <c r="AB540" s="63">
        <f t="shared" si="228"/>
        <v>206476.61113584062</v>
      </c>
      <c r="AC540" s="63">
        <f>AC490+AC499+AC514+AC538</f>
        <v>5837418.0327426316</v>
      </c>
      <c r="AD540" s="63">
        <f>AD490+AD499+AD514+AD538</f>
        <v>1602599.2570132071</v>
      </c>
      <c r="AE540" s="63">
        <f>AE490+AE499+AE514+AE538</f>
        <v>0</v>
      </c>
      <c r="AF540" s="64">
        <f>SUM(H540:AE540)</f>
        <v>71538724.159999996</v>
      </c>
      <c r="AG540" s="59" t="str">
        <f>IF(ABS(AF540-F540)&lt;1,"ok","err")</f>
        <v>ok</v>
      </c>
    </row>
    <row r="541" spans="1:33">
      <c r="A541" s="61"/>
      <c r="B541" s="61"/>
      <c r="F541" s="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59"/>
    </row>
    <row r="542" spans="1:33">
      <c r="A542" s="61" t="s">
        <v>19</v>
      </c>
      <c r="B542" s="61"/>
      <c r="C542" s="45" t="s">
        <v>100</v>
      </c>
      <c r="F542" s="81">
        <f t="shared" ref="F542:M542" si="229">F540-F430</f>
        <v>71538724.159999996</v>
      </c>
      <c r="G542" s="65">
        <f t="shared" si="229"/>
        <v>0</v>
      </c>
      <c r="H542" s="65">
        <f t="shared" si="229"/>
        <v>8354903.5962755047</v>
      </c>
      <c r="I542" s="65">
        <f t="shared" si="229"/>
        <v>8752290.3350628056</v>
      </c>
      <c r="J542" s="65">
        <f t="shared" si="229"/>
        <v>7194353.14251801</v>
      </c>
      <c r="K542" s="65">
        <f t="shared" si="229"/>
        <v>17970757.827004239</v>
      </c>
      <c r="L542" s="65">
        <f t="shared" si="229"/>
        <v>0</v>
      </c>
      <c r="M542" s="65">
        <f t="shared" si="229"/>
        <v>0</v>
      </c>
      <c r="N542" s="65">
        <f>N540-N430</f>
        <v>4308731.1725444533</v>
      </c>
      <c r="O542" s="65">
        <f>O540-O430</f>
        <v>0</v>
      </c>
      <c r="P542" s="65">
        <f>P540-P430</f>
        <v>0</v>
      </c>
      <c r="Q542" s="65">
        <f t="shared" ref="Q542:AB542" si="230">Q540-Q430</f>
        <v>0</v>
      </c>
      <c r="R542" s="65">
        <f t="shared" si="230"/>
        <v>2685252.4144103993</v>
      </c>
      <c r="S542" s="65">
        <f t="shared" si="230"/>
        <v>0</v>
      </c>
      <c r="T542" s="65">
        <f t="shared" si="230"/>
        <v>2551846.5672994298</v>
      </c>
      <c r="U542" s="65">
        <f t="shared" si="230"/>
        <v>3857080.1674658395</v>
      </c>
      <c r="V542" s="65">
        <f t="shared" si="230"/>
        <v>833939.35306513414</v>
      </c>
      <c r="W542" s="65">
        <f t="shared" si="230"/>
        <v>1230591.3174189094</v>
      </c>
      <c r="X542" s="65">
        <f t="shared" si="230"/>
        <v>240840.52471813068</v>
      </c>
      <c r="Y542" s="65">
        <f t="shared" si="230"/>
        <v>168432.38792143884</v>
      </c>
      <c r="Z542" s="65">
        <f t="shared" si="230"/>
        <v>62053.82936306145</v>
      </c>
      <c r="AA542" s="65">
        <f t="shared" si="230"/>
        <v>5681157.6240409669</v>
      </c>
      <c r="AB542" s="65">
        <f t="shared" si="230"/>
        <v>206476.61113584062</v>
      </c>
      <c r="AC542" s="65">
        <f>AC540-AC430</f>
        <v>5837418.0327426316</v>
      </c>
      <c r="AD542" s="65">
        <f>AD540-AD430</f>
        <v>1602599.2570132071</v>
      </c>
      <c r="AE542" s="65">
        <f>AE540-AE430</f>
        <v>0</v>
      </c>
      <c r="AF542" s="64">
        <f>SUM(H542:AE542)</f>
        <v>71538724.159999996</v>
      </c>
      <c r="AG542" s="59" t="str">
        <f>IF(ABS(AF542-F542)&lt;1,"ok","err")</f>
        <v>ok</v>
      </c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>
      <c r="A566" s="61"/>
      <c r="B566" s="61"/>
      <c r="F566" s="81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4"/>
      <c r="AG566" s="59"/>
    </row>
    <row r="567" spans="1:33">
      <c r="A567" s="61"/>
      <c r="B567" s="61"/>
      <c r="F567" s="81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4"/>
      <c r="AG567" s="59"/>
    </row>
    <row r="568" spans="1:33" ht="15">
      <c r="A568" s="60" t="s">
        <v>1079</v>
      </c>
      <c r="B568" s="61"/>
      <c r="AG568" s="59"/>
    </row>
    <row r="569" spans="1:33">
      <c r="A569" s="61"/>
      <c r="B569" s="61"/>
      <c r="AG569" s="59"/>
    </row>
    <row r="570" spans="1:33" ht="15">
      <c r="A570" s="66" t="s">
        <v>1080</v>
      </c>
      <c r="B570" s="61"/>
      <c r="AG570" s="59"/>
    </row>
    <row r="571" spans="1:33">
      <c r="A571" s="69" t="s">
        <v>314</v>
      </c>
      <c r="B571" s="61"/>
      <c r="C571" s="45" t="s">
        <v>21</v>
      </c>
      <c r="D571" s="45" t="s">
        <v>201</v>
      </c>
      <c r="F571" s="77">
        <v>51173948.915298611</v>
      </c>
      <c r="H571" s="64">
        <f t="shared" ref="H571:Q578" si="231">IF(VLOOKUP($D571,$C$6:$AE$653,H$2,)=0,0,((VLOOKUP($D571,$C$6:$AE$653,H$2,)/VLOOKUP($D571,$C$6:$AE$653,4,))*$F571))</f>
        <v>17593670.416481867</v>
      </c>
      <c r="I571" s="64">
        <f t="shared" si="231"/>
        <v>18430483.340717282</v>
      </c>
      <c r="J571" s="64">
        <f t="shared" si="231"/>
        <v>15149795.158099467</v>
      </c>
      <c r="K571" s="64">
        <f t="shared" si="231"/>
        <v>0</v>
      </c>
      <c r="L571" s="64">
        <f t="shared" si="231"/>
        <v>0</v>
      </c>
      <c r="M571" s="64">
        <f t="shared" si="231"/>
        <v>0</v>
      </c>
      <c r="N571" s="64">
        <f t="shared" si="231"/>
        <v>0</v>
      </c>
      <c r="O571" s="64">
        <f t="shared" si="231"/>
        <v>0</v>
      </c>
      <c r="P571" s="64">
        <f t="shared" si="231"/>
        <v>0</v>
      </c>
      <c r="Q571" s="64">
        <f t="shared" si="231"/>
        <v>0</v>
      </c>
      <c r="R571" s="64">
        <f t="shared" ref="R571:AE578" si="232">IF(VLOOKUP($D571,$C$6:$AE$653,R$2,)=0,0,((VLOOKUP($D571,$C$6:$AE$653,R$2,)/VLOOKUP($D571,$C$6:$AE$653,4,))*$F571))</f>
        <v>0</v>
      </c>
      <c r="S571" s="64">
        <f t="shared" si="232"/>
        <v>0</v>
      </c>
      <c r="T571" s="64">
        <f t="shared" si="232"/>
        <v>0</v>
      </c>
      <c r="U571" s="64">
        <f t="shared" si="232"/>
        <v>0</v>
      </c>
      <c r="V571" s="64">
        <f t="shared" si="232"/>
        <v>0</v>
      </c>
      <c r="W571" s="64">
        <f t="shared" si="232"/>
        <v>0</v>
      </c>
      <c r="X571" s="64">
        <f t="shared" si="232"/>
        <v>0</v>
      </c>
      <c r="Y571" s="64">
        <f t="shared" si="232"/>
        <v>0</v>
      </c>
      <c r="Z571" s="64">
        <f t="shared" si="232"/>
        <v>0</v>
      </c>
      <c r="AA571" s="64">
        <f t="shared" si="232"/>
        <v>0</v>
      </c>
      <c r="AB571" s="64">
        <f t="shared" si="232"/>
        <v>0</v>
      </c>
      <c r="AC571" s="64">
        <f t="shared" si="232"/>
        <v>0</v>
      </c>
      <c r="AD571" s="64">
        <f t="shared" si="232"/>
        <v>0</v>
      </c>
      <c r="AE571" s="64">
        <f t="shared" si="232"/>
        <v>0</v>
      </c>
      <c r="AF571" s="64">
        <f t="shared" ref="AF571:AF578" si="233">SUM(H571:AE571)</f>
        <v>51173948.915298618</v>
      </c>
      <c r="AG571" s="59" t="str">
        <f t="shared" ref="AG571:AG578" si="234">IF(ABS(AF571-F571)&lt;1,"ok","err")</f>
        <v>ok</v>
      </c>
    </row>
    <row r="572" spans="1:33">
      <c r="A572" s="69" t="s">
        <v>313</v>
      </c>
      <c r="B572" s="61"/>
      <c r="C572" s="45" t="s">
        <v>35</v>
      </c>
      <c r="D572" s="45" t="s">
        <v>201</v>
      </c>
      <c r="F572" s="80">
        <v>4023932.7831582283</v>
      </c>
      <c r="H572" s="64">
        <f t="shared" si="231"/>
        <v>1383433.3418775478</v>
      </c>
      <c r="I572" s="64">
        <f t="shared" si="231"/>
        <v>1449233.989093083</v>
      </c>
      <c r="J572" s="64">
        <f t="shared" si="231"/>
        <v>1191265.452187598</v>
      </c>
      <c r="K572" s="64">
        <f t="shared" si="231"/>
        <v>0</v>
      </c>
      <c r="L572" s="64">
        <f t="shared" si="231"/>
        <v>0</v>
      </c>
      <c r="M572" s="64">
        <f t="shared" si="231"/>
        <v>0</v>
      </c>
      <c r="N572" s="64">
        <f t="shared" si="231"/>
        <v>0</v>
      </c>
      <c r="O572" s="64">
        <f t="shared" si="231"/>
        <v>0</v>
      </c>
      <c r="P572" s="64">
        <f t="shared" si="231"/>
        <v>0</v>
      </c>
      <c r="Q572" s="64">
        <f t="shared" si="231"/>
        <v>0</v>
      </c>
      <c r="R572" s="64">
        <f t="shared" si="232"/>
        <v>0</v>
      </c>
      <c r="S572" s="64">
        <f t="shared" si="232"/>
        <v>0</v>
      </c>
      <c r="T572" s="64">
        <f t="shared" si="232"/>
        <v>0</v>
      </c>
      <c r="U572" s="64">
        <f t="shared" si="232"/>
        <v>0</v>
      </c>
      <c r="V572" s="64">
        <f t="shared" si="232"/>
        <v>0</v>
      </c>
      <c r="W572" s="64">
        <f t="shared" si="232"/>
        <v>0</v>
      </c>
      <c r="X572" s="64">
        <f t="shared" si="232"/>
        <v>0</v>
      </c>
      <c r="Y572" s="64">
        <f t="shared" si="232"/>
        <v>0</v>
      </c>
      <c r="Z572" s="64">
        <f t="shared" si="232"/>
        <v>0</v>
      </c>
      <c r="AA572" s="64">
        <f t="shared" si="232"/>
        <v>0</v>
      </c>
      <c r="AB572" s="64">
        <f t="shared" si="232"/>
        <v>0</v>
      </c>
      <c r="AC572" s="64">
        <f t="shared" si="232"/>
        <v>0</v>
      </c>
      <c r="AD572" s="64">
        <f t="shared" si="232"/>
        <v>0</v>
      </c>
      <c r="AE572" s="64">
        <f t="shared" si="232"/>
        <v>0</v>
      </c>
      <c r="AF572" s="64">
        <f t="shared" si="233"/>
        <v>4023932.7831582287</v>
      </c>
      <c r="AG572" s="59" t="str">
        <f t="shared" si="234"/>
        <v>ok</v>
      </c>
    </row>
    <row r="573" spans="1:33">
      <c r="A573" s="299" t="s">
        <v>312</v>
      </c>
      <c r="B573" s="61"/>
      <c r="C573" s="45" t="s">
        <v>36</v>
      </c>
      <c r="D573" s="45" t="s">
        <v>201</v>
      </c>
      <c r="F573" s="80">
        <v>16258222</v>
      </c>
      <c r="H573" s="64">
        <f t="shared" si="231"/>
        <v>5589597.9397533182</v>
      </c>
      <c r="I573" s="64">
        <f t="shared" si="231"/>
        <v>5855457.6317072697</v>
      </c>
      <c r="J573" s="64">
        <f t="shared" si="231"/>
        <v>4813166.428539414</v>
      </c>
      <c r="K573" s="64">
        <f t="shared" si="231"/>
        <v>0</v>
      </c>
      <c r="L573" s="64">
        <f t="shared" si="231"/>
        <v>0</v>
      </c>
      <c r="M573" s="64">
        <f t="shared" si="231"/>
        <v>0</v>
      </c>
      <c r="N573" s="64">
        <f t="shared" si="231"/>
        <v>0</v>
      </c>
      <c r="O573" s="64">
        <f t="shared" si="231"/>
        <v>0</v>
      </c>
      <c r="P573" s="64">
        <f t="shared" si="231"/>
        <v>0</v>
      </c>
      <c r="Q573" s="64">
        <f t="shared" si="231"/>
        <v>0</v>
      </c>
      <c r="R573" s="64">
        <f t="shared" si="232"/>
        <v>0</v>
      </c>
      <c r="S573" s="64">
        <f t="shared" si="232"/>
        <v>0</v>
      </c>
      <c r="T573" s="64">
        <f t="shared" si="232"/>
        <v>0</v>
      </c>
      <c r="U573" s="64">
        <f t="shared" si="232"/>
        <v>0</v>
      </c>
      <c r="V573" s="64">
        <f t="shared" si="232"/>
        <v>0</v>
      </c>
      <c r="W573" s="64">
        <f t="shared" si="232"/>
        <v>0</v>
      </c>
      <c r="X573" s="64">
        <f t="shared" si="232"/>
        <v>0</v>
      </c>
      <c r="Y573" s="64">
        <f t="shared" si="232"/>
        <v>0</v>
      </c>
      <c r="Z573" s="64">
        <f t="shared" si="232"/>
        <v>0</v>
      </c>
      <c r="AA573" s="64">
        <f t="shared" si="232"/>
        <v>0</v>
      </c>
      <c r="AB573" s="64">
        <f t="shared" si="232"/>
        <v>0</v>
      </c>
      <c r="AC573" s="64">
        <f t="shared" si="232"/>
        <v>0</v>
      </c>
      <c r="AD573" s="64">
        <f t="shared" si="232"/>
        <v>0</v>
      </c>
      <c r="AE573" s="64">
        <f t="shared" si="232"/>
        <v>0</v>
      </c>
      <c r="AF573" s="64">
        <f t="shared" si="233"/>
        <v>16258222.000000002</v>
      </c>
      <c r="AG573" s="59" t="str">
        <f t="shared" si="234"/>
        <v>ok</v>
      </c>
    </row>
    <row r="574" spans="1:33">
      <c r="A574" s="61" t="s">
        <v>315</v>
      </c>
      <c r="B574" s="61"/>
      <c r="C574" s="45" t="s">
        <v>37</v>
      </c>
      <c r="D574" s="45" t="s">
        <v>1170</v>
      </c>
      <c r="F574" s="80">
        <v>9613104.5034347512</v>
      </c>
      <c r="H574" s="64">
        <f t="shared" si="231"/>
        <v>0</v>
      </c>
      <c r="I574" s="64">
        <f t="shared" si="231"/>
        <v>0</v>
      </c>
      <c r="J574" s="64">
        <f t="shared" si="231"/>
        <v>0</v>
      </c>
      <c r="K574" s="64">
        <f t="shared" si="231"/>
        <v>0</v>
      </c>
      <c r="L574" s="64">
        <f t="shared" si="231"/>
        <v>0</v>
      </c>
      <c r="M574" s="64">
        <f t="shared" si="231"/>
        <v>0</v>
      </c>
      <c r="N574" s="64">
        <f t="shared" si="231"/>
        <v>9613104.5034347512</v>
      </c>
      <c r="O574" s="64">
        <f t="shared" si="231"/>
        <v>0</v>
      </c>
      <c r="P574" s="64">
        <f t="shared" si="231"/>
        <v>0</v>
      </c>
      <c r="Q574" s="64">
        <f t="shared" si="231"/>
        <v>0</v>
      </c>
      <c r="R574" s="64">
        <f t="shared" si="232"/>
        <v>0</v>
      </c>
      <c r="S574" s="64">
        <f t="shared" si="232"/>
        <v>0</v>
      </c>
      <c r="T574" s="64">
        <f t="shared" si="232"/>
        <v>0</v>
      </c>
      <c r="U574" s="64">
        <f t="shared" si="232"/>
        <v>0</v>
      </c>
      <c r="V574" s="64">
        <f t="shared" si="232"/>
        <v>0</v>
      </c>
      <c r="W574" s="64">
        <f t="shared" si="232"/>
        <v>0</v>
      </c>
      <c r="X574" s="64">
        <f t="shared" si="232"/>
        <v>0</v>
      </c>
      <c r="Y574" s="64">
        <f t="shared" si="232"/>
        <v>0</v>
      </c>
      <c r="Z574" s="64">
        <f t="shared" si="232"/>
        <v>0</v>
      </c>
      <c r="AA574" s="64">
        <f t="shared" si="232"/>
        <v>0</v>
      </c>
      <c r="AB574" s="64">
        <f t="shared" si="232"/>
        <v>0</v>
      </c>
      <c r="AC574" s="64">
        <f t="shared" si="232"/>
        <v>0</v>
      </c>
      <c r="AD574" s="64">
        <f t="shared" si="232"/>
        <v>0</v>
      </c>
      <c r="AE574" s="64">
        <f t="shared" si="232"/>
        <v>0</v>
      </c>
      <c r="AF574" s="64">
        <f t="shared" si="233"/>
        <v>9613104.5034347512</v>
      </c>
      <c r="AG574" s="59" t="str">
        <f t="shared" si="234"/>
        <v>ok</v>
      </c>
    </row>
    <row r="575" spans="1:33">
      <c r="A575" s="61" t="s">
        <v>316</v>
      </c>
      <c r="B575" s="61"/>
      <c r="C575" s="45" t="s">
        <v>38</v>
      </c>
      <c r="D575" s="45" t="s">
        <v>1170</v>
      </c>
      <c r="F575" s="80"/>
      <c r="H575" s="64">
        <f t="shared" si="231"/>
        <v>0</v>
      </c>
      <c r="I575" s="64">
        <f t="shared" si="231"/>
        <v>0</v>
      </c>
      <c r="J575" s="64">
        <f t="shared" si="231"/>
        <v>0</v>
      </c>
      <c r="K575" s="64">
        <f t="shared" si="231"/>
        <v>0</v>
      </c>
      <c r="L575" s="64">
        <f t="shared" si="231"/>
        <v>0</v>
      </c>
      <c r="M575" s="64">
        <f t="shared" si="231"/>
        <v>0</v>
      </c>
      <c r="N575" s="64">
        <f t="shared" si="231"/>
        <v>0</v>
      </c>
      <c r="O575" s="64">
        <f t="shared" si="231"/>
        <v>0</v>
      </c>
      <c r="P575" s="64">
        <f t="shared" si="231"/>
        <v>0</v>
      </c>
      <c r="Q575" s="64">
        <f t="shared" si="231"/>
        <v>0</v>
      </c>
      <c r="R575" s="64">
        <f t="shared" si="232"/>
        <v>0</v>
      </c>
      <c r="S575" s="64">
        <f t="shared" si="232"/>
        <v>0</v>
      </c>
      <c r="T575" s="64">
        <f t="shared" si="232"/>
        <v>0</v>
      </c>
      <c r="U575" s="64">
        <f t="shared" si="232"/>
        <v>0</v>
      </c>
      <c r="V575" s="64">
        <f t="shared" si="232"/>
        <v>0</v>
      </c>
      <c r="W575" s="64">
        <f t="shared" si="232"/>
        <v>0</v>
      </c>
      <c r="X575" s="64">
        <f t="shared" si="232"/>
        <v>0</v>
      </c>
      <c r="Y575" s="64">
        <f t="shared" si="232"/>
        <v>0</v>
      </c>
      <c r="Z575" s="64">
        <f t="shared" si="232"/>
        <v>0</v>
      </c>
      <c r="AA575" s="64">
        <f t="shared" si="232"/>
        <v>0</v>
      </c>
      <c r="AB575" s="64">
        <f t="shared" si="232"/>
        <v>0</v>
      </c>
      <c r="AC575" s="64">
        <f t="shared" si="232"/>
        <v>0</v>
      </c>
      <c r="AD575" s="64">
        <f t="shared" si="232"/>
        <v>0</v>
      </c>
      <c r="AE575" s="64">
        <f t="shared" si="232"/>
        <v>0</v>
      </c>
      <c r="AF575" s="64">
        <f t="shared" si="233"/>
        <v>0</v>
      </c>
      <c r="AG575" s="59" t="str">
        <f t="shared" si="234"/>
        <v>ok</v>
      </c>
    </row>
    <row r="576" spans="1:33">
      <c r="A576" s="61" t="s">
        <v>318</v>
      </c>
      <c r="B576" s="61"/>
      <c r="C576" s="45" t="s">
        <v>39</v>
      </c>
      <c r="D576" s="45" t="s">
        <v>944</v>
      </c>
      <c r="F576" s="80">
        <v>37717920.303745985</v>
      </c>
      <c r="H576" s="64">
        <f t="shared" si="231"/>
        <v>0</v>
      </c>
      <c r="I576" s="64">
        <f t="shared" si="231"/>
        <v>0</v>
      </c>
      <c r="J576" s="64">
        <f t="shared" si="231"/>
        <v>0</v>
      </c>
      <c r="K576" s="64">
        <f t="shared" si="231"/>
        <v>0</v>
      </c>
      <c r="L576" s="64">
        <f t="shared" si="231"/>
        <v>0</v>
      </c>
      <c r="M576" s="64">
        <f t="shared" si="231"/>
        <v>0</v>
      </c>
      <c r="N576" s="64">
        <f t="shared" si="231"/>
        <v>0</v>
      </c>
      <c r="O576" s="64">
        <f t="shared" si="231"/>
        <v>0</v>
      </c>
      <c r="P576" s="64">
        <f t="shared" si="231"/>
        <v>0</v>
      </c>
      <c r="Q576" s="64">
        <f t="shared" si="231"/>
        <v>0</v>
      </c>
      <c r="R576" s="64">
        <f t="shared" si="232"/>
        <v>4226004.5194951259</v>
      </c>
      <c r="S576" s="64">
        <f t="shared" si="232"/>
        <v>0</v>
      </c>
      <c r="T576" s="64">
        <f t="shared" si="232"/>
        <v>7226902.4154130509</v>
      </c>
      <c r="U576" s="64">
        <f t="shared" si="232"/>
        <v>11500687.748476405</v>
      </c>
      <c r="V576" s="64">
        <f t="shared" si="232"/>
        <v>1986702.6328084341</v>
      </c>
      <c r="W576" s="64">
        <f t="shared" si="232"/>
        <v>3019104.7062325925</v>
      </c>
      <c r="X576" s="64">
        <f t="shared" si="232"/>
        <v>2746222.4386343779</v>
      </c>
      <c r="Y576" s="64">
        <f t="shared" si="232"/>
        <v>1920577.1273085256</v>
      </c>
      <c r="Z576" s="64">
        <f t="shared" si="232"/>
        <v>953794.51169027481</v>
      </c>
      <c r="AA576" s="64">
        <f t="shared" si="232"/>
        <v>1106374.9922381977</v>
      </c>
      <c r="AB576" s="64">
        <f t="shared" si="232"/>
        <v>3031549.2114490019</v>
      </c>
      <c r="AC576" s="64">
        <f t="shared" si="232"/>
        <v>0</v>
      </c>
      <c r="AD576" s="64">
        <f t="shared" si="232"/>
        <v>0</v>
      </c>
      <c r="AE576" s="64">
        <f t="shared" si="232"/>
        <v>0</v>
      </c>
      <c r="AF576" s="64">
        <f t="shared" si="233"/>
        <v>37717920.303745992</v>
      </c>
      <c r="AG576" s="59" t="str">
        <f t="shared" si="234"/>
        <v>ok</v>
      </c>
    </row>
    <row r="577" spans="1:33">
      <c r="A577" s="69" t="s">
        <v>619</v>
      </c>
      <c r="B577" s="61"/>
      <c r="C577" s="45" t="s">
        <v>40</v>
      </c>
      <c r="D577" s="45" t="s">
        <v>967</v>
      </c>
      <c r="F577" s="80">
        <f>339019+19716379</f>
        <v>20055398</v>
      </c>
      <c r="H577" s="64">
        <f t="shared" si="231"/>
        <v>3867464.1916185524</v>
      </c>
      <c r="I577" s="64">
        <f t="shared" si="231"/>
        <v>4051413.5292469454</v>
      </c>
      <c r="J577" s="64">
        <f t="shared" si="231"/>
        <v>3330248.2595909671</v>
      </c>
      <c r="K577" s="64">
        <f t="shared" si="231"/>
        <v>0</v>
      </c>
      <c r="L577" s="64">
        <f t="shared" si="231"/>
        <v>0</v>
      </c>
      <c r="M577" s="64">
        <f t="shared" si="231"/>
        <v>0</v>
      </c>
      <c r="N577" s="64">
        <f t="shared" si="231"/>
        <v>2157673.8292246223</v>
      </c>
      <c r="O577" s="64">
        <f t="shared" si="231"/>
        <v>0</v>
      </c>
      <c r="P577" s="64">
        <f t="shared" si="231"/>
        <v>0</v>
      </c>
      <c r="Q577" s="64">
        <f t="shared" si="231"/>
        <v>0</v>
      </c>
      <c r="R577" s="64">
        <f t="shared" si="232"/>
        <v>744924.58158686874</v>
      </c>
      <c r="S577" s="64">
        <f t="shared" si="232"/>
        <v>0</v>
      </c>
      <c r="T577" s="64">
        <f t="shared" si="232"/>
        <v>1273897.6575003415</v>
      </c>
      <c r="U577" s="64">
        <f t="shared" si="232"/>
        <v>2027244.6395818139</v>
      </c>
      <c r="V577" s="64">
        <f t="shared" si="232"/>
        <v>350199.25337400247</v>
      </c>
      <c r="W577" s="64">
        <f t="shared" si="232"/>
        <v>532182.4195128748</v>
      </c>
      <c r="X577" s="64">
        <f t="shared" si="232"/>
        <v>484081.02537679829</v>
      </c>
      <c r="Y577" s="64">
        <f t="shared" si="232"/>
        <v>338543.20466664701</v>
      </c>
      <c r="Z577" s="64">
        <f t="shared" si="232"/>
        <v>168126.88539803377</v>
      </c>
      <c r="AA577" s="64">
        <f t="shared" si="232"/>
        <v>195022.49095315128</v>
      </c>
      <c r="AB577" s="64">
        <f t="shared" si="232"/>
        <v>534376.03236838046</v>
      </c>
      <c r="AC577" s="64">
        <f t="shared" si="232"/>
        <v>0</v>
      </c>
      <c r="AD577" s="64">
        <f t="shared" si="232"/>
        <v>0</v>
      </c>
      <c r="AE577" s="64">
        <f t="shared" si="232"/>
        <v>0</v>
      </c>
      <c r="AF577" s="64">
        <f t="shared" si="233"/>
        <v>20055398</v>
      </c>
      <c r="AG577" s="59" t="str">
        <f t="shared" si="234"/>
        <v>ok</v>
      </c>
    </row>
    <row r="578" spans="1:33">
      <c r="A578" s="69" t="s">
        <v>317</v>
      </c>
      <c r="B578" s="61"/>
      <c r="C578" s="45" t="s">
        <v>22</v>
      </c>
      <c r="D578" s="45" t="s">
        <v>946</v>
      </c>
      <c r="F578" s="80"/>
      <c r="H578" s="64">
        <f t="shared" si="231"/>
        <v>0</v>
      </c>
      <c r="I578" s="64">
        <f t="shared" si="231"/>
        <v>0</v>
      </c>
      <c r="J578" s="64">
        <f t="shared" si="231"/>
        <v>0</v>
      </c>
      <c r="K578" s="64">
        <f t="shared" si="231"/>
        <v>0</v>
      </c>
      <c r="L578" s="64">
        <f t="shared" si="231"/>
        <v>0</v>
      </c>
      <c r="M578" s="64">
        <f t="shared" si="231"/>
        <v>0</v>
      </c>
      <c r="N578" s="64">
        <f t="shared" si="231"/>
        <v>0</v>
      </c>
      <c r="O578" s="64">
        <f t="shared" si="231"/>
        <v>0</v>
      </c>
      <c r="P578" s="64">
        <f t="shared" si="231"/>
        <v>0</v>
      </c>
      <c r="Q578" s="64">
        <f t="shared" si="231"/>
        <v>0</v>
      </c>
      <c r="R578" s="64">
        <f t="shared" si="232"/>
        <v>0</v>
      </c>
      <c r="S578" s="64">
        <f t="shared" si="232"/>
        <v>0</v>
      </c>
      <c r="T578" s="64">
        <f t="shared" si="232"/>
        <v>0</v>
      </c>
      <c r="U578" s="64">
        <f t="shared" si="232"/>
        <v>0</v>
      </c>
      <c r="V578" s="64">
        <f t="shared" si="232"/>
        <v>0</v>
      </c>
      <c r="W578" s="64">
        <f t="shared" si="232"/>
        <v>0</v>
      </c>
      <c r="X578" s="64">
        <f t="shared" si="232"/>
        <v>0</v>
      </c>
      <c r="Y578" s="64">
        <f t="shared" si="232"/>
        <v>0</v>
      </c>
      <c r="Z578" s="64">
        <f t="shared" si="232"/>
        <v>0</v>
      </c>
      <c r="AA578" s="64">
        <f t="shared" si="232"/>
        <v>0</v>
      </c>
      <c r="AB578" s="64">
        <f t="shared" si="232"/>
        <v>0</v>
      </c>
      <c r="AC578" s="64">
        <f t="shared" si="232"/>
        <v>0</v>
      </c>
      <c r="AD578" s="64">
        <f t="shared" si="232"/>
        <v>0</v>
      </c>
      <c r="AE578" s="64">
        <f t="shared" si="232"/>
        <v>0</v>
      </c>
      <c r="AF578" s="64">
        <f t="shared" si="233"/>
        <v>0</v>
      </c>
      <c r="AG578" s="59" t="str">
        <f t="shared" si="234"/>
        <v>ok</v>
      </c>
    </row>
    <row r="579" spans="1:33">
      <c r="A579" s="61"/>
      <c r="B579" s="61"/>
      <c r="F579" s="80"/>
      <c r="AG579" s="59"/>
    </row>
    <row r="580" spans="1:33">
      <c r="A580" s="61" t="s">
        <v>1081</v>
      </c>
      <c r="B580" s="61"/>
      <c r="C580" s="45" t="s">
        <v>1082</v>
      </c>
      <c r="F580" s="77">
        <f>SUM(F571:F579)</f>
        <v>138842526.50563759</v>
      </c>
      <c r="H580" s="64">
        <f t="shared" ref="H580:M580" si="235">SUM(H571:H579)</f>
        <v>28434165.889731288</v>
      </c>
      <c r="I580" s="64">
        <f t="shared" si="235"/>
        <v>29786588.490764581</v>
      </c>
      <c r="J580" s="64">
        <f t="shared" si="235"/>
        <v>24484475.298417449</v>
      </c>
      <c r="K580" s="64">
        <f t="shared" si="235"/>
        <v>0</v>
      </c>
      <c r="L580" s="64">
        <f t="shared" si="235"/>
        <v>0</v>
      </c>
      <c r="M580" s="64">
        <f t="shared" si="235"/>
        <v>0</v>
      </c>
      <c r="N580" s="64">
        <f>SUM(N571:N579)</f>
        <v>11770778.332659373</v>
      </c>
      <c r="O580" s="64">
        <f>SUM(O571:O579)</f>
        <v>0</v>
      </c>
      <c r="P580" s="64">
        <f>SUM(P571:P579)</f>
        <v>0</v>
      </c>
      <c r="Q580" s="64">
        <f t="shared" ref="Q580:AB580" si="236">SUM(Q571:Q579)</f>
        <v>0</v>
      </c>
      <c r="R580" s="64">
        <f t="shared" si="236"/>
        <v>4970929.1010819944</v>
      </c>
      <c r="S580" s="64">
        <f t="shared" si="236"/>
        <v>0</v>
      </c>
      <c r="T580" s="64">
        <f t="shared" si="236"/>
        <v>8500800.0729133934</v>
      </c>
      <c r="U580" s="64">
        <f t="shared" si="236"/>
        <v>13527932.388058219</v>
      </c>
      <c r="V580" s="64">
        <f t="shared" si="236"/>
        <v>2336901.8861824367</v>
      </c>
      <c r="W580" s="64">
        <f t="shared" si="236"/>
        <v>3551287.1257454674</v>
      </c>
      <c r="X580" s="64">
        <f t="shared" si="236"/>
        <v>3230303.464011176</v>
      </c>
      <c r="Y580" s="64">
        <f t="shared" si="236"/>
        <v>2259120.3319751727</v>
      </c>
      <c r="Z580" s="64">
        <f t="shared" si="236"/>
        <v>1121921.3970883086</v>
      </c>
      <c r="AA580" s="64">
        <f t="shared" si="236"/>
        <v>1301397.4831913491</v>
      </c>
      <c r="AB580" s="64">
        <f t="shared" si="236"/>
        <v>3565925.2438173825</v>
      </c>
      <c r="AC580" s="64">
        <f>SUM(AC571:AC579)</f>
        <v>0</v>
      </c>
      <c r="AD580" s="64">
        <f>SUM(AD571:AD579)</f>
        <v>0</v>
      </c>
      <c r="AE580" s="64">
        <f>SUM(AE571:AE579)</f>
        <v>0</v>
      </c>
      <c r="AF580" s="64">
        <f>SUM(H580:AE580)</f>
        <v>138842526.50563762</v>
      </c>
      <c r="AG580" s="59" t="str">
        <f>IF(ABS(AF580-F580)&lt;1,"ok","err")</f>
        <v>ok</v>
      </c>
    </row>
    <row r="581" spans="1:33">
      <c r="A581" s="61"/>
      <c r="B581" s="61"/>
      <c r="F581" s="77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59"/>
    </row>
    <row r="582" spans="1:33" ht="15">
      <c r="A582" s="66" t="s">
        <v>759</v>
      </c>
      <c r="B582" s="61"/>
      <c r="F582" s="77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59"/>
    </row>
    <row r="583" spans="1:33" ht="15">
      <c r="A583" s="66"/>
      <c r="B583" s="61" t="s">
        <v>721</v>
      </c>
      <c r="C583" s="95" t="s">
        <v>760</v>
      </c>
      <c r="D583" s="45" t="s">
        <v>638</v>
      </c>
      <c r="F583" s="77">
        <v>0</v>
      </c>
      <c r="H583" s="64">
        <f t="shared" ref="H583:Q586" si="237">IF(VLOOKUP($D583,$C$6:$AE$653,H$2,)=0,0,((VLOOKUP($D583,$C$6:$AE$653,H$2,)/VLOOKUP($D583,$C$6:$AE$653,4,))*$F583))</f>
        <v>0</v>
      </c>
      <c r="I583" s="64">
        <f t="shared" si="237"/>
        <v>0</v>
      </c>
      <c r="J583" s="64">
        <f t="shared" si="237"/>
        <v>0</v>
      </c>
      <c r="K583" s="64">
        <f t="shared" si="237"/>
        <v>0</v>
      </c>
      <c r="L583" s="64">
        <f t="shared" si="237"/>
        <v>0</v>
      </c>
      <c r="M583" s="64">
        <f t="shared" si="237"/>
        <v>0</v>
      </c>
      <c r="N583" s="64">
        <f t="shared" si="237"/>
        <v>0</v>
      </c>
      <c r="O583" s="64">
        <f t="shared" si="237"/>
        <v>0</v>
      </c>
      <c r="P583" s="64">
        <f t="shared" si="237"/>
        <v>0</v>
      </c>
      <c r="Q583" s="64">
        <f t="shared" si="237"/>
        <v>0</v>
      </c>
      <c r="R583" s="64">
        <f t="shared" ref="R583:AE586" si="238">IF(VLOOKUP($D583,$C$6:$AE$653,R$2,)=0,0,((VLOOKUP($D583,$C$6:$AE$653,R$2,)/VLOOKUP($D583,$C$6:$AE$653,4,))*$F583))</f>
        <v>0</v>
      </c>
      <c r="S583" s="64">
        <f t="shared" si="238"/>
        <v>0</v>
      </c>
      <c r="T583" s="64">
        <f t="shared" si="238"/>
        <v>0</v>
      </c>
      <c r="U583" s="64">
        <f t="shared" si="238"/>
        <v>0</v>
      </c>
      <c r="V583" s="64">
        <f t="shared" si="238"/>
        <v>0</v>
      </c>
      <c r="W583" s="64">
        <f t="shared" si="238"/>
        <v>0</v>
      </c>
      <c r="X583" s="64">
        <f t="shared" si="238"/>
        <v>0</v>
      </c>
      <c r="Y583" s="64">
        <f t="shared" si="238"/>
        <v>0</v>
      </c>
      <c r="Z583" s="64">
        <f t="shared" si="238"/>
        <v>0</v>
      </c>
      <c r="AA583" s="64">
        <f t="shared" si="238"/>
        <v>0</v>
      </c>
      <c r="AB583" s="64">
        <f t="shared" si="238"/>
        <v>0</v>
      </c>
      <c r="AC583" s="64">
        <f t="shared" si="238"/>
        <v>0</v>
      </c>
      <c r="AD583" s="64">
        <f t="shared" si="238"/>
        <v>0</v>
      </c>
      <c r="AE583" s="64">
        <f t="shared" si="238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1139</v>
      </c>
      <c r="C584" s="95" t="s">
        <v>761</v>
      </c>
      <c r="D584" s="45" t="s">
        <v>1170</v>
      </c>
      <c r="F584" s="80">
        <v>0</v>
      </c>
      <c r="H584" s="64">
        <f t="shared" si="237"/>
        <v>0</v>
      </c>
      <c r="I584" s="64">
        <f t="shared" si="237"/>
        <v>0</v>
      </c>
      <c r="J584" s="64">
        <f t="shared" si="237"/>
        <v>0</v>
      </c>
      <c r="K584" s="64">
        <f t="shared" si="237"/>
        <v>0</v>
      </c>
      <c r="L584" s="64">
        <f t="shared" si="237"/>
        <v>0</v>
      </c>
      <c r="M584" s="64">
        <f t="shared" si="237"/>
        <v>0</v>
      </c>
      <c r="N584" s="64">
        <f t="shared" si="237"/>
        <v>0</v>
      </c>
      <c r="O584" s="64">
        <f t="shared" si="237"/>
        <v>0</v>
      </c>
      <c r="P584" s="64">
        <f t="shared" si="237"/>
        <v>0</v>
      </c>
      <c r="Q584" s="64">
        <f t="shared" si="237"/>
        <v>0</v>
      </c>
      <c r="R584" s="64">
        <f t="shared" si="238"/>
        <v>0</v>
      </c>
      <c r="S584" s="64">
        <f t="shared" si="238"/>
        <v>0</v>
      </c>
      <c r="T584" s="64">
        <f t="shared" si="238"/>
        <v>0</v>
      </c>
      <c r="U584" s="64">
        <f t="shared" si="238"/>
        <v>0</v>
      </c>
      <c r="V584" s="64">
        <f t="shared" si="238"/>
        <v>0</v>
      </c>
      <c r="W584" s="64">
        <f t="shared" si="238"/>
        <v>0</v>
      </c>
      <c r="X584" s="64">
        <f t="shared" si="238"/>
        <v>0</v>
      </c>
      <c r="Y584" s="64">
        <f t="shared" si="238"/>
        <v>0</v>
      </c>
      <c r="Z584" s="64">
        <f t="shared" si="238"/>
        <v>0</v>
      </c>
      <c r="AA584" s="64">
        <f t="shared" si="238"/>
        <v>0</v>
      </c>
      <c r="AB584" s="64">
        <f t="shared" si="238"/>
        <v>0</v>
      </c>
      <c r="AC584" s="64">
        <f t="shared" si="238"/>
        <v>0</v>
      </c>
      <c r="AD584" s="64">
        <f t="shared" si="238"/>
        <v>0</v>
      </c>
      <c r="AE584" s="64">
        <f t="shared" si="238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 t="s">
        <v>947</v>
      </c>
      <c r="C585" s="95" t="s">
        <v>762</v>
      </c>
      <c r="D585" s="45" t="s">
        <v>944</v>
      </c>
      <c r="F585" s="80">
        <v>0</v>
      </c>
      <c r="H585" s="64">
        <f t="shared" si="237"/>
        <v>0</v>
      </c>
      <c r="I585" s="64">
        <f t="shared" si="237"/>
        <v>0</v>
      </c>
      <c r="J585" s="64">
        <f t="shared" si="237"/>
        <v>0</v>
      </c>
      <c r="K585" s="64">
        <f t="shared" si="237"/>
        <v>0</v>
      </c>
      <c r="L585" s="64">
        <f t="shared" si="237"/>
        <v>0</v>
      </c>
      <c r="M585" s="64">
        <f t="shared" si="237"/>
        <v>0</v>
      </c>
      <c r="N585" s="64">
        <f t="shared" si="237"/>
        <v>0</v>
      </c>
      <c r="O585" s="64">
        <f t="shared" si="237"/>
        <v>0</v>
      </c>
      <c r="P585" s="64">
        <f t="shared" si="237"/>
        <v>0</v>
      </c>
      <c r="Q585" s="64">
        <f t="shared" si="237"/>
        <v>0</v>
      </c>
      <c r="R585" s="64">
        <f t="shared" si="238"/>
        <v>0</v>
      </c>
      <c r="S585" s="64">
        <f t="shared" si="238"/>
        <v>0</v>
      </c>
      <c r="T585" s="64">
        <f t="shared" si="238"/>
        <v>0</v>
      </c>
      <c r="U585" s="64">
        <f t="shared" si="238"/>
        <v>0</v>
      </c>
      <c r="V585" s="64">
        <f t="shared" si="238"/>
        <v>0</v>
      </c>
      <c r="W585" s="64">
        <f t="shared" si="238"/>
        <v>0</v>
      </c>
      <c r="X585" s="64">
        <f t="shared" si="238"/>
        <v>0</v>
      </c>
      <c r="Y585" s="64">
        <f t="shared" si="238"/>
        <v>0</v>
      </c>
      <c r="Z585" s="64">
        <f t="shared" si="238"/>
        <v>0</v>
      </c>
      <c r="AA585" s="64">
        <f t="shared" si="238"/>
        <v>0</v>
      </c>
      <c r="AB585" s="64">
        <f t="shared" si="238"/>
        <v>0</v>
      </c>
      <c r="AC585" s="64">
        <f t="shared" si="238"/>
        <v>0</v>
      </c>
      <c r="AD585" s="64">
        <f t="shared" si="238"/>
        <v>0</v>
      </c>
      <c r="AE585" s="64">
        <f t="shared" si="238"/>
        <v>0</v>
      </c>
      <c r="AF585" s="64">
        <f>SUM(H585:AE585)</f>
        <v>0</v>
      </c>
      <c r="AG585" s="59" t="str">
        <f>IF(ABS(AF585-F585)&lt;1,"ok","err")</f>
        <v>ok</v>
      </c>
    </row>
    <row r="586" spans="1:33" ht="15">
      <c r="A586" s="66"/>
      <c r="B586" s="61" t="s">
        <v>722</v>
      </c>
      <c r="C586" s="95" t="s">
        <v>763</v>
      </c>
      <c r="D586" s="45" t="s">
        <v>967</v>
      </c>
      <c r="F586" s="80">
        <v>0</v>
      </c>
      <c r="H586" s="64">
        <f t="shared" si="237"/>
        <v>0</v>
      </c>
      <c r="I586" s="64">
        <f t="shared" si="237"/>
        <v>0</v>
      </c>
      <c r="J586" s="64">
        <f t="shared" si="237"/>
        <v>0</v>
      </c>
      <c r="K586" s="64">
        <f t="shared" si="237"/>
        <v>0</v>
      </c>
      <c r="L586" s="64">
        <f t="shared" si="237"/>
        <v>0</v>
      </c>
      <c r="M586" s="64">
        <f t="shared" si="237"/>
        <v>0</v>
      </c>
      <c r="N586" s="64">
        <f t="shared" si="237"/>
        <v>0</v>
      </c>
      <c r="O586" s="64">
        <f t="shared" si="237"/>
        <v>0</v>
      </c>
      <c r="P586" s="64">
        <f t="shared" si="237"/>
        <v>0</v>
      </c>
      <c r="Q586" s="64">
        <f t="shared" si="237"/>
        <v>0</v>
      </c>
      <c r="R586" s="64">
        <f t="shared" si="238"/>
        <v>0</v>
      </c>
      <c r="S586" s="64">
        <f t="shared" si="238"/>
        <v>0</v>
      </c>
      <c r="T586" s="64">
        <f t="shared" si="238"/>
        <v>0</v>
      </c>
      <c r="U586" s="64">
        <f t="shared" si="238"/>
        <v>0</v>
      </c>
      <c r="V586" s="64">
        <f t="shared" si="238"/>
        <v>0</v>
      </c>
      <c r="W586" s="64">
        <f t="shared" si="238"/>
        <v>0</v>
      </c>
      <c r="X586" s="64">
        <f t="shared" si="238"/>
        <v>0</v>
      </c>
      <c r="Y586" s="64">
        <f t="shared" si="238"/>
        <v>0</v>
      </c>
      <c r="Z586" s="64">
        <f t="shared" si="238"/>
        <v>0</v>
      </c>
      <c r="AA586" s="64">
        <f t="shared" si="238"/>
        <v>0</v>
      </c>
      <c r="AB586" s="64">
        <f t="shared" si="238"/>
        <v>0</v>
      </c>
      <c r="AC586" s="64">
        <f t="shared" si="238"/>
        <v>0</v>
      </c>
      <c r="AD586" s="64">
        <f t="shared" si="238"/>
        <v>0</v>
      </c>
      <c r="AE586" s="64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ht="15">
      <c r="A587" s="66"/>
      <c r="B587" s="61"/>
      <c r="F587" s="77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59"/>
    </row>
    <row r="588" spans="1:33">
      <c r="A588" s="61" t="s">
        <v>758</v>
      </c>
      <c r="B588" s="61"/>
      <c r="C588" s="95" t="s">
        <v>765</v>
      </c>
      <c r="F588" s="77">
        <f>SUM(F583:F587)</f>
        <v>0</v>
      </c>
      <c r="H588" s="63">
        <f t="shared" ref="H588:AE588" si="239">SUM(H583:H587)</f>
        <v>0</v>
      </c>
      <c r="I588" s="63">
        <f t="shared" si="239"/>
        <v>0</v>
      </c>
      <c r="J588" s="63">
        <f t="shared" si="239"/>
        <v>0</v>
      </c>
      <c r="K588" s="63">
        <f t="shared" si="239"/>
        <v>0</v>
      </c>
      <c r="L588" s="63">
        <f t="shared" si="239"/>
        <v>0</v>
      </c>
      <c r="M588" s="63">
        <f t="shared" si="239"/>
        <v>0</v>
      </c>
      <c r="N588" s="63">
        <f t="shared" si="239"/>
        <v>0</v>
      </c>
      <c r="O588" s="63">
        <f t="shared" si="239"/>
        <v>0</v>
      </c>
      <c r="P588" s="63">
        <f t="shared" si="239"/>
        <v>0</v>
      </c>
      <c r="Q588" s="63">
        <f t="shared" si="239"/>
        <v>0</v>
      </c>
      <c r="R588" s="63">
        <f t="shared" si="239"/>
        <v>0</v>
      </c>
      <c r="S588" s="63">
        <f t="shared" si="239"/>
        <v>0</v>
      </c>
      <c r="T588" s="63">
        <f t="shared" si="239"/>
        <v>0</v>
      </c>
      <c r="U588" s="63">
        <f t="shared" si="239"/>
        <v>0</v>
      </c>
      <c r="V588" s="63">
        <f t="shared" si="239"/>
        <v>0</v>
      </c>
      <c r="W588" s="63">
        <f t="shared" si="239"/>
        <v>0</v>
      </c>
      <c r="X588" s="63">
        <f t="shared" si="239"/>
        <v>0</v>
      </c>
      <c r="Y588" s="63">
        <f t="shared" si="239"/>
        <v>0</v>
      </c>
      <c r="Z588" s="63">
        <f t="shared" si="239"/>
        <v>0</v>
      </c>
      <c r="AA588" s="63">
        <f t="shared" si="239"/>
        <v>0</v>
      </c>
      <c r="AB588" s="63">
        <f t="shared" si="239"/>
        <v>0</v>
      </c>
      <c r="AC588" s="63">
        <f t="shared" si="239"/>
        <v>0</v>
      </c>
      <c r="AD588" s="63">
        <f t="shared" si="239"/>
        <v>0</v>
      </c>
      <c r="AE588" s="63">
        <f t="shared" si="239"/>
        <v>0</v>
      </c>
      <c r="AF588" s="64">
        <f>SUM(H588:AE588)</f>
        <v>0</v>
      </c>
      <c r="AG588" s="59" t="str">
        <f>IF(ABS(AF588-F588)&lt;1,"ok","err")</f>
        <v>ok</v>
      </c>
    </row>
    <row r="589" spans="1:33">
      <c r="A589" s="61"/>
      <c r="B589" s="61"/>
      <c r="F589" s="80"/>
      <c r="AG589" s="59"/>
    </row>
    <row r="590" spans="1:33" ht="15">
      <c r="A590" s="66" t="s">
        <v>728</v>
      </c>
      <c r="B590" s="61"/>
      <c r="F590" s="77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59"/>
    </row>
    <row r="591" spans="1:33" ht="15">
      <c r="A591" s="66"/>
      <c r="B591" s="61" t="s">
        <v>721</v>
      </c>
      <c r="C591" s="45" t="s">
        <v>729</v>
      </c>
      <c r="D591" s="45" t="s">
        <v>638</v>
      </c>
      <c r="F591" s="77">
        <v>0</v>
      </c>
      <c r="H591" s="64">
        <f t="shared" ref="H591:Q594" si="240">IF(VLOOKUP($D591,$C$6:$AE$653,H$2,)=0,0,((VLOOKUP($D591,$C$6:$AE$653,H$2,)/VLOOKUP($D591,$C$6:$AE$653,4,))*$F591))</f>
        <v>0</v>
      </c>
      <c r="I591" s="64">
        <f t="shared" si="240"/>
        <v>0</v>
      </c>
      <c r="J591" s="64">
        <f t="shared" si="240"/>
        <v>0</v>
      </c>
      <c r="K591" s="64">
        <f t="shared" si="240"/>
        <v>0</v>
      </c>
      <c r="L591" s="64">
        <f t="shared" si="240"/>
        <v>0</v>
      </c>
      <c r="M591" s="64">
        <f t="shared" si="240"/>
        <v>0</v>
      </c>
      <c r="N591" s="64">
        <f t="shared" si="240"/>
        <v>0</v>
      </c>
      <c r="O591" s="64">
        <f t="shared" si="240"/>
        <v>0</v>
      </c>
      <c r="P591" s="64">
        <f t="shared" si="240"/>
        <v>0</v>
      </c>
      <c r="Q591" s="64">
        <f t="shared" si="240"/>
        <v>0</v>
      </c>
      <c r="R591" s="64">
        <f t="shared" ref="R591:AE594" si="241">IF(VLOOKUP($D591,$C$6:$AE$653,R$2,)=0,0,((VLOOKUP($D591,$C$6:$AE$653,R$2,)/VLOOKUP($D591,$C$6:$AE$653,4,))*$F591))</f>
        <v>0</v>
      </c>
      <c r="S591" s="64">
        <f t="shared" si="241"/>
        <v>0</v>
      </c>
      <c r="T591" s="64">
        <f t="shared" si="241"/>
        <v>0</v>
      </c>
      <c r="U591" s="64">
        <f t="shared" si="241"/>
        <v>0</v>
      </c>
      <c r="V591" s="64">
        <f t="shared" si="241"/>
        <v>0</v>
      </c>
      <c r="W591" s="64">
        <f t="shared" si="241"/>
        <v>0</v>
      </c>
      <c r="X591" s="64">
        <f t="shared" si="241"/>
        <v>0</v>
      </c>
      <c r="Y591" s="64">
        <f t="shared" si="241"/>
        <v>0</v>
      </c>
      <c r="Z591" s="64">
        <f t="shared" si="241"/>
        <v>0</v>
      </c>
      <c r="AA591" s="64">
        <f t="shared" si="241"/>
        <v>0</v>
      </c>
      <c r="AB591" s="64">
        <f t="shared" si="241"/>
        <v>0</v>
      </c>
      <c r="AC591" s="64">
        <f t="shared" si="241"/>
        <v>0</v>
      </c>
      <c r="AD591" s="64">
        <f t="shared" si="241"/>
        <v>0</v>
      </c>
      <c r="AE591" s="64">
        <f t="shared" si="241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1139</v>
      </c>
      <c r="C592" s="45" t="s">
        <v>731</v>
      </c>
      <c r="D592" s="45" t="s">
        <v>1170</v>
      </c>
      <c r="F592" s="80">
        <v>0</v>
      </c>
      <c r="H592" s="64">
        <f t="shared" si="240"/>
        <v>0</v>
      </c>
      <c r="I592" s="64">
        <f t="shared" si="240"/>
        <v>0</v>
      </c>
      <c r="J592" s="64">
        <f t="shared" si="240"/>
        <v>0</v>
      </c>
      <c r="K592" s="64">
        <f t="shared" si="240"/>
        <v>0</v>
      </c>
      <c r="L592" s="64">
        <f t="shared" si="240"/>
        <v>0</v>
      </c>
      <c r="M592" s="64">
        <f t="shared" si="240"/>
        <v>0</v>
      </c>
      <c r="N592" s="64">
        <f t="shared" si="240"/>
        <v>0</v>
      </c>
      <c r="O592" s="64">
        <f t="shared" si="240"/>
        <v>0</v>
      </c>
      <c r="P592" s="64">
        <f t="shared" si="240"/>
        <v>0</v>
      </c>
      <c r="Q592" s="64">
        <f t="shared" si="240"/>
        <v>0</v>
      </c>
      <c r="R592" s="64">
        <f t="shared" si="241"/>
        <v>0</v>
      </c>
      <c r="S592" s="64">
        <f t="shared" si="241"/>
        <v>0</v>
      </c>
      <c r="T592" s="64">
        <f t="shared" si="241"/>
        <v>0</v>
      </c>
      <c r="U592" s="64">
        <f t="shared" si="241"/>
        <v>0</v>
      </c>
      <c r="V592" s="64">
        <f t="shared" si="241"/>
        <v>0</v>
      </c>
      <c r="W592" s="64">
        <f t="shared" si="241"/>
        <v>0</v>
      </c>
      <c r="X592" s="64">
        <f t="shared" si="241"/>
        <v>0</v>
      </c>
      <c r="Y592" s="64">
        <f t="shared" si="241"/>
        <v>0</v>
      </c>
      <c r="Z592" s="64">
        <f t="shared" si="241"/>
        <v>0</v>
      </c>
      <c r="AA592" s="64">
        <f t="shared" si="241"/>
        <v>0</v>
      </c>
      <c r="AB592" s="64">
        <f t="shared" si="241"/>
        <v>0</v>
      </c>
      <c r="AC592" s="64">
        <f t="shared" si="241"/>
        <v>0</v>
      </c>
      <c r="AD592" s="64">
        <f t="shared" si="241"/>
        <v>0</v>
      </c>
      <c r="AE592" s="64">
        <f t="shared" si="241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 t="s">
        <v>947</v>
      </c>
      <c r="C593" s="45" t="s">
        <v>730</v>
      </c>
      <c r="D593" s="45" t="s">
        <v>944</v>
      </c>
      <c r="F593" s="80">
        <v>0</v>
      </c>
      <c r="H593" s="64">
        <f t="shared" si="240"/>
        <v>0</v>
      </c>
      <c r="I593" s="64">
        <f t="shared" si="240"/>
        <v>0</v>
      </c>
      <c r="J593" s="64">
        <f t="shared" si="240"/>
        <v>0</v>
      </c>
      <c r="K593" s="64">
        <f t="shared" si="240"/>
        <v>0</v>
      </c>
      <c r="L593" s="64">
        <f t="shared" si="240"/>
        <v>0</v>
      </c>
      <c r="M593" s="64">
        <f t="shared" si="240"/>
        <v>0</v>
      </c>
      <c r="N593" s="64">
        <f t="shared" si="240"/>
        <v>0</v>
      </c>
      <c r="O593" s="64">
        <f t="shared" si="240"/>
        <v>0</v>
      </c>
      <c r="P593" s="64">
        <f t="shared" si="240"/>
        <v>0</v>
      </c>
      <c r="Q593" s="64">
        <f t="shared" si="240"/>
        <v>0</v>
      </c>
      <c r="R593" s="64">
        <f t="shared" si="241"/>
        <v>0</v>
      </c>
      <c r="S593" s="64">
        <f t="shared" si="241"/>
        <v>0</v>
      </c>
      <c r="T593" s="64">
        <f t="shared" si="241"/>
        <v>0</v>
      </c>
      <c r="U593" s="64">
        <f t="shared" si="241"/>
        <v>0</v>
      </c>
      <c r="V593" s="64">
        <f t="shared" si="241"/>
        <v>0</v>
      </c>
      <c r="W593" s="64">
        <f t="shared" si="241"/>
        <v>0</v>
      </c>
      <c r="X593" s="64">
        <f t="shared" si="241"/>
        <v>0</v>
      </c>
      <c r="Y593" s="64">
        <f t="shared" si="241"/>
        <v>0</v>
      </c>
      <c r="Z593" s="64">
        <f t="shared" si="241"/>
        <v>0</v>
      </c>
      <c r="AA593" s="64">
        <f t="shared" si="241"/>
        <v>0</v>
      </c>
      <c r="AB593" s="64">
        <f t="shared" si="241"/>
        <v>0</v>
      </c>
      <c r="AC593" s="64">
        <f t="shared" si="241"/>
        <v>0</v>
      </c>
      <c r="AD593" s="64">
        <f t="shared" si="241"/>
        <v>0</v>
      </c>
      <c r="AE593" s="64">
        <f t="shared" si="241"/>
        <v>0</v>
      </c>
      <c r="AF593" s="64">
        <f>SUM(H593:AE593)</f>
        <v>0</v>
      </c>
      <c r="AG593" s="59" t="str">
        <f>IF(ABS(AF593-F593)&lt;1,"ok","err")</f>
        <v>ok</v>
      </c>
    </row>
    <row r="594" spans="1:33" ht="15">
      <c r="A594" s="66"/>
      <c r="B594" s="61" t="s">
        <v>722</v>
      </c>
      <c r="C594" s="95" t="s">
        <v>764</v>
      </c>
      <c r="D594" s="45" t="s">
        <v>967</v>
      </c>
      <c r="F594" s="80">
        <v>0</v>
      </c>
      <c r="H594" s="64">
        <f t="shared" si="240"/>
        <v>0</v>
      </c>
      <c r="I594" s="64">
        <f t="shared" si="240"/>
        <v>0</v>
      </c>
      <c r="J594" s="64">
        <f t="shared" si="240"/>
        <v>0</v>
      </c>
      <c r="K594" s="64">
        <f t="shared" si="240"/>
        <v>0</v>
      </c>
      <c r="L594" s="64">
        <f t="shared" si="240"/>
        <v>0</v>
      </c>
      <c r="M594" s="64">
        <f t="shared" si="240"/>
        <v>0</v>
      </c>
      <c r="N594" s="64">
        <f t="shared" si="240"/>
        <v>0</v>
      </c>
      <c r="O594" s="64">
        <f t="shared" si="240"/>
        <v>0</v>
      </c>
      <c r="P594" s="64">
        <f t="shared" si="240"/>
        <v>0</v>
      </c>
      <c r="Q594" s="64">
        <f t="shared" si="240"/>
        <v>0</v>
      </c>
      <c r="R594" s="64">
        <f t="shared" si="241"/>
        <v>0</v>
      </c>
      <c r="S594" s="64">
        <f t="shared" si="241"/>
        <v>0</v>
      </c>
      <c r="T594" s="64">
        <f t="shared" si="241"/>
        <v>0</v>
      </c>
      <c r="U594" s="64">
        <f t="shared" si="241"/>
        <v>0</v>
      </c>
      <c r="V594" s="64">
        <f t="shared" si="241"/>
        <v>0</v>
      </c>
      <c r="W594" s="64">
        <f t="shared" si="241"/>
        <v>0</v>
      </c>
      <c r="X594" s="64">
        <f t="shared" si="241"/>
        <v>0</v>
      </c>
      <c r="Y594" s="64">
        <f t="shared" si="241"/>
        <v>0</v>
      </c>
      <c r="Z594" s="64">
        <f t="shared" si="241"/>
        <v>0</v>
      </c>
      <c r="AA594" s="64">
        <f t="shared" si="241"/>
        <v>0</v>
      </c>
      <c r="AB594" s="64">
        <f t="shared" si="241"/>
        <v>0</v>
      </c>
      <c r="AC594" s="64">
        <f t="shared" si="241"/>
        <v>0</v>
      </c>
      <c r="AD594" s="64">
        <f t="shared" si="241"/>
        <v>0</v>
      </c>
      <c r="AE594" s="64">
        <f t="shared" si="241"/>
        <v>0</v>
      </c>
      <c r="AF594" s="64">
        <f>SUM(H594:AE594)</f>
        <v>0</v>
      </c>
      <c r="AG594" s="59" t="str">
        <f>IF(ABS(AF594-F594)&lt;1,"ok","err")</f>
        <v>ok</v>
      </c>
    </row>
    <row r="595" spans="1:33" ht="15">
      <c r="A595" s="66"/>
      <c r="B595" s="61"/>
      <c r="F595" s="77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59"/>
    </row>
    <row r="596" spans="1:33">
      <c r="A596" s="61" t="s">
        <v>732</v>
      </c>
      <c r="B596" s="61"/>
      <c r="C596" s="45" t="s">
        <v>734</v>
      </c>
      <c r="F596" s="77">
        <f>SUM(F591:F595)</f>
        <v>0</v>
      </c>
      <c r="H596" s="63">
        <f>SUM(H591:H595)</f>
        <v>0</v>
      </c>
      <c r="I596" s="63">
        <f t="shared" ref="I596:W596" si="242">SUM(I591:I595)</f>
        <v>0</v>
      </c>
      <c r="J596" s="63">
        <f t="shared" si="242"/>
        <v>0</v>
      </c>
      <c r="K596" s="63">
        <f t="shared" si="242"/>
        <v>0</v>
      </c>
      <c r="L596" s="63">
        <f t="shared" si="242"/>
        <v>0</v>
      </c>
      <c r="M596" s="63">
        <f t="shared" si="242"/>
        <v>0</v>
      </c>
      <c r="N596" s="63">
        <f t="shared" si="242"/>
        <v>0</v>
      </c>
      <c r="O596" s="63">
        <f t="shared" si="242"/>
        <v>0</v>
      </c>
      <c r="P596" s="63">
        <f t="shared" si="242"/>
        <v>0</v>
      </c>
      <c r="Q596" s="63">
        <f t="shared" si="242"/>
        <v>0</v>
      </c>
      <c r="R596" s="63">
        <f t="shared" si="242"/>
        <v>0</v>
      </c>
      <c r="S596" s="63">
        <f t="shared" si="242"/>
        <v>0</v>
      </c>
      <c r="T596" s="63">
        <f t="shared" si="242"/>
        <v>0</v>
      </c>
      <c r="U596" s="63">
        <f t="shared" si="242"/>
        <v>0</v>
      </c>
      <c r="V596" s="63">
        <f t="shared" si="242"/>
        <v>0</v>
      </c>
      <c r="W596" s="63">
        <f t="shared" si="242"/>
        <v>0</v>
      </c>
      <c r="X596" s="63">
        <f t="shared" ref="X596:AE596" si="243">SUM(X591:X595)</f>
        <v>0</v>
      </c>
      <c r="Y596" s="63">
        <f t="shared" si="243"/>
        <v>0</v>
      </c>
      <c r="Z596" s="63">
        <f t="shared" si="243"/>
        <v>0</v>
      </c>
      <c r="AA596" s="63">
        <f t="shared" si="243"/>
        <v>0</v>
      </c>
      <c r="AB596" s="63">
        <f t="shared" si="243"/>
        <v>0</v>
      </c>
      <c r="AC596" s="63">
        <f t="shared" si="243"/>
        <v>0</v>
      </c>
      <c r="AD596" s="63">
        <f t="shared" si="243"/>
        <v>0</v>
      </c>
      <c r="AE596" s="63">
        <f t="shared" si="243"/>
        <v>0</v>
      </c>
      <c r="AF596" s="64">
        <f>SUM(H596:AE596)</f>
        <v>0</v>
      </c>
      <c r="AG596" s="59" t="str">
        <f>IF(ABS(AF596-F596)&lt;1,"ok","err")</f>
        <v>ok</v>
      </c>
    </row>
    <row r="597" spans="1:33">
      <c r="A597" s="61"/>
      <c r="B597" s="61"/>
      <c r="F597" s="80"/>
      <c r="AG597" s="59"/>
    </row>
    <row r="598" spans="1:33">
      <c r="A598" s="61" t="s">
        <v>636</v>
      </c>
      <c r="B598" s="61"/>
      <c r="C598" s="45" t="s">
        <v>1083</v>
      </c>
      <c r="D598" s="45" t="s">
        <v>977</v>
      </c>
      <c r="F598" s="77">
        <v>32529208.918825753</v>
      </c>
      <c r="H598" s="64">
        <f t="shared" ref="H598:AE598" si="244">IF(VLOOKUP($D598,$C$6:$AE$653,H$2,)=0,0,((VLOOKUP($D598,$C$6:$AE$653,H$2,)/VLOOKUP($D598,$C$6:$AE$653,4,))*$F598))</f>
        <v>6289766.8709144518</v>
      </c>
      <c r="I598" s="64">
        <f t="shared" si="244"/>
        <v>6588928.9038168211</v>
      </c>
      <c r="J598" s="64">
        <f t="shared" si="244"/>
        <v>5416077.3409332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3464936.7094208836</v>
      </c>
      <c r="O598" s="64">
        <f t="shared" si="244"/>
        <v>0</v>
      </c>
      <c r="P598" s="64">
        <f t="shared" si="244"/>
        <v>0</v>
      </c>
      <c r="Q598" s="64">
        <f t="shared" si="244"/>
        <v>0</v>
      </c>
      <c r="R598" s="64">
        <f t="shared" si="244"/>
        <v>1206640.0129257792</v>
      </c>
      <c r="S598" s="64">
        <f t="shared" si="244"/>
        <v>0</v>
      </c>
      <c r="T598" s="64">
        <f t="shared" si="244"/>
        <v>2063478.5371666257</v>
      </c>
      <c r="U598" s="64">
        <f t="shared" si="244"/>
        <v>3283761.2807699526</v>
      </c>
      <c r="V598" s="64">
        <f t="shared" si="244"/>
        <v>567258.00445145834</v>
      </c>
      <c r="W598" s="64">
        <f t="shared" si="244"/>
        <v>862037.06715107756</v>
      </c>
      <c r="X598" s="64">
        <f t="shared" si="244"/>
        <v>784121.70729214803</v>
      </c>
      <c r="Y598" s="64">
        <f t="shared" si="244"/>
        <v>548377.36188634671</v>
      </c>
      <c r="Z598" s="64">
        <f t="shared" si="244"/>
        <v>272334.4512778669</v>
      </c>
      <c r="AA598" s="64">
        <f t="shared" si="244"/>
        <v>315900.35665521439</v>
      </c>
      <c r="AB598" s="64">
        <f t="shared" si="244"/>
        <v>865590.31416392652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32529208.918825746</v>
      </c>
      <c r="AG598" s="59" t="str">
        <f>IF(ABS(AF598-F598)&lt;1,"ok","err")</f>
        <v>ok</v>
      </c>
    </row>
    <row r="599" spans="1:33">
      <c r="A599" s="61"/>
      <c r="B599" s="61"/>
      <c r="AG599" s="59"/>
    </row>
    <row r="600" spans="1:33">
      <c r="A600" s="61" t="s">
        <v>725</v>
      </c>
      <c r="B600" s="61"/>
      <c r="C600" s="45" t="s">
        <v>533</v>
      </c>
      <c r="D600" s="45" t="s">
        <v>977</v>
      </c>
      <c r="F600" s="77">
        <f>-1002535</f>
        <v>-1002535</v>
      </c>
      <c r="G600" s="63">
        <v>600157</v>
      </c>
      <c r="H600" s="64">
        <f t="shared" ref="H600:AE600" si="245">IF(VLOOKUP($D600,$C$6:$AE$653,H$2,)=0,0,((VLOOKUP($D600,$C$6:$AE$653,H$2,)/VLOOKUP($D600,$C$6:$AE$653,4,))*$F600))</f>
        <v>-193847.67227717277</v>
      </c>
      <c r="I600" s="64">
        <f t="shared" si="245"/>
        <v>-203067.70616745905</v>
      </c>
      <c r="J600" s="64">
        <f t="shared" si="245"/>
        <v>-166920.96972115582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-106787.72830435807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-37188.080668584982</v>
      </c>
      <c r="S600" s="64">
        <f t="shared" si="245"/>
        <v>0</v>
      </c>
      <c r="T600" s="64">
        <f t="shared" si="245"/>
        <v>-63595.443111471155</v>
      </c>
      <c r="U600" s="64">
        <f t="shared" si="245"/>
        <v>-101203.98635674978</v>
      </c>
      <c r="V600" s="64">
        <f t="shared" si="245"/>
        <v>-17482.626304005174</v>
      </c>
      <c r="W600" s="64">
        <f t="shared" si="245"/>
        <v>-26567.579103227159</v>
      </c>
      <c r="X600" s="64">
        <f t="shared" si="245"/>
        <v>-24166.2641652864</v>
      </c>
      <c r="Y600" s="64">
        <f t="shared" si="245"/>
        <v>-16900.733733508026</v>
      </c>
      <c r="Z600" s="64">
        <f t="shared" si="245"/>
        <v>-8393.220375975623</v>
      </c>
      <c r="AA600" s="64">
        <f t="shared" si="245"/>
        <v>-9735.9011972790304</v>
      </c>
      <c r="AB600" s="64">
        <f t="shared" si="245"/>
        <v>-26677.088513766957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-1002535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757</v>
      </c>
      <c r="B602" s="61"/>
      <c r="C602" s="45" t="s">
        <v>1084</v>
      </c>
      <c r="D602" s="45" t="s">
        <v>977</v>
      </c>
      <c r="F602" s="77">
        <v>0</v>
      </c>
      <c r="G602" s="63">
        <v>600157</v>
      </c>
      <c r="H602" s="64">
        <f t="shared" ref="H602:AE602" si="246">IF(VLOOKUP($D602,$C$6:$AE$653,H$2,)=0,0,((VLOOKUP($D602,$C$6:$AE$653,H$2,)/VLOOKUP($D602,$C$6:$AE$653,4,))*$F602))</f>
        <v>0</v>
      </c>
      <c r="I602" s="64">
        <f t="shared" si="246"/>
        <v>0</v>
      </c>
      <c r="J602" s="64">
        <f t="shared" si="246"/>
        <v>0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0</v>
      </c>
      <c r="O602" s="64">
        <f t="shared" si="246"/>
        <v>0</v>
      </c>
      <c r="P602" s="64">
        <f t="shared" si="246"/>
        <v>0</v>
      </c>
      <c r="Q602" s="64">
        <f t="shared" si="246"/>
        <v>0</v>
      </c>
      <c r="R602" s="64">
        <f t="shared" si="246"/>
        <v>0</v>
      </c>
      <c r="S602" s="64">
        <f t="shared" si="246"/>
        <v>0</v>
      </c>
      <c r="T602" s="64">
        <f t="shared" si="246"/>
        <v>0</v>
      </c>
      <c r="U602" s="64">
        <f t="shared" si="246"/>
        <v>0</v>
      </c>
      <c r="V602" s="64">
        <f t="shared" si="246"/>
        <v>0</v>
      </c>
      <c r="W602" s="64">
        <f t="shared" si="246"/>
        <v>0</v>
      </c>
      <c r="X602" s="64">
        <f t="shared" si="246"/>
        <v>0</v>
      </c>
      <c r="Y602" s="64">
        <f t="shared" si="246"/>
        <v>0</v>
      </c>
      <c r="Z602" s="64">
        <f t="shared" si="246"/>
        <v>0</v>
      </c>
      <c r="AA602" s="64">
        <f t="shared" si="246"/>
        <v>0</v>
      </c>
      <c r="AB602" s="64">
        <f t="shared" si="246"/>
        <v>0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0</v>
      </c>
      <c r="AG602" s="59" t="str">
        <f>IF(ABS(AF602-F602)&lt;1,"ok","err")</f>
        <v>ok</v>
      </c>
    </row>
    <row r="603" spans="1:33">
      <c r="A603" s="61"/>
      <c r="B603" s="61"/>
      <c r="W603" s="45"/>
    </row>
    <row r="604" spans="1:33">
      <c r="A604" s="61" t="s">
        <v>872</v>
      </c>
      <c r="B604" s="61"/>
      <c r="C604" s="45" t="s">
        <v>1085</v>
      </c>
      <c r="D604" s="45" t="s">
        <v>977</v>
      </c>
      <c r="F604" s="77">
        <v>62185554.183806494</v>
      </c>
      <c r="H604" s="64">
        <f t="shared" ref="H604:AE604" si="247">IF(VLOOKUP($D604,$C$6:$AE$653,H$2,)=0,0,((VLOOKUP($D604,$C$6:$AE$653,H$2,)/VLOOKUP($D604,$C$6:$AE$653,4,))*$F604))</f>
        <v>12024043.976316927</v>
      </c>
      <c r="I604" s="64">
        <f t="shared" si="247"/>
        <v>12595947.11891138</v>
      </c>
      <c r="J604" s="64">
        <f t="shared" si="247"/>
        <v>10353826.057951551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6623862.5730136754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2306713.8857077891</v>
      </c>
      <c r="S604" s="64">
        <f t="shared" si="247"/>
        <v>0</v>
      </c>
      <c r="T604" s="64">
        <f t="shared" si="247"/>
        <v>3944718.0132878879</v>
      </c>
      <c r="U604" s="64">
        <f t="shared" si="247"/>
        <v>6277512.483060318</v>
      </c>
      <c r="V604" s="64">
        <f t="shared" si="247"/>
        <v>1084417.8061643278</v>
      </c>
      <c r="W604" s="64">
        <f t="shared" si="247"/>
        <v>1647942.0966413119</v>
      </c>
      <c r="X604" s="64">
        <f t="shared" si="247"/>
        <v>1498992.5834714985</v>
      </c>
      <c r="Y604" s="64">
        <f t="shared" si="247"/>
        <v>1048323.9920114006</v>
      </c>
      <c r="Z604" s="64">
        <f t="shared" si="247"/>
        <v>520617.29562245787</v>
      </c>
      <c r="AA604" s="64">
        <f t="shared" si="247"/>
        <v>603901.52107565489</v>
      </c>
      <c r="AB604" s="64">
        <f t="shared" si="247"/>
        <v>1654734.7805703112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62185554.183806486</v>
      </c>
      <c r="AG604" s="59" t="str">
        <f>IF(ABS(AF604-F604)&lt;1,"ok","err")</f>
        <v>ok</v>
      </c>
    </row>
    <row r="605" spans="1:33">
      <c r="A605" s="61"/>
      <c r="B605" s="61"/>
      <c r="F605" s="77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59"/>
    </row>
    <row r="606" spans="1:33">
      <c r="A606" s="61" t="s">
        <v>1086</v>
      </c>
      <c r="B606" s="61"/>
      <c r="C606" s="45" t="s">
        <v>1087</v>
      </c>
      <c r="D606" s="45" t="s">
        <v>977</v>
      </c>
      <c r="F606" s="77">
        <v>0</v>
      </c>
      <c r="H606" s="64">
        <f t="shared" ref="H606:AE606" si="248">IF(VLOOKUP($D606,$C$6:$AE$653,H$2,)=0,0,((VLOOKUP($D606,$C$6:$AE$653,H$2,)/VLOOKUP($D606,$C$6:$AE$653,4,))*$F606))</f>
        <v>0</v>
      </c>
      <c r="I606" s="64">
        <f t="shared" si="248"/>
        <v>0</v>
      </c>
      <c r="J606" s="64">
        <f t="shared" si="248"/>
        <v>0</v>
      </c>
      <c r="K606" s="64">
        <f t="shared" si="248"/>
        <v>0</v>
      </c>
      <c r="L606" s="64">
        <f t="shared" si="248"/>
        <v>0</v>
      </c>
      <c r="M606" s="64">
        <f t="shared" si="248"/>
        <v>0</v>
      </c>
      <c r="N606" s="64">
        <f t="shared" si="248"/>
        <v>0</v>
      </c>
      <c r="O606" s="64">
        <f t="shared" si="248"/>
        <v>0</v>
      </c>
      <c r="P606" s="64">
        <f t="shared" si="248"/>
        <v>0</v>
      </c>
      <c r="Q606" s="64">
        <f t="shared" si="248"/>
        <v>0</v>
      </c>
      <c r="R606" s="64">
        <f t="shared" si="248"/>
        <v>0</v>
      </c>
      <c r="S606" s="64">
        <f t="shared" si="248"/>
        <v>0</v>
      </c>
      <c r="T606" s="64">
        <f t="shared" si="248"/>
        <v>0</v>
      </c>
      <c r="U606" s="64">
        <f t="shared" si="248"/>
        <v>0</v>
      </c>
      <c r="V606" s="64">
        <f t="shared" si="248"/>
        <v>0</v>
      </c>
      <c r="W606" s="64">
        <f t="shared" si="248"/>
        <v>0</v>
      </c>
      <c r="X606" s="64">
        <f t="shared" si="248"/>
        <v>0</v>
      </c>
      <c r="Y606" s="64">
        <f t="shared" si="248"/>
        <v>0</v>
      </c>
      <c r="Z606" s="64">
        <f t="shared" si="248"/>
        <v>0</v>
      </c>
      <c r="AA606" s="64">
        <f t="shared" si="248"/>
        <v>0</v>
      </c>
      <c r="AB606" s="64">
        <f t="shared" si="248"/>
        <v>0</v>
      </c>
      <c r="AC606" s="64">
        <f t="shared" si="248"/>
        <v>0</v>
      </c>
      <c r="AD606" s="64">
        <f t="shared" si="248"/>
        <v>0</v>
      </c>
      <c r="AE606" s="64">
        <f t="shared" si="248"/>
        <v>0</v>
      </c>
      <c r="AF606" s="64">
        <f>SUM(H606:AE606)</f>
        <v>0</v>
      </c>
      <c r="AG606" s="59" t="str">
        <f>IF(ABS(AF606-F606)&lt;1,"ok","err")</f>
        <v>ok</v>
      </c>
    </row>
    <row r="607" spans="1:33">
      <c r="A607" s="61"/>
      <c r="B607" s="61"/>
      <c r="AF607" s="64"/>
      <c r="AG607" s="59"/>
    </row>
    <row r="608" spans="1:33" ht="15">
      <c r="A608" s="66" t="s">
        <v>1088</v>
      </c>
      <c r="B608" s="61"/>
      <c r="C608" s="45" t="s">
        <v>1089</v>
      </c>
      <c r="F608" s="81">
        <f>F580+F588+F596+F598+F600+F602+F604+F606</f>
        <v>232554754.60826981</v>
      </c>
      <c r="G608" s="65"/>
      <c r="H608" s="81">
        <f t="shared" ref="H608:AE608" si="249">H580+H588+H596+H598+H600+H602+H604+H606</f>
        <v>46554129.064685494</v>
      </c>
      <c r="I608" s="81">
        <f t="shared" si="249"/>
        <v>48768396.807325318</v>
      </c>
      <c r="J608" s="81">
        <f t="shared" si="249"/>
        <v>40087457.727581039</v>
      </c>
      <c r="K608" s="81">
        <f t="shared" si="249"/>
        <v>0</v>
      </c>
      <c r="L608" s="81">
        <f t="shared" si="249"/>
        <v>0</v>
      </c>
      <c r="M608" s="81">
        <f t="shared" si="249"/>
        <v>0</v>
      </c>
      <c r="N608" s="81">
        <f t="shared" si="249"/>
        <v>21752789.886789575</v>
      </c>
      <c r="O608" s="81">
        <f t="shared" si="249"/>
        <v>0</v>
      </c>
      <c r="P608" s="81">
        <f t="shared" si="249"/>
        <v>0</v>
      </c>
      <c r="Q608" s="81">
        <f t="shared" si="249"/>
        <v>0</v>
      </c>
      <c r="R608" s="81">
        <f t="shared" si="249"/>
        <v>8447094.9190469775</v>
      </c>
      <c r="S608" s="81">
        <f t="shared" si="249"/>
        <v>0</v>
      </c>
      <c r="T608" s="81">
        <f t="shared" si="249"/>
        <v>14445401.180256434</v>
      </c>
      <c r="U608" s="81">
        <f t="shared" si="249"/>
        <v>22988002.16553174</v>
      </c>
      <c r="V608" s="81">
        <f t="shared" si="249"/>
        <v>3971095.0704942178</v>
      </c>
      <c r="W608" s="81">
        <f t="shared" si="249"/>
        <v>6034698.7104346305</v>
      </c>
      <c r="X608" s="81">
        <f t="shared" si="249"/>
        <v>5489251.4906095359</v>
      </c>
      <c r="Y608" s="81">
        <f t="shared" si="249"/>
        <v>3838920.9521394121</v>
      </c>
      <c r="Z608" s="81">
        <f t="shared" si="249"/>
        <v>1906479.9236126579</v>
      </c>
      <c r="AA608" s="81">
        <f t="shared" si="249"/>
        <v>2211463.4597249394</v>
      </c>
      <c r="AB608" s="81">
        <f t="shared" si="249"/>
        <v>6059573.2500378527</v>
      </c>
      <c r="AC608" s="81">
        <f t="shared" si="249"/>
        <v>0</v>
      </c>
      <c r="AD608" s="81">
        <f t="shared" si="249"/>
        <v>0</v>
      </c>
      <c r="AE608" s="81">
        <f t="shared" si="249"/>
        <v>0</v>
      </c>
      <c r="AF608" s="64">
        <f>SUM(H608:AE608)</f>
        <v>232554754.60826975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 ht="15">
      <c r="A610" s="66" t="s">
        <v>1169</v>
      </c>
      <c r="B610" s="61"/>
      <c r="F610" s="81">
        <f>F333+F608</f>
        <v>918176657.42650473</v>
      </c>
      <c r="G610" s="65">
        <f t="shared" ref="G610:AE610" si="250">G333+G608</f>
        <v>0</v>
      </c>
      <c r="H610" s="65">
        <f t="shared" si="250"/>
        <v>79777528.757929891</v>
      </c>
      <c r="I610" s="65">
        <f t="shared" si="250"/>
        <v>83572010.838579655</v>
      </c>
      <c r="J610" s="65">
        <f t="shared" si="250"/>
        <v>68695911.102767408</v>
      </c>
      <c r="K610" s="65">
        <f t="shared" si="250"/>
        <v>465540988.35893065</v>
      </c>
      <c r="L610" s="65">
        <f t="shared" si="250"/>
        <v>0</v>
      </c>
      <c r="M610" s="65">
        <f t="shared" si="250"/>
        <v>0</v>
      </c>
      <c r="N610" s="65">
        <f t="shared" si="250"/>
        <v>43904484.438644156</v>
      </c>
      <c r="O610" s="65">
        <f t="shared" si="250"/>
        <v>0</v>
      </c>
      <c r="P610" s="65">
        <f t="shared" si="250"/>
        <v>0</v>
      </c>
      <c r="Q610" s="65">
        <f t="shared" si="250"/>
        <v>0</v>
      </c>
      <c r="R610" s="65">
        <f t="shared" si="250"/>
        <v>16636359.393299256</v>
      </c>
      <c r="S610" s="65">
        <f t="shared" si="250"/>
        <v>0</v>
      </c>
      <c r="T610" s="65">
        <f t="shared" si="250"/>
        <v>28675558.858074948</v>
      </c>
      <c r="U610" s="65">
        <f t="shared" si="250"/>
        <v>44288718.517956272</v>
      </c>
      <c r="V610" s="65">
        <f t="shared" si="250"/>
        <v>8756585.0862900466</v>
      </c>
      <c r="W610" s="65">
        <f t="shared" si="250"/>
        <v>13064839.318581827</v>
      </c>
      <c r="X610" s="65">
        <f t="shared" si="250"/>
        <v>6609247.6826758962</v>
      </c>
      <c r="Y610" s="65">
        <f t="shared" si="250"/>
        <v>4622192.9256307334</v>
      </c>
      <c r="Z610" s="65">
        <f t="shared" si="250"/>
        <v>2202288.5573496805</v>
      </c>
      <c r="AA610" s="65">
        <f t="shared" si="250"/>
        <v>19382672.083369117</v>
      </c>
      <c r="AB610" s="65">
        <f t="shared" si="250"/>
        <v>7365717.8079636944</v>
      </c>
      <c r="AC610" s="65">
        <f t="shared" si="250"/>
        <v>20585101.39846275</v>
      </c>
      <c r="AD610" s="65">
        <f t="shared" si="250"/>
        <v>4496452.299998587</v>
      </c>
      <c r="AE610" s="65">
        <f t="shared" si="250"/>
        <v>0</v>
      </c>
      <c r="AF610" s="64">
        <f>SUM(H610:AE610)</f>
        <v>918176657.42650449</v>
      </c>
      <c r="AG610" s="59" t="str">
        <f>IF(ABS(AF610-F610)&lt;1,"ok","err")</f>
        <v>ok</v>
      </c>
    </row>
    <row r="611" spans="1:34">
      <c r="A611" s="61"/>
      <c r="B611" s="61"/>
      <c r="AG611" s="59"/>
    </row>
    <row r="612" spans="1:34">
      <c r="A612" s="61"/>
      <c r="B612" s="61"/>
      <c r="AG612" s="59"/>
    </row>
    <row r="613" spans="1:34" s="61" customFormat="1">
      <c r="F613" s="80"/>
      <c r="W613" s="78"/>
      <c r="AG613" s="94"/>
    </row>
    <row r="614" spans="1:34" s="61" customFormat="1" ht="15">
      <c r="A614" s="60" t="s">
        <v>1357</v>
      </c>
      <c r="W614" s="78"/>
      <c r="AG614" s="94"/>
    </row>
    <row r="615" spans="1:34" s="61" customFormat="1">
      <c r="W615" s="78"/>
      <c r="AG615" s="94"/>
    </row>
    <row r="616" spans="1:34" s="61" customFormat="1">
      <c r="A616" s="61" t="s">
        <v>932</v>
      </c>
      <c r="C616" s="61" t="s">
        <v>949</v>
      </c>
      <c r="F616" s="82">
        <v>1</v>
      </c>
      <c r="G616" s="82"/>
      <c r="H616" s="237">
        <v>0</v>
      </c>
      <c r="I616" s="237">
        <v>0</v>
      </c>
      <c r="J616" s="237">
        <v>0</v>
      </c>
      <c r="K616" s="237">
        <v>0</v>
      </c>
      <c r="L616" s="237">
        <v>0</v>
      </c>
      <c r="M616" s="237">
        <v>0</v>
      </c>
      <c r="N616" s="237">
        <v>0</v>
      </c>
      <c r="O616" s="237">
        <v>0</v>
      </c>
      <c r="P616" s="237">
        <v>0</v>
      </c>
      <c r="Q616" s="237">
        <v>0</v>
      </c>
      <c r="R616" s="237">
        <v>1</v>
      </c>
      <c r="S616" s="237">
        <v>0</v>
      </c>
      <c r="T616" s="237">
        <v>0</v>
      </c>
      <c r="U616" s="237">
        <v>0</v>
      </c>
      <c r="V616" s="237">
        <v>0</v>
      </c>
      <c r="W616" s="237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37">
        <f>SUM(H616:AE616)</f>
        <v>1</v>
      </c>
      <c r="AG616" s="94" t="str">
        <f t="shared" ref="AG616:AG640" si="251">IF(ABS(AF616-F616)&lt;0.0000001,"ok","err")</f>
        <v>ok</v>
      </c>
    </row>
    <row r="617" spans="1:34" s="61" customFormat="1">
      <c r="A617" s="61" t="s">
        <v>1090</v>
      </c>
      <c r="C617" s="61" t="s">
        <v>950</v>
      </c>
      <c r="F617" s="82">
        <v>1</v>
      </c>
      <c r="G617" s="82"/>
      <c r="H617" s="237">
        <v>0</v>
      </c>
      <c r="I617" s="237">
        <v>0</v>
      </c>
      <c r="J617" s="237">
        <v>0</v>
      </c>
      <c r="K617" s="237">
        <v>0</v>
      </c>
      <c r="L617" s="237">
        <v>0</v>
      </c>
      <c r="M617" s="237">
        <v>0</v>
      </c>
      <c r="N617" s="237">
        <v>0</v>
      </c>
      <c r="O617" s="237">
        <v>0</v>
      </c>
      <c r="P617" s="237">
        <v>0</v>
      </c>
      <c r="Q617" s="237">
        <v>0</v>
      </c>
      <c r="R617" s="237">
        <v>0</v>
      </c>
      <c r="S617" s="237">
        <v>0</v>
      </c>
      <c r="T617" s="237">
        <f>0.4081*0.7318</f>
        <v>0.29864758000000002</v>
      </c>
      <c r="U617" s="237">
        <f>0.5919*0.7318</f>
        <v>0.43315241999999998</v>
      </c>
      <c r="V617" s="237">
        <f>0.4081*0.2682</f>
        <v>0.10945242000000001</v>
      </c>
      <c r="W617" s="237">
        <f>0.5919*0.2682</f>
        <v>0.15874758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37">
        <f t="shared" ref="AF617:AF625" si="252">SUM(H617:AE617)</f>
        <v>1</v>
      </c>
      <c r="AG617" s="94" t="str">
        <f t="shared" si="251"/>
        <v>ok</v>
      </c>
    </row>
    <row r="618" spans="1:34" s="61" customFormat="1">
      <c r="A618" s="61" t="s">
        <v>1091</v>
      </c>
      <c r="C618" s="61" t="s">
        <v>952</v>
      </c>
      <c r="F618" s="82">
        <v>1</v>
      </c>
      <c r="G618" s="82"/>
      <c r="H618" s="237">
        <v>0</v>
      </c>
      <c r="I618" s="237">
        <v>0</v>
      </c>
      <c r="J618" s="237">
        <v>0</v>
      </c>
      <c r="K618" s="237">
        <v>0</v>
      </c>
      <c r="L618" s="237">
        <v>0</v>
      </c>
      <c r="M618" s="237">
        <v>0</v>
      </c>
      <c r="N618" s="237">
        <v>0</v>
      </c>
      <c r="O618" s="237">
        <v>0</v>
      </c>
      <c r="P618" s="237">
        <v>0</v>
      </c>
      <c r="Q618" s="237">
        <v>0</v>
      </c>
      <c r="R618" s="237">
        <v>0</v>
      </c>
      <c r="S618" s="237">
        <v>0</v>
      </c>
      <c r="T618" s="237">
        <f>T617</f>
        <v>0.29864758000000002</v>
      </c>
      <c r="U618" s="237">
        <f>U617</f>
        <v>0.43315241999999998</v>
      </c>
      <c r="V618" s="237">
        <f>V617</f>
        <v>0.10945242000000001</v>
      </c>
      <c r="W618" s="237">
        <f>W617</f>
        <v>0.15874758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37">
        <f t="shared" si="252"/>
        <v>1</v>
      </c>
      <c r="AG618" s="94" t="str">
        <f t="shared" si="251"/>
        <v>ok</v>
      </c>
      <c r="AH618" s="82"/>
    </row>
    <row r="619" spans="1:34" s="61" customFormat="1">
      <c r="A619" s="61" t="s">
        <v>1092</v>
      </c>
      <c r="C619" s="61" t="s">
        <v>953</v>
      </c>
      <c r="F619" s="82">
        <v>1</v>
      </c>
      <c r="G619" s="82"/>
      <c r="H619" s="237">
        <v>0</v>
      </c>
      <c r="I619" s="237">
        <v>0</v>
      </c>
      <c r="J619" s="237">
        <v>0</v>
      </c>
      <c r="K619" s="237">
        <v>0</v>
      </c>
      <c r="L619" s="237">
        <v>0</v>
      </c>
      <c r="M619" s="237">
        <v>0</v>
      </c>
      <c r="N619" s="237">
        <v>0</v>
      </c>
      <c r="O619" s="237">
        <v>0</v>
      </c>
      <c r="P619" s="237">
        <v>0</v>
      </c>
      <c r="Q619" s="237">
        <v>0</v>
      </c>
      <c r="R619" s="237">
        <v>0</v>
      </c>
      <c r="S619" s="237">
        <v>0</v>
      </c>
      <c r="T619" s="237">
        <f>0.3563*0.881</f>
        <v>0.31390030000000002</v>
      </c>
      <c r="U619" s="237">
        <f>0.6437*0.881</f>
        <v>0.5670997000000001</v>
      </c>
      <c r="V619" s="237">
        <f>0.3563*0.119</f>
        <v>4.2399699999999999E-2</v>
      </c>
      <c r="W619" s="237">
        <f>0.6437*0.119</f>
        <v>7.6600299999999996E-2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37">
        <f t="shared" si="252"/>
        <v>1.0000000000000002</v>
      </c>
      <c r="AG619" s="94" t="str">
        <f t="shared" si="251"/>
        <v>ok</v>
      </c>
    </row>
    <row r="620" spans="1:34" s="61" customFormat="1">
      <c r="A620" s="61" t="s">
        <v>1093</v>
      </c>
      <c r="C620" s="61" t="s">
        <v>956</v>
      </c>
      <c r="F620" s="82">
        <v>1</v>
      </c>
      <c r="G620" s="82"/>
      <c r="H620" s="237">
        <v>0</v>
      </c>
      <c r="I620" s="237">
        <v>0</v>
      </c>
      <c r="J620" s="237">
        <v>0</v>
      </c>
      <c r="K620" s="237">
        <v>0</v>
      </c>
      <c r="L620" s="237">
        <v>0</v>
      </c>
      <c r="M620" s="237">
        <v>0</v>
      </c>
      <c r="N620" s="237">
        <v>0</v>
      </c>
      <c r="O620" s="237">
        <v>0</v>
      </c>
      <c r="P620" s="237">
        <v>0</v>
      </c>
      <c r="Q620" s="237">
        <v>0</v>
      </c>
      <c r="R620" s="237">
        <v>0</v>
      </c>
      <c r="S620" s="237">
        <v>0</v>
      </c>
      <c r="T620" s="237">
        <v>0</v>
      </c>
      <c r="U620" s="237">
        <v>0</v>
      </c>
      <c r="V620" s="237">
        <v>0</v>
      </c>
      <c r="W620" s="237">
        <v>0</v>
      </c>
      <c r="X620" s="82">
        <v>0.58845947845619928</v>
      </c>
      <c r="Y620" s="82">
        <v>0.41154052154380072</v>
      </c>
      <c r="Z620" s="82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237">
        <f t="shared" si="252"/>
        <v>1</v>
      </c>
      <c r="AG620" s="94" t="str">
        <f t="shared" si="251"/>
        <v>ok</v>
      </c>
    </row>
    <row r="621" spans="1:34" s="61" customFormat="1">
      <c r="A621" s="61" t="s">
        <v>1094</v>
      </c>
      <c r="C621" s="61" t="s">
        <v>958</v>
      </c>
      <c r="F621" s="82">
        <v>1</v>
      </c>
      <c r="G621" s="82"/>
      <c r="H621" s="237">
        <v>0</v>
      </c>
      <c r="I621" s="237">
        <v>0</v>
      </c>
      <c r="J621" s="237">
        <v>0</v>
      </c>
      <c r="K621" s="237">
        <v>0</v>
      </c>
      <c r="L621" s="237">
        <v>0</v>
      </c>
      <c r="M621" s="237">
        <v>0</v>
      </c>
      <c r="N621" s="237">
        <v>0</v>
      </c>
      <c r="O621" s="237">
        <v>0</v>
      </c>
      <c r="P621" s="237">
        <v>0</v>
      </c>
      <c r="Q621" s="237">
        <v>0</v>
      </c>
      <c r="R621" s="237">
        <v>0</v>
      </c>
      <c r="S621" s="237">
        <v>0</v>
      </c>
      <c r="T621" s="237">
        <v>0</v>
      </c>
      <c r="U621" s="237">
        <v>0</v>
      </c>
      <c r="V621" s="237">
        <v>0</v>
      </c>
      <c r="W621" s="237">
        <v>0</v>
      </c>
      <c r="X621" s="82">
        <v>0</v>
      </c>
      <c r="Y621" s="82">
        <v>0</v>
      </c>
      <c r="Z621" s="82">
        <v>1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237">
        <f t="shared" si="252"/>
        <v>1</v>
      </c>
      <c r="AG621" s="94" t="str">
        <f t="shared" si="251"/>
        <v>ok</v>
      </c>
    </row>
    <row r="622" spans="1:34" s="61" customFormat="1">
      <c r="A622" s="61" t="s">
        <v>933</v>
      </c>
      <c r="C622" s="61" t="s">
        <v>960</v>
      </c>
      <c r="F622" s="82">
        <v>1</v>
      </c>
      <c r="G622" s="82"/>
      <c r="H622" s="237">
        <v>0</v>
      </c>
      <c r="I622" s="237">
        <v>0</v>
      </c>
      <c r="J622" s="237">
        <v>0</v>
      </c>
      <c r="K622" s="237">
        <v>0</v>
      </c>
      <c r="L622" s="237">
        <v>0</v>
      </c>
      <c r="M622" s="237">
        <v>0</v>
      </c>
      <c r="N622" s="237">
        <v>0</v>
      </c>
      <c r="O622" s="237">
        <v>0</v>
      </c>
      <c r="P622" s="237">
        <v>0</v>
      </c>
      <c r="Q622" s="237">
        <v>0</v>
      </c>
      <c r="R622" s="237">
        <v>0</v>
      </c>
      <c r="S622" s="237">
        <v>0</v>
      </c>
      <c r="T622" s="237">
        <v>0</v>
      </c>
      <c r="U622" s="237">
        <v>0</v>
      </c>
      <c r="V622" s="237">
        <v>0</v>
      </c>
      <c r="W622" s="237">
        <v>0</v>
      </c>
      <c r="X622" s="82">
        <v>0</v>
      </c>
      <c r="Y622" s="82">
        <v>0</v>
      </c>
      <c r="Z622" s="82">
        <v>0</v>
      </c>
      <c r="AA622" s="82">
        <v>1</v>
      </c>
      <c r="AB622" s="82">
        <v>0</v>
      </c>
      <c r="AC622" s="82">
        <v>0</v>
      </c>
      <c r="AD622" s="82">
        <v>0</v>
      </c>
      <c r="AE622" s="82">
        <v>0</v>
      </c>
      <c r="AF622" s="237">
        <f t="shared" si="252"/>
        <v>1</v>
      </c>
      <c r="AG622" s="94" t="str">
        <f t="shared" si="251"/>
        <v>ok</v>
      </c>
    </row>
    <row r="623" spans="1:34" s="61" customFormat="1">
      <c r="A623" s="61" t="s">
        <v>1095</v>
      </c>
      <c r="C623" s="61" t="s">
        <v>963</v>
      </c>
      <c r="F623" s="82">
        <v>1</v>
      </c>
      <c r="G623" s="82"/>
      <c r="H623" s="237">
        <v>0</v>
      </c>
      <c r="I623" s="237">
        <v>0</v>
      </c>
      <c r="J623" s="237">
        <v>0</v>
      </c>
      <c r="K623" s="237">
        <v>0</v>
      </c>
      <c r="L623" s="237">
        <v>0</v>
      </c>
      <c r="M623" s="237">
        <v>0</v>
      </c>
      <c r="N623" s="237">
        <v>0</v>
      </c>
      <c r="O623" s="237">
        <v>0</v>
      </c>
      <c r="P623" s="237">
        <v>0</v>
      </c>
      <c r="Q623" s="237">
        <v>0</v>
      </c>
      <c r="R623" s="237">
        <v>0</v>
      </c>
      <c r="S623" s="237">
        <v>0</v>
      </c>
      <c r="T623" s="237">
        <v>0</v>
      </c>
      <c r="U623" s="237">
        <v>0</v>
      </c>
      <c r="V623" s="237">
        <v>0</v>
      </c>
      <c r="W623" s="237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1</v>
      </c>
      <c r="AC623" s="82">
        <v>0</v>
      </c>
      <c r="AD623" s="82">
        <v>0</v>
      </c>
      <c r="AE623" s="82">
        <v>0</v>
      </c>
      <c r="AF623" s="237">
        <f t="shared" si="252"/>
        <v>1</v>
      </c>
      <c r="AG623" s="94" t="str">
        <f t="shared" si="251"/>
        <v>ok</v>
      </c>
    </row>
    <row r="624" spans="1:34" s="61" customFormat="1">
      <c r="A624" s="61" t="s">
        <v>1096</v>
      </c>
      <c r="C624" s="61" t="s">
        <v>1037</v>
      </c>
      <c r="F624" s="82">
        <v>1</v>
      </c>
      <c r="G624" s="82"/>
      <c r="H624" s="237">
        <v>0</v>
      </c>
      <c r="I624" s="237">
        <v>0</v>
      </c>
      <c r="J624" s="237">
        <v>0</v>
      </c>
      <c r="K624" s="237">
        <v>0</v>
      </c>
      <c r="L624" s="237">
        <v>0</v>
      </c>
      <c r="M624" s="237">
        <v>0</v>
      </c>
      <c r="N624" s="237">
        <v>0</v>
      </c>
      <c r="O624" s="237">
        <v>0</v>
      </c>
      <c r="P624" s="237">
        <v>0</v>
      </c>
      <c r="Q624" s="237">
        <v>0</v>
      </c>
      <c r="R624" s="237">
        <v>0</v>
      </c>
      <c r="S624" s="237">
        <v>0</v>
      </c>
      <c r="T624" s="237">
        <v>0</v>
      </c>
      <c r="U624" s="237">
        <v>0</v>
      </c>
      <c r="V624" s="237">
        <v>0</v>
      </c>
      <c r="W624" s="237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1</v>
      </c>
      <c r="AE624" s="82">
        <v>0</v>
      </c>
      <c r="AF624" s="237">
        <f t="shared" si="252"/>
        <v>1</v>
      </c>
      <c r="AG624" s="94" t="str">
        <f t="shared" si="251"/>
        <v>ok</v>
      </c>
    </row>
    <row r="625" spans="1:33" s="61" customFormat="1">
      <c r="A625" s="61" t="s">
        <v>1097</v>
      </c>
      <c r="C625" s="61" t="s">
        <v>1047</v>
      </c>
      <c r="F625" s="82">
        <v>1</v>
      </c>
      <c r="G625" s="82"/>
      <c r="H625" s="237">
        <v>0</v>
      </c>
      <c r="I625" s="237">
        <v>0</v>
      </c>
      <c r="J625" s="237">
        <v>0</v>
      </c>
      <c r="K625" s="237">
        <v>0</v>
      </c>
      <c r="L625" s="237">
        <v>0</v>
      </c>
      <c r="M625" s="237">
        <v>0</v>
      </c>
      <c r="N625" s="237">
        <v>0</v>
      </c>
      <c r="O625" s="237">
        <v>0</v>
      </c>
      <c r="P625" s="237">
        <v>0</v>
      </c>
      <c r="Q625" s="237">
        <v>0</v>
      </c>
      <c r="R625" s="237">
        <v>0</v>
      </c>
      <c r="S625" s="237">
        <v>0</v>
      </c>
      <c r="T625" s="237">
        <v>0</v>
      </c>
      <c r="U625" s="237">
        <v>0</v>
      </c>
      <c r="V625" s="237">
        <v>0</v>
      </c>
      <c r="W625" s="237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1</v>
      </c>
      <c r="AE625" s="82">
        <v>0</v>
      </c>
      <c r="AF625" s="237">
        <f t="shared" si="252"/>
        <v>1</v>
      </c>
      <c r="AG625" s="94" t="str">
        <f t="shared" si="251"/>
        <v>ok</v>
      </c>
    </row>
    <row r="626" spans="1:33" s="61" customFormat="1" ht="15">
      <c r="A626" s="61" t="s">
        <v>1139</v>
      </c>
      <c r="C626" s="61" t="s">
        <v>1171</v>
      </c>
      <c r="F626" s="82">
        <v>1</v>
      </c>
      <c r="G626" s="82"/>
      <c r="H626" s="237">
        <v>0</v>
      </c>
      <c r="I626" s="237">
        <v>0</v>
      </c>
      <c r="J626" s="237">
        <v>0</v>
      </c>
      <c r="K626" s="237">
        <v>0</v>
      </c>
      <c r="L626" s="237">
        <v>0</v>
      </c>
      <c r="M626" s="237">
        <v>0</v>
      </c>
      <c r="N626" s="238">
        <v>1</v>
      </c>
      <c r="O626" s="238">
        <v>0</v>
      </c>
      <c r="P626" s="238">
        <v>0</v>
      </c>
      <c r="Q626" s="237">
        <v>0</v>
      </c>
      <c r="R626" s="237">
        <v>0</v>
      </c>
      <c r="S626" s="237">
        <v>0</v>
      </c>
      <c r="T626" s="237">
        <v>0</v>
      </c>
      <c r="U626" s="237">
        <v>0</v>
      </c>
      <c r="V626" s="237">
        <v>0</v>
      </c>
      <c r="W626" s="237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37">
        <f t="shared" ref="AF626:AF639" si="253">SUM(H626:AE626)</f>
        <v>1</v>
      </c>
      <c r="AG626" s="94" t="str">
        <f t="shared" si="251"/>
        <v>ok</v>
      </c>
    </row>
    <row r="627" spans="1:33" s="61" customFormat="1">
      <c r="A627" s="61" t="s">
        <v>41</v>
      </c>
      <c r="C627" s="61" t="s">
        <v>42</v>
      </c>
      <c r="F627" s="82">
        <v>1</v>
      </c>
      <c r="G627" s="82"/>
      <c r="H627" s="237">
        <v>0</v>
      </c>
      <c r="I627" s="237">
        <v>0</v>
      </c>
      <c r="J627" s="237">
        <v>0</v>
      </c>
      <c r="K627" s="237">
        <v>0</v>
      </c>
      <c r="L627" s="237">
        <v>0</v>
      </c>
      <c r="M627" s="237">
        <v>0</v>
      </c>
      <c r="N627" s="237">
        <v>0</v>
      </c>
      <c r="O627" s="237">
        <v>0</v>
      </c>
      <c r="P627" s="237">
        <v>0</v>
      </c>
      <c r="Q627" s="237">
        <v>0</v>
      </c>
      <c r="R627" s="237">
        <v>0</v>
      </c>
      <c r="S627" s="237">
        <v>0</v>
      </c>
      <c r="T627" s="237">
        <v>0</v>
      </c>
      <c r="U627" s="237">
        <v>0</v>
      </c>
      <c r="V627" s="237">
        <v>0</v>
      </c>
      <c r="W627" s="237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1</v>
      </c>
      <c r="AF627" s="237">
        <f t="shared" si="253"/>
        <v>1</v>
      </c>
      <c r="AG627" s="94" t="str">
        <f t="shared" si="251"/>
        <v>ok</v>
      </c>
    </row>
    <row r="628" spans="1:33" s="61" customFormat="1" ht="15">
      <c r="A628" s="61" t="s">
        <v>639</v>
      </c>
      <c r="C628" s="61" t="s">
        <v>638</v>
      </c>
      <c r="F628" s="82">
        <v>1</v>
      </c>
      <c r="G628" s="82"/>
      <c r="H628" s="238">
        <v>0.34380130494917077</v>
      </c>
      <c r="I628" s="238">
        <v>0.36015362760499087</v>
      </c>
      <c r="J628" s="238">
        <v>0.29604506744583836</v>
      </c>
      <c r="K628" s="237">
        <v>0</v>
      </c>
      <c r="L628" s="237">
        <v>0</v>
      </c>
      <c r="M628" s="237">
        <v>0</v>
      </c>
      <c r="N628" s="237">
        <v>0</v>
      </c>
      <c r="O628" s="237">
        <v>0</v>
      </c>
      <c r="P628" s="237">
        <v>0</v>
      </c>
      <c r="Q628" s="237">
        <v>0</v>
      </c>
      <c r="R628" s="237">
        <v>0</v>
      </c>
      <c r="S628" s="237">
        <v>0</v>
      </c>
      <c r="T628" s="237">
        <v>0</v>
      </c>
      <c r="U628" s="237">
        <v>0</v>
      </c>
      <c r="V628" s="237">
        <v>0</v>
      </c>
      <c r="W628" s="237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37">
        <f t="shared" si="253"/>
        <v>1</v>
      </c>
      <c r="AG628" s="94" t="str">
        <f t="shared" si="251"/>
        <v>ok</v>
      </c>
    </row>
    <row r="629" spans="1:33" s="61" customFormat="1">
      <c r="A629" s="61" t="s">
        <v>644</v>
      </c>
      <c r="C629" s="61" t="s">
        <v>645</v>
      </c>
      <c r="F629" s="82">
        <v>1</v>
      </c>
      <c r="G629" s="82"/>
      <c r="H629" s="237">
        <v>0</v>
      </c>
      <c r="I629" s="237">
        <v>0</v>
      </c>
      <c r="J629" s="237">
        <v>0</v>
      </c>
      <c r="K629" s="237">
        <v>1</v>
      </c>
      <c r="L629" s="237">
        <v>0</v>
      </c>
      <c r="M629" s="237">
        <v>0</v>
      </c>
      <c r="N629" s="237">
        <v>0</v>
      </c>
      <c r="O629" s="237">
        <v>0</v>
      </c>
      <c r="P629" s="237">
        <v>0</v>
      </c>
      <c r="Q629" s="237">
        <v>0</v>
      </c>
      <c r="R629" s="237">
        <v>0</v>
      </c>
      <c r="S629" s="237">
        <v>0</v>
      </c>
      <c r="T629" s="237">
        <v>0</v>
      </c>
      <c r="U629" s="237">
        <v>0</v>
      </c>
      <c r="V629" s="237">
        <v>0</v>
      </c>
      <c r="W629" s="237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237">
        <f t="shared" si="253"/>
        <v>1</v>
      </c>
      <c r="AG629" s="94" t="str">
        <f t="shared" si="251"/>
        <v>ok</v>
      </c>
    </row>
    <row r="630" spans="1:33" s="61" customFormat="1">
      <c r="A630" s="61" t="s">
        <v>640</v>
      </c>
      <c r="C630" s="61" t="s">
        <v>641</v>
      </c>
      <c r="F630" s="82">
        <v>1</v>
      </c>
      <c r="G630" s="82"/>
      <c r="H630" s="237">
        <v>0</v>
      </c>
      <c r="I630" s="237">
        <v>0</v>
      </c>
      <c r="J630" s="237">
        <v>0</v>
      </c>
      <c r="K630" s="237">
        <v>1</v>
      </c>
      <c r="L630" s="237">
        <v>0</v>
      </c>
      <c r="M630" s="237">
        <v>0</v>
      </c>
      <c r="N630" s="237">
        <v>0</v>
      </c>
      <c r="O630" s="237">
        <v>0</v>
      </c>
      <c r="P630" s="237">
        <v>0</v>
      </c>
      <c r="Q630" s="237">
        <v>0</v>
      </c>
      <c r="R630" s="237">
        <v>0</v>
      </c>
      <c r="S630" s="237">
        <v>0</v>
      </c>
      <c r="T630" s="237">
        <v>0</v>
      </c>
      <c r="U630" s="237">
        <v>0</v>
      </c>
      <c r="V630" s="237">
        <v>0</v>
      </c>
      <c r="W630" s="237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37">
        <f t="shared" si="253"/>
        <v>1</v>
      </c>
      <c r="AG630" s="94" t="str">
        <f t="shared" si="251"/>
        <v>ok</v>
      </c>
    </row>
    <row r="631" spans="1:33" s="61" customFormat="1">
      <c r="A631" s="61" t="s">
        <v>642</v>
      </c>
      <c r="C631" s="61" t="s">
        <v>643</v>
      </c>
      <c r="F631" s="80">
        <f>F365+F366+F368+F369+F370</f>
        <v>14184336</v>
      </c>
      <c r="G631" s="113"/>
      <c r="H631" s="80">
        <f>H365+H366+H368+H369+H370</f>
        <v>4124450.8605688815</v>
      </c>
      <c r="I631" s="80">
        <f t="shared" ref="I631:AE631" si="254">I365+I366+I368+I369+I370</f>
        <v>4320623.330769565</v>
      </c>
      <c r="J631" s="80">
        <f t="shared" si="254"/>
        <v>3551537.808661554</v>
      </c>
      <c r="K631" s="80">
        <f t="shared" si="254"/>
        <v>2187724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3"/>
        <v>14184336</v>
      </c>
      <c r="AG631" s="94" t="str">
        <f t="shared" si="251"/>
        <v>ok</v>
      </c>
    </row>
    <row r="632" spans="1:33" s="61" customFormat="1" ht="15">
      <c r="A632" s="61" t="s">
        <v>646</v>
      </c>
      <c r="C632" s="61" t="s">
        <v>646</v>
      </c>
      <c r="F632" s="82">
        <v>1</v>
      </c>
      <c r="G632" s="82"/>
      <c r="H632" s="238">
        <f>H628</f>
        <v>0.34380130494917077</v>
      </c>
      <c r="I632" s="238">
        <f>I628</f>
        <v>0.36015362760499087</v>
      </c>
      <c r="J632" s="238">
        <f>J628</f>
        <v>0.29604506744583836</v>
      </c>
      <c r="K632" s="237">
        <v>0</v>
      </c>
      <c r="L632" s="237">
        <v>0</v>
      </c>
      <c r="M632" s="237">
        <v>0</v>
      </c>
      <c r="N632" s="237">
        <v>0</v>
      </c>
      <c r="O632" s="237">
        <v>0</v>
      </c>
      <c r="P632" s="237">
        <v>0</v>
      </c>
      <c r="Q632" s="237">
        <v>0</v>
      </c>
      <c r="R632" s="237">
        <v>0</v>
      </c>
      <c r="S632" s="237">
        <v>0</v>
      </c>
      <c r="T632" s="237">
        <v>0</v>
      </c>
      <c r="U632" s="237">
        <v>0</v>
      </c>
      <c r="V632" s="237">
        <v>0</v>
      </c>
      <c r="W632" s="237">
        <v>0</v>
      </c>
      <c r="X632" s="82">
        <v>0</v>
      </c>
      <c r="Y632" s="82">
        <v>0</v>
      </c>
      <c r="Z632" s="82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237">
        <f t="shared" si="253"/>
        <v>1</v>
      </c>
      <c r="AG632" s="94" t="str">
        <f t="shared" si="251"/>
        <v>ok</v>
      </c>
    </row>
    <row r="633" spans="1:33" s="61" customFormat="1">
      <c r="A633" s="61" t="s">
        <v>647</v>
      </c>
      <c r="C633" s="61" t="s">
        <v>648</v>
      </c>
      <c r="F633" s="80">
        <f>F376+F377+F378+F379</f>
        <v>7005990</v>
      </c>
      <c r="G633" s="113"/>
      <c r="H633" s="80">
        <f>H376+H377+H378+H379</f>
        <v>0</v>
      </c>
      <c r="I633" s="80">
        <f t="shared" ref="I633:AE633" si="255">I376+I377+I378+I379</f>
        <v>0</v>
      </c>
      <c r="J633" s="80">
        <f t="shared" si="255"/>
        <v>0</v>
      </c>
      <c r="K633" s="80">
        <f t="shared" si="255"/>
        <v>7005990</v>
      </c>
      <c r="L633" s="83">
        <f t="shared" si="255"/>
        <v>0</v>
      </c>
      <c r="M633" s="83">
        <f t="shared" si="255"/>
        <v>0</v>
      </c>
      <c r="N633" s="83">
        <f t="shared" si="255"/>
        <v>0</v>
      </c>
      <c r="O633" s="83">
        <f t="shared" si="255"/>
        <v>0</v>
      </c>
      <c r="P633" s="83">
        <f t="shared" si="255"/>
        <v>0</v>
      </c>
      <c r="Q633" s="83">
        <f t="shared" si="255"/>
        <v>0</v>
      </c>
      <c r="R633" s="83">
        <f t="shared" si="255"/>
        <v>0</v>
      </c>
      <c r="S633" s="83">
        <f t="shared" si="255"/>
        <v>0</v>
      </c>
      <c r="T633" s="83">
        <f t="shared" si="255"/>
        <v>0</v>
      </c>
      <c r="U633" s="83">
        <f t="shared" si="255"/>
        <v>0</v>
      </c>
      <c r="V633" s="83">
        <f t="shared" si="255"/>
        <v>0</v>
      </c>
      <c r="W633" s="83">
        <f t="shared" si="255"/>
        <v>0</v>
      </c>
      <c r="X633" s="83">
        <f t="shared" si="255"/>
        <v>0</v>
      </c>
      <c r="Y633" s="83">
        <f t="shared" si="255"/>
        <v>0</v>
      </c>
      <c r="Z633" s="83">
        <f t="shared" si="255"/>
        <v>0</v>
      </c>
      <c r="AA633" s="83">
        <f t="shared" si="255"/>
        <v>0</v>
      </c>
      <c r="AB633" s="83">
        <f t="shared" si="255"/>
        <v>0</v>
      </c>
      <c r="AC633" s="83">
        <f t="shared" si="255"/>
        <v>0</v>
      </c>
      <c r="AD633" s="83">
        <f t="shared" si="255"/>
        <v>0</v>
      </c>
      <c r="AE633" s="83">
        <f t="shared" si="255"/>
        <v>0</v>
      </c>
      <c r="AF633" s="83">
        <f t="shared" si="253"/>
        <v>7005990</v>
      </c>
      <c r="AG633" s="94" t="str">
        <f t="shared" si="251"/>
        <v>ok</v>
      </c>
    </row>
    <row r="634" spans="1:33" s="61" customFormat="1">
      <c r="A634" s="61" t="s">
        <v>649</v>
      </c>
      <c r="C634" s="61" t="s">
        <v>650</v>
      </c>
      <c r="F634" s="80">
        <f>F387+F388+F389+F390+F391</f>
        <v>240588</v>
      </c>
      <c r="G634" s="113"/>
      <c r="H634" s="80">
        <f t="shared" ref="H634:M634" si="256">H387+H388+H389+H390+H391</f>
        <v>82714.468355111108</v>
      </c>
      <c r="I634" s="80">
        <f t="shared" si="256"/>
        <v>86648.640958229546</v>
      </c>
      <c r="J634" s="80">
        <f t="shared" si="256"/>
        <v>71224.890686659361</v>
      </c>
      <c r="K634" s="80">
        <f t="shared" si="256"/>
        <v>0</v>
      </c>
      <c r="L634" s="83">
        <f t="shared" si="256"/>
        <v>0</v>
      </c>
      <c r="M634" s="83">
        <f t="shared" si="256"/>
        <v>0</v>
      </c>
      <c r="N634" s="83">
        <f>N387+N388+N389+N390+N391</f>
        <v>0</v>
      </c>
      <c r="O634" s="83">
        <f>O387+O388+O389+O390+O391</f>
        <v>0</v>
      </c>
      <c r="P634" s="83">
        <f>P387+P388+P389+P390+P391</f>
        <v>0</v>
      </c>
      <c r="Q634" s="83">
        <f t="shared" ref="Q634:AB634" si="257">Q387+Q388+Q389+Q390+Q391</f>
        <v>0</v>
      </c>
      <c r="R634" s="83">
        <f t="shared" si="257"/>
        <v>0</v>
      </c>
      <c r="S634" s="83">
        <f t="shared" si="257"/>
        <v>0</v>
      </c>
      <c r="T634" s="83">
        <f t="shared" si="257"/>
        <v>0</v>
      </c>
      <c r="U634" s="83">
        <f t="shared" si="257"/>
        <v>0</v>
      </c>
      <c r="V634" s="83">
        <f t="shared" si="257"/>
        <v>0</v>
      </c>
      <c r="W634" s="83">
        <f t="shared" si="257"/>
        <v>0</v>
      </c>
      <c r="X634" s="83">
        <f t="shared" si="257"/>
        <v>0</v>
      </c>
      <c r="Y634" s="83">
        <f t="shared" si="257"/>
        <v>0</v>
      </c>
      <c r="Z634" s="83">
        <f t="shared" si="257"/>
        <v>0</v>
      </c>
      <c r="AA634" s="83">
        <f t="shared" si="257"/>
        <v>0</v>
      </c>
      <c r="AB634" s="83">
        <f t="shared" si="257"/>
        <v>0</v>
      </c>
      <c r="AC634" s="83">
        <f>AC387+AC388+AC389+AC390+AC391</f>
        <v>0</v>
      </c>
      <c r="AD634" s="83">
        <f>AD387+AD388+AD389+AD390+AD391</f>
        <v>0</v>
      </c>
      <c r="AE634" s="83">
        <f>AE387+AE388+AE389+AE390+AE391</f>
        <v>0</v>
      </c>
      <c r="AF634" s="83">
        <f t="shared" si="253"/>
        <v>240588</v>
      </c>
      <c r="AG634" s="94" t="str">
        <f t="shared" si="251"/>
        <v>ok</v>
      </c>
    </row>
    <row r="635" spans="1:33" s="61" customFormat="1">
      <c r="A635" s="61" t="s">
        <v>656</v>
      </c>
      <c r="C635" s="61" t="s">
        <v>657</v>
      </c>
      <c r="F635" s="80">
        <f>F397+F398+F399+F400</f>
        <v>244786</v>
      </c>
      <c r="G635" s="113"/>
      <c r="H635" s="80">
        <f>H397+H398+H399+H400</f>
        <v>32229.997133764962</v>
      </c>
      <c r="I635" s="80">
        <f t="shared" ref="I635:AE635" si="258">I397+I398+I399+I400</f>
        <v>33762.961973457474</v>
      </c>
      <c r="J635" s="80">
        <f t="shared" si="258"/>
        <v>27753.040892777564</v>
      </c>
      <c r="K635" s="80">
        <f t="shared" si="258"/>
        <v>151040</v>
      </c>
      <c r="L635" s="83">
        <f t="shared" si="258"/>
        <v>0</v>
      </c>
      <c r="M635" s="83">
        <f t="shared" si="258"/>
        <v>0</v>
      </c>
      <c r="N635" s="83">
        <f t="shared" si="258"/>
        <v>0</v>
      </c>
      <c r="O635" s="83">
        <f t="shared" si="258"/>
        <v>0</v>
      </c>
      <c r="P635" s="83">
        <f t="shared" si="258"/>
        <v>0</v>
      </c>
      <c r="Q635" s="83">
        <f t="shared" si="258"/>
        <v>0</v>
      </c>
      <c r="R635" s="83">
        <f t="shared" si="258"/>
        <v>0</v>
      </c>
      <c r="S635" s="83">
        <f t="shared" si="258"/>
        <v>0</v>
      </c>
      <c r="T635" s="83">
        <f t="shared" si="258"/>
        <v>0</v>
      </c>
      <c r="U635" s="83">
        <f t="shared" si="258"/>
        <v>0</v>
      </c>
      <c r="V635" s="83">
        <f t="shared" si="258"/>
        <v>0</v>
      </c>
      <c r="W635" s="83">
        <f t="shared" si="258"/>
        <v>0</v>
      </c>
      <c r="X635" s="83">
        <f t="shared" si="258"/>
        <v>0</v>
      </c>
      <c r="Y635" s="83">
        <f t="shared" si="258"/>
        <v>0</v>
      </c>
      <c r="Z635" s="83">
        <f t="shared" si="258"/>
        <v>0</v>
      </c>
      <c r="AA635" s="83">
        <f t="shared" si="258"/>
        <v>0</v>
      </c>
      <c r="AB635" s="83">
        <f t="shared" si="258"/>
        <v>0</v>
      </c>
      <c r="AC635" s="83">
        <f t="shared" si="258"/>
        <v>0</v>
      </c>
      <c r="AD635" s="83">
        <f t="shared" si="258"/>
        <v>0</v>
      </c>
      <c r="AE635" s="83">
        <f t="shared" si="258"/>
        <v>0</v>
      </c>
      <c r="AF635" s="83">
        <f t="shared" si="253"/>
        <v>244786</v>
      </c>
      <c r="AG635" s="94" t="str">
        <f t="shared" si="251"/>
        <v>ok</v>
      </c>
    </row>
    <row r="636" spans="1:33" s="61" customFormat="1">
      <c r="A636" s="61" t="s">
        <v>659</v>
      </c>
      <c r="C636" s="61" t="s">
        <v>658</v>
      </c>
      <c r="F636" s="80">
        <f>F454+F455+F456+F457+F458+F459+F460+F461+F462+F463</f>
        <v>8611788</v>
      </c>
      <c r="G636" s="113"/>
      <c r="H636" s="80">
        <f>H454+H455+H456+H457+H458+H459+H460+H461+H462+H463</f>
        <v>0</v>
      </c>
      <c r="I636" s="80">
        <f t="shared" ref="I636:AE636" si="259">I454+I455+I456+I457+I458+I459+I460+I461+I462+I463</f>
        <v>0</v>
      </c>
      <c r="J636" s="80">
        <f t="shared" si="259"/>
        <v>0</v>
      </c>
      <c r="K636" s="80">
        <f t="shared" si="259"/>
        <v>0</v>
      </c>
      <c r="L636" s="83">
        <f t="shared" si="259"/>
        <v>0</v>
      </c>
      <c r="M636" s="83">
        <f t="shared" si="259"/>
        <v>0</v>
      </c>
      <c r="N636" s="83">
        <f t="shared" si="259"/>
        <v>0</v>
      </c>
      <c r="O636" s="83">
        <f t="shared" si="259"/>
        <v>0</v>
      </c>
      <c r="P636" s="83">
        <f t="shared" si="259"/>
        <v>0</v>
      </c>
      <c r="Q636" s="83">
        <f t="shared" si="259"/>
        <v>0</v>
      </c>
      <c r="R636" s="83">
        <f t="shared" si="259"/>
        <v>1597876.7869170245</v>
      </c>
      <c r="S636" s="83">
        <f t="shared" si="259"/>
        <v>0</v>
      </c>
      <c r="T636" s="83">
        <f t="shared" si="259"/>
        <v>868087.1728041803</v>
      </c>
      <c r="U636" s="83">
        <f t="shared" si="259"/>
        <v>1319488.7990259128</v>
      </c>
      <c r="V636" s="83">
        <f t="shared" si="259"/>
        <v>278890.65091015655</v>
      </c>
      <c r="W636" s="83">
        <f t="shared" si="259"/>
        <v>412660.24099335447</v>
      </c>
      <c r="X636" s="83">
        <f t="shared" si="259"/>
        <v>112092.53557322365</v>
      </c>
      <c r="Y636" s="83">
        <f t="shared" si="259"/>
        <v>78392.17862883849</v>
      </c>
      <c r="Z636" s="83">
        <f t="shared" si="259"/>
        <v>38931.021656189172</v>
      </c>
      <c r="AA636" s="83">
        <f t="shared" si="259"/>
        <v>3781629.8977025673</v>
      </c>
      <c r="AB636" s="83">
        <f t="shared" si="259"/>
        <v>123738.71578855267</v>
      </c>
      <c r="AC636" s="83">
        <f t="shared" si="259"/>
        <v>0</v>
      </c>
      <c r="AD636" s="83">
        <f t="shared" si="259"/>
        <v>0</v>
      </c>
      <c r="AE636" s="83">
        <f t="shared" si="259"/>
        <v>0</v>
      </c>
      <c r="AF636" s="83">
        <f t="shared" si="253"/>
        <v>8611788</v>
      </c>
      <c r="AG636" s="94" t="str">
        <f t="shared" si="251"/>
        <v>ok</v>
      </c>
    </row>
    <row r="637" spans="1:33" s="61" customFormat="1">
      <c r="A637" s="61" t="s">
        <v>660</v>
      </c>
      <c r="C637" s="61" t="s">
        <v>661</v>
      </c>
      <c r="F637" s="80">
        <f>F475+F476+F477+F478+F479+F480+F481+F482</f>
        <v>3271140</v>
      </c>
      <c r="G637" s="113"/>
      <c r="H637" s="80">
        <f>H475+H476+H477+H478+H479+H480+H481+H482</f>
        <v>0</v>
      </c>
      <c r="I637" s="80">
        <f t="shared" ref="I637:AE637" si="260">I475+I476+I477+I478+I479+I480+I481+I482</f>
        <v>0</v>
      </c>
      <c r="J637" s="80">
        <f t="shared" si="260"/>
        <v>0</v>
      </c>
      <c r="K637" s="80">
        <f t="shared" si="260"/>
        <v>0</v>
      </c>
      <c r="L637" s="83">
        <f t="shared" si="260"/>
        <v>0</v>
      </c>
      <c r="M637" s="83">
        <f t="shared" si="260"/>
        <v>0</v>
      </c>
      <c r="N637" s="83">
        <f t="shared" si="260"/>
        <v>0</v>
      </c>
      <c r="O637" s="83">
        <f t="shared" si="260"/>
        <v>0</v>
      </c>
      <c r="P637" s="83">
        <f t="shared" si="260"/>
        <v>0</v>
      </c>
      <c r="Q637" s="83">
        <f t="shared" si="260"/>
        <v>0</v>
      </c>
      <c r="R637" s="83">
        <f t="shared" si="260"/>
        <v>199000</v>
      </c>
      <c r="S637" s="83">
        <f t="shared" si="260"/>
        <v>0</v>
      </c>
      <c r="T637" s="83">
        <f t="shared" si="260"/>
        <v>898402.37669434003</v>
      </c>
      <c r="U637" s="83">
        <f t="shared" si="260"/>
        <v>1348157.25470566</v>
      </c>
      <c r="V637" s="83">
        <f t="shared" si="260"/>
        <v>299940.08960566</v>
      </c>
      <c r="W637" s="83">
        <f t="shared" si="260"/>
        <v>441123.27899434004</v>
      </c>
      <c r="X637" s="83">
        <f t="shared" si="260"/>
        <v>45733.305287180439</v>
      </c>
      <c r="Y637" s="83">
        <f t="shared" si="260"/>
        <v>31983.694712819564</v>
      </c>
      <c r="Z637" s="83">
        <f t="shared" si="260"/>
        <v>0</v>
      </c>
      <c r="AA637" s="83">
        <f t="shared" si="260"/>
        <v>0</v>
      </c>
      <c r="AB637" s="83">
        <f t="shared" si="260"/>
        <v>6800</v>
      </c>
      <c r="AC637" s="83">
        <f t="shared" si="260"/>
        <v>0</v>
      </c>
      <c r="AD637" s="83">
        <f t="shared" si="260"/>
        <v>0</v>
      </c>
      <c r="AE637" s="83">
        <f t="shared" si="260"/>
        <v>0</v>
      </c>
      <c r="AF637" s="83">
        <f t="shared" si="253"/>
        <v>3271140.0000000005</v>
      </c>
      <c r="AG637" s="94" t="str">
        <f t="shared" si="251"/>
        <v>ok</v>
      </c>
    </row>
    <row r="638" spans="1:33" s="61" customFormat="1">
      <c r="A638" s="61" t="s">
        <v>1034</v>
      </c>
      <c r="C638" s="61" t="s">
        <v>662</v>
      </c>
      <c r="F638" s="82">
        <v>1</v>
      </c>
      <c r="G638" s="82"/>
      <c r="H638" s="237">
        <v>0</v>
      </c>
      <c r="I638" s="237">
        <v>0</v>
      </c>
      <c r="J638" s="237">
        <v>0</v>
      </c>
      <c r="K638" s="237">
        <v>0</v>
      </c>
      <c r="L638" s="237">
        <v>0</v>
      </c>
      <c r="M638" s="237">
        <v>0</v>
      </c>
      <c r="N638" s="237">
        <v>0</v>
      </c>
      <c r="O638" s="237">
        <v>0</v>
      </c>
      <c r="P638" s="237">
        <v>0</v>
      </c>
      <c r="Q638" s="237">
        <v>0</v>
      </c>
      <c r="R638" s="237">
        <v>0</v>
      </c>
      <c r="S638" s="237">
        <v>0</v>
      </c>
      <c r="T638" s="237">
        <v>0</v>
      </c>
      <c r="U638" s="237">
        <v>0</v>
      </c>
      <c r="V638" s="237">
        <v>0</v>
      </c>
      <c r="W638" s="237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1</v>
      </c>
      <c r="AD638" s="82">
        <v>0</v>
      </c>
      <c r="AE638" s="82">
        <v>0</v>
      </c>
      <c r="AF638" s="237">
        <f t="shared" si="253"/>
        <v>1</v>
      </c>
      <c r="AG638" s="94" t="str">
        <f t="shared" si="251"/>
        <v>ok</v>
      </c>
    </row>
    <row r="639" spans="1:33" s="61" customFormat="1">
      <c r="A639" s="61" t="s">
        <v>1045</v>
      </c>
      <c r="C639" s="61" t="s">
        <v>663</v>
      </c>
      <c r="F639" s="82">
        <v>1</v>
      </c>
      <c r="G639" s="82"/>
      <c r="H639" s="237">
        <v>0</v>
      </c>
      <c r="I639" s="237">
        <v>0</v>
      </c>
      <c r="J639" s="237">
        <v>0</v>
      </c>
      <c r="K639" s="237">
        <v>0</v>
      </c>
      <c r="L639" s="237">
        <v>0</v>
      </c>
      <c r="M639" s="237">
        <v>0</v>
      </c>
      <c r="N639" s="237">
        <v>0</v>
      </c>
      <c r="O639" s="237">
        <v>0</v>
      </c>
      <c r="P639" s="237">
        <v>0</v>
      </c>
      <c r="Q639" s="237">
        <v>0</v>
      </c>
      <c r="R639" s="237">
        <v>0</v>
      </c>
      <c r="S639" s="237">
        <v>0</v>
      </c>
      <c r="T639" s="237">
        <v>0</v>
      </c>
      <c r="U639" s="237">
        <v>0</v>
      </c>
      <c r="V639" s="237">
        <v>0</v>
      </c>
      <c r="W639" s="237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1</v>
      </c>
      <c r="AE639" s="82">
        <v>0</v>
      </c>
      <c r="AF639" s="237">
        <f t="shared" si="253"/>
        <v>1</v>
      </c>
      <c r="AG639" s="94" t="str">
        <f t="shared" si="251"/>
        <v>ok</v>
      </c>
    </row>
    <row r="640" spans="1:33" s="61" customFormat="1">
      <c r="A640" s="61" t="s">
        <v>895</v>
      </c>
      <c r="C640" s="61" t="s">
        <v>894</v>
      </c>
      <c r="F640" s="80">
        <f>F39+F40</f>
        <v>857428693</v>
      </c>
      <c r="G640" s="80">
        <f t="shared" ref="G640:AE640" si="261">G39+G40</f>
        <v>0</v>
      </c>
      <c r="H640" s="80">
        <f t="shared" si="261"/>
        <v>0</v>
      </c>
      <c r="I640" s="80">
        <f t="shared" si="261"/>
        <v>0</v>
      </c>
      <c r="J640" s="80">
        <f t="shared" si="261"/>
        <v>0</v>
      </c>
      <c r="K640" s="80">
        <f t="shared" si="261"/>
        <v>0</v>
      </c>
      <c r="L640" s="80">
        <f t="shared" si="261"/>
        <v>0</v>
      </c>
      <c r="M640" s="80">
        <f t="shared" si="261"/>
        <v>0</v>
      </c>
      <c r="N640" s="80">
        <f t="shared" si="261"/>
        <v>0</v>
      </c>
      <c r="O640" s="80">
        <f t="shared" si="261"/>
        <v>0</v>
      </c>
      <c r="P640" s="80">
        <f t="shared" si="261"/>
        <v>0</v>
      </c>
      <c r="Q640" s="80">
        <f t="shared" si="261"/>
        <v>0</v>
      </c>
      <c r="R640" s="80">
        <f t="shared" si="261"/>
        <v>0</v>
      </c>
      <c r="S640" s="80">
        <f t="shared" si="261"/>
        <v>0</v>
      </c>
      <c r="T640" s="80">
        <f t="shared" si="261"/>
        <v>261090031.11421514</v>
      </c>
      <c r="U640" s="80">
        <f t="shared" si="261"/>
        <v>415491278.21078491</v>
      </c>
      <c r="V640" s="80">
        <f t="shared" si="261"/>
        <v>71774630.733684897</v>
      </c>
      <c r="W640" s="80">
        <f t="shared" si="261"/>
        <v>109072752.94131508</v>
      </c>
      <c r="X640" s="80">
        <f t="shared" si="261"/>
        <v>0</v>
      </c>
      <c r="Y640" s="80">
        <f t="shared" si="261"/>
        <v>0</v>
      </c>
      <c r="Z640" s="80">
        <f t="shared" si="261"/>
        <v>0</v>
      </c>
      <c r="AA640" s="80">
        <f t="shared" si="261"/>
        <v>0</v>
      </c>
      <c r="AB640" s="80">
        <f t="shared" si="261"/>
        <v>0</v>
      </c>
      <c r="AC640" s="80">
        <f t="shared" si="261"/>
        <v>0</v>
      </c>
      <c r="AD640" s="80">
        <f t="shared" si="261"/>
        <v>0</v>
      </c>
      <c r="AE640" s="80">
        <f t="shared" si="261"/>
        <v>0</v>
      </c>
      <c r="AF640" s="83">
        <f t="shared" ref="AF640:AF648" si="262">SUM(H640:AE640)</f>
        <v>857428693</v>
      </c>
      <c r="AG640" s="94" t="str">
        <f t="shared" si="251"/>
        <v>ok</v>
      </c>
    </row>
    <row r="641" spans="1:33" s="61" customFormat="1">
      <c r="A641" s="61" t="s">
        <v>919</v>
      </c>
      <c r="D641" s="61" t="s">
        <v>638</v>
      </c>
      <c r="F641" s="80">
        <v>20765365.719999999</v>
      </c>
      <c r="G641" s="80"/>
      <c r="H641" s="80">
        <f t="shared" ref="H641:Q642" si="263">IF(VLOOKUP($D641,$C$6:$AE$653,H$2,)=0,0,((VLOOKUP($D641,$C$6:$AE$653,H$2,)/VLOOKUP($D641,$C$6:$AE$653,4,))*$F641))</f>
        <v>7139159.8322827769</v>
      </c>
      <c r="I641" s="80">
        <f t="shared" si="263"/>
        <v>7478721.792602323</v>
      </c>
      <c r="J641" s="80">
        <f t="shared" si="263"/>
        <v>6147484.0951148998</v>
      </c>
      <c r="K641" s="80">
        <f t="shared" si="263"/>
        <v>0</v>
      </c>
      <c r="L641" s="80">
        <f t="shared" si="263"/>
        <v>0</v>
      </c>
      <c r="M641" s="80">
        <f t="shared" si="263"/>
        <v>0</v>
      </c>
      <c r="N641" s="80">
        <f t="shared" si="263"/>
        <v>0</v>
      </c>
      <c r="O641" s="80">
        <f t="shared" si="263"/>
        <v>0</v>
      </c>
      <c r="P641" s="80">
        <f t="shared" si="263"/>
        <v>0</v>
      </c>
      <c r="Q641" s="80">
        <f t="shared" si="263"/>
        <v>0</v>
      </c>
      <c r="R641" s="80">
        <f t="shared" ref="R641:AE642" si="264">IF(VLOOKUP($D641,$C$6:$AE$653,R$2,)=0,0,((VLOOKUP($D641,$C$6:$AE$653,R$2,)/VLOOKUP($D641,$C$6:$AE$653,4,))*$F641))</f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2"/>
        <v>20765365.719999999</v>
      </c>
      <c r="AG641" s="94" t="str">
        <f>IF(ABS(AF641-F641)&lt;1,"ok","err")</f>
        <v>ok</v>
      </c>
    </row>
    <row r="642" spans="1:33" s="61" customFormat="1">
      <c r="A642" s="61" t="s">
        <v>920</v>
      </c>
      <c r="D642" s="61" t="s">
        <v>641</v>
      </c>
      <c r="F642" s="80">
        <v>48301061.920000002</v>
      </c>
      <c r="G642" s="82"/>
      <c r="H642" s="80">
        <f t="shared" si="263"/>
        <v>0</v>
      </c>
      <c r="I642" s="80">
        <f t="shared" si="263"/>
        <v>0</v>
      </c>
      <c r="J642" s="80">
        <f t="shared" si="263"/>
        <v>0</v>
      </c>
      <c r="K642" s="80">
        <f t="shared" si="263"/>
        <v>48301061.920000002</v>
      </c>
      <c r="L642" s="80">
        <f t="shared" si="263"/>
        <v>0</v>
      </c>
      <c r="M642" s="80">
        <f t="shared" si="263"/>
        <v>0</v>
      </c>
      <c r="N642" s="80">
        <f t="shared" si="263"/>
        <v>0</v>
      </c>
      <c r="O642" s="80">
        <f t="shared" si="263"/>
        <v>0</v>
      </c>
      <c r="P642" s="80">
        <f t="shared" si="263"/>
        <v>0</v>
      </c>
      <c r="Q642" s="80">
        <f t="shared" si="263"/>
        <v>0</v>
      </c>
      <c r="R642" s="80">
        <f t="shared" si="264"/>
        <v>0</v>
      </c>
      <c r="S642" s="80">
        <f t="shared" si="264"/>
        <v>0</v>
      </c>
      <c r="T642" s="80">
        <f t="shared" si="264"/>
        <v>0</v>
      </c>
      <c r="U642" s="80">
        <f t="shared" si="264"/>
        <v>0</v>
      </c>
      <c r="V642" s="80">
        <f t="shared" si="264"/>
        <v>0</v>
      </c>
      <c r="W642" s="80">
        <f t="shared" si="264"/>
        <v>0</v>
      </c>
      <c r="X642" s="80">
        <f t="shared" si="264"/>
        <v>0</v>
      </c>
      <c r="Y642" s="80">
        <f t="shared" si="264"/>
        <v>0</v>
      </c>
      <c r="Z642" s="80">
        <f t="shared" si="264"/>
        <v>0</v>
      </c>
      <c r="AA642" s="80">
        <f t="shared" si="264"/>
        <v>0</v>
      </c>
      <c r="AB642" s="80">
        <f t="shared" si="264"/>
        <v>0</v>
      </c>
      <c r="AC642" s="80">
        <f t="shared" si="264"/>
        <v>0</v>
      </c>
      <c r="AD642" s="80">
        <f t="shared" si="264"/>
        <v>0</v>
      </c>
      <c r="AE642" s="80">
        <f t="shared" si="264"/>
        <v>0</v>
      </c>
      <c r="AF642" s="80">
        <f t="shared" si="262"/>
        <v>48301061.920000002</v>
      </c>
      <c r="AG642" s="94" t="str">
        <f>IF(ABS(AF642-F642)&lt;1,"ok","err")</f>
        <v>ok</v>
      </c>
    </row>
    <row r="643" spans="1:33" s="61" customFormat="1">
      <c r="A643" s="61" t="s">
        <v>10</v>
      </c>
      <c r="C643" s="61" t="s">
        <v>995</v>
      </c>
      <c r="F643" s="80">
        <f>F641+F642</f>
        <v>69066427.640000001</v>
      </c>
      <c r="G643" s="80"/>
      <c r="H643" s="80">
        <f>H641+H642</f>
        <v>7139159.8322827769</v>
      </c>
      <c r="I643" s="80">
        <f t="shared" ref="I643:AE643" si="265">I641+I642</f>
        <v>7478721.792602323</v>
      </c>
      <c r="J643" s="80">
        <f t="shared" si="265"/>
        <v>6147484.0951148998</v>
      </c>
      <c r="K643" s="80">
        <f t="shared" si="265"/>
        <v>48301061.920000002</v>
      </c>
      <c r="L643" s="80">
        <f t="shared" si="265"/>
        <v>0</v>
      </c>
      <c r="M643" s="80">
        <f t="shared" si="265"/>
        <v>0</v>
      </c>
      <c r="N643" s="80">
        <f t="shared" si="265"/>
        <v>0</v>
      </c>
      <c r="O643" s="80">
        <f t="shared" si="265"/>
        <v>0</v>
      </c>
      <c r="P643" s="80">
        <f t="shared" si="265"/>
        <v>0</v>
      </c>
      <c r="Q643" s="80">
        <f t="shared" si="265"/>
        <v>0</v>
      </c>
      <c r="R643" s="80">
        <f t="shared" si="265"/>
        <v>0</v>
      </c>
      <c r="S643" s="80">
        <f t="shared" si="265"/>
        <v>0</v>
      </c>
      <c r="T643" s="80">
        <f t="shared" si="265"/>
        <v>0</v>
      </c>
      <c r="U643" s="80">
        <f t="shared" si="265"/>
        <v>0</v>
      </c>
      <c r="V643" s="80">
        <f t="shared" si="265"/>
        <v>0</v>
      </c>
      <c r="W643" s="80">
        <f t="shared" si="265"/>
        <v>0</v>
      </c>
      <c r="X643" s="80">
        <f t="shared" si="265"/>
        <v>0</v>
      </c>
      <c r="Y643" s="80">
        <f t="shared" si="265"/>
        <v>0</v>
      </c>
      <c r="Z643" s="80">
        <f t="shared" si="265"/>
        <v>0</v>
      </c>
      <c r="AA643" s="80">
        <f t="shared" si="265"/>
        <v>0</v>
      </c>
      <c r="AB643" s="80">
        <f t="shared" si="265"/>
        <v>0</v>
      </c>
      <c r="AC643" s="80">
        <f t="shared" si="265"/>
        <v>0</v>
      </c>
      <c r="AD643" s="80">
        <f t="shared" si="265"/>
        <v>0</v>
      </c>
      <c r="AE643" s="80">
        <f t="shared" si="265"/>
        <v>0</v>
      </c>
      <c r="AF643" s="80">
        <f t="shared" si="262"/>
        <v>69066427.640000001</v>
      </c>
      <c r="AG643" s="94" t="str">
        <f>IF(ABS(AF643-F643)&lt;1,"ok","err")</f>
        <v>ok</v>
      </c>
    </row>
    <row r="644" spans="1:33" s="61" customFormat="1">
      <c r="A644" s="61" t="s">
        <v>116</v>
      </c>
      <c r="C644" s="61" t="s">
        <v>114</v>
      </c>
      <c r="F644" s="84">
        <v>1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4">
        <v>1</v>
      </c>
      <c r="AD644" s="80">
        <v>0</v>
      </c>
      <c r="AE644" s="80">
        <v>0</v>
      </c>
      <c r="AF644" s="237">
        <f t="shared" si="262"/>
        <v>1</v>
      </c>
      <c r="AG644" s="94" t="str">
        <f>IF(ABS(AF644-F644)&lt;1,"ok","err")</f>
        <v>ok</v>
      </c>
    </row>
    <row r="645" spans="1:33" s="61" customFormat="1">
      <c r="A645" s="61" t="s">
        <v>117</v>
      </c>
      <c r="C645" s="61" t="s">
        <v>115</v>
      </c>
      <c r="F645" s="84">
        <v>1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4">
        <v>1</v>
      </c>
      <c r="AD645" s="80">
        <v>0</v>
      </c>
      <c r="AE645" s="80">
        <v>0</v>
      </c>
      <c r="AF645" s="237">
        <f t="shared" si="262"/>
        <v>1</v>
      </c>
      <c r="AG645" s="94" t="str">
        <f>IF(ABS(AF645-F645)&lt;1,"ok","err")</f>
        <v>ok</v>
      </c>
    </row>
    <row r="646" spans="1:33" s="61" customFormat="1">
      <c r="A646" s="61" t="s">
        <v>122</v>
      </c>
      <c r="C646" s="61" t="s">
        <v>119</v>
      </c>
      <c r="F646" s="82">
        <v>1</v>
      </c>
      <c r="G646" s="82"/>
      <c r="H646" s="237">
        <v>0</v>
      </c>
      <c r="I646" s="237">
        <v>0</v>
      </c>
      <c r="J646" s="237">
        <v>0</v>
      </c>
      <c r="K646" s="237">
        <v>0</v>
      </c>
      <c r="L646" s="237">
        <v>0</v>
      </c>
      <c r="M646" s="237">
        <v>1</v>
      </c>
      <c r="N646" s="237">
        <v>0</v>
      </c>
      <c r="O646" s="237">
        <v>0</v>
      </c>
      <c r="P646" s="237">
        <v>0</v>
      </c>
      <c r="Q646" s="237">
        <v>0</v>
      </c>
      <c r="R646" s="237">
        <v>0</v>
      </c>
      <c r="S646" s="237">
        <v>0</v>
      </c>
      <c r="T646" s="237">
        <v>0</v>
      </c>
      <c r="U646" s="237">
        <v>0</v>
      </c>
      <c r="V646" s="237">
        <v>0</v>
      </c>
      <c r="W646" s="237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37">
        <f t="shared" si="262"/>
        <v>1</v>
      </c>
      <c r="AG646" s="94" t="str">
        <f>IF(ABS(AF646-F646)&lt;0.0000001,"ok","err")</f>
        <v>ok</v>
      </c>
    </row>
    <row r="647" spans="1:33" s="61" customFormat="1">
      <c r="A647" s="61" t="s">
        <v>121</v>
      </c>
      <c r="C647" s="61" t="s">
        <v>120</v>
      </c>
      <c r="F647" s="82">
        <v>1</v>
      </c>
      <c r="G647" s="82"/>
      <c r="H647" s="237">
        <v>1</v>
      </c>
      <c r="I647" s="237">
        <v>0</v>
      </c>
      <c r="J647" s="237">
        <v>0</v>
      </c>
      <c r="K647" s="237">
        <v>0</v>
      </c>
      <c r="L647" s="237">
        <v>0</v>
      </c>
      <c r="M647" s="237">
        <v>0</v>
      </c>
      <c r="N647" s="237">
        <v>0</v>
      </c>
      <c r="O647" s="237">
        <v>0</v>
      </c>
      <c r="P647" s="237">
        <v>0</v>
      </c>
      <c r="Q647" s="237">
        <v>0</v>
      </c>
      <c r="R647" s="237">
        <v>0</v>
      </c>
      <c r="S647" s="237">
        <v>0</v>
      </c>
      <c r="T647" s="237">
        <v>0</v>
      </c>
      <c r="U647" s="237">
        <v>0</v>
      </c>
      <c r="V647" s="237">
        <v>0</v>
      </c>
      <c r="W647" s="237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237">
        <f t="shared" si="262"/>
        <v>1</v>
      </c>
      <c r="AG647" s="94" t="str">
        <f>IF(ABS(AF647-F647)&lt;0.0000001,"ok","err")</f>
        <v>ok</v>
      </c>
    </row>
    <row r="648" spans="1:33" s="61" customFormat="1">
      <c r="C648" s="61" t="s">
        <v>939</v>
      </c>
      <c r="F648" s="82">
        <v>1</v>
      </c>
      <c r="G648" s="82"/>
      <c r="H648" s="237">
        <v>0</v>
      </c>
      <c r="I648" s="237">
        <v>0</v>
      </c>
      <c r="J648" s="237">
        <v>0</v>
      </c>
      <c r="K648" s="237">
        <v>1</v>
      </c>
      <c r="L648" s="237">
        <v>0</v>
      </c>
      <c r="M648" s="237">
        <v>0</v>
      </c>
      <c r="N648" s="237">
        <v>0</v>
      </c>
      <c r="O648" s="237">
        <v>0</v>
      </c>
      <c r="P648" s="237">
        <v>0</v>
      </c>
      <c r="Q648" s="237">
        <v>0</v>
      </c>
      <c r="R648" s="237">
        <v>0</v>
      </c>
      <c r="S648" s="237">
        <v>0</v>
      </c>
      <c r="T648" s="237">
        <v>0</v>
      </c>
      <c r="U648" s="237">
        <v>0</v>
      </c>
      <c r="V648" s="237">
        <v>0</v>
      </c>
      <c r="W648" s="237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237">
        <f t="shared" si="262"/>
        <v>1</v>
      </c>
      <c r="AG648" s="94" t="str">
        <f>IF(ABS(AF648-F648)&lt;0.0000001,"ok","err")</f>
        <v>ok</v>
      </c>
    </row>
    <row r="649" spans="1:33" s="61" customFormat="1">
      <c r="W649" s="78"/>
      <c r="AG649" s="94"/>
    </row>
    <row r="650" spans="1:33" s="61" customFormat="1" ht="15">
      <c r="A650" s="66" t="s">
        <v>910</v>
      </c>
      <c r="W650" s="78"/>
      <c r="AG650" s="94"/>
    </row>
    <row r="651" spans="1:33" s="61" customFormat="1">
      <c r="A651" s="61" t="s">
        <v>893</v>
      </c>
      <c r="D651" s="61" t="s">
        <v>1172</v>
      </c>
      <c r="F651" s="82">
        <v>1</v>
      </c>
      <c r="H651" s="111">
        <f>H50/$F$50</f>
        <v>0.19283906465573772</v>
      </c>
      <c r="I651" s="111">
        <f>I50/$F$50</f>
        <v>0.20201112584486958</v>
      </c>
      <c r="J651" s="111">
        <f>J50/$F$50</f>
        <v>0.16605246425879791</v>
      </c>
      <c r="K651" s="111">
        <f>K50/$F$50</f>
        <v>0</v>
      </c>
      <c r="L651" s="111">
        <f t="shared" ref="L651:AE651" si="266">L50/$F$50</f>
        <v>0</v>
      </c>
      <c r="M651" s="111">
        <f t="shared" si="266"/>
        <v>0</v>
      </c>
      <c r="N651" s="111">
        <f t="shared" si="266"/>
        <v>0.10758568985889098</v>
      </c>
      <c r="O651" s="111">
        <f t="shared" si="266"/>
        <v>0</v>
      </c>
      <c r="P651" s="111">
        <f t="shared" si="266"/>
        <v>0</v>
      </c>
      <c r="Q651" s="111">
        <f t="shared" si="266"/>
        <v>0</v>
      </c>
      <c r="R651" s="111">
        <f t="shared" si="266"/>
        <v>3.7143345726016942E-2</v>
      </c>
      <c r="S651" s="111">
        <f t="shared" si="266"/>
        <v>0</v>
      </c>
      <c r="T651" s="111">
        <f t="shared" si="266"/>
        <v>6.3518941758240924E-2</v>
      </c>
      <c r="U651" s="111">
        <f t="shared" si="266"/>
        <v>0.10108224427068532</v>
      </c>
      <c r="V651" s="111">
        <f t="shared" si="266"/>
        <v>1.7461595794508913E-2</v>
      </c>
      <c r="W651" s="111">
        <f t="shared" si="266"/>
        <v>2.6535619961911242E-2</v>
      </c>
      <c r="X651" s="111">
        <f t="shared" si="266"/>
        <v>2.4137193656131796E-2</v>
      </c>
      <c r="Y651" s="111">
        <f t="shared" si="266"/>
        <v>1.6880403204496217E-2</v>
      </c>
      <c r="Z651" s="111">
        <f t="shared" si="266"/>
        <v>8.3831238551353472E-3</v>
      </c>
      <c r="AA651" s="111">
        <f t="shared" si="266"/>
        <v>9.7241895151196339E-3</v>
      </c>
      <c r="AB651" s="111">
        <f t="shared" si="266"/>
        <v>2.6644997639457487E-2</v>
      </c>
      <c r="AC651" s="111">
        <f t="shared" si="266"/>
        <v>0</v>
      </c>
      <c r="AD651" s="111">
        <f t="shared" si="266"/>
        <v>0</v>
      </c>
      <c r="AE651" s="111">
        <f t="shared" si="266"/>
        <v>0</v>
      </c>
      <c r="AF651" s="237">
        <f t="shared" ref="AF651:AF669" si="267">SUM(H651:AE651)</f>
        <v>1</v>
      </c>
      <c r="AG651" s="94" t="str">
        <f t="shared" ref="AG651:AG669" si="268">IF(ABS(AF651-F651)&lt;0.0000001,"ok","err")</f>
        <v>ok</v>
      </c>
    </row>
    <row r="652" spans="1:33" s="61" customFormat="1">
      <c r="A652" s="61" t="s">
        <v>964</v>
      </c>
      <c r="D652" s="61" t="s">
        <v>944</v>
      </c>
      <c r="F652" s="82">
        <v>1</v>
      </c>
      <c r="H652" s="111">
        <f>H48/$F$48</f>
        <v>0</v>
      </c>
      <c r="I652" s="111">
        <f t="shared" ref="I652:AE652" si="269">I48/$F$48</f>
        <v>0</v>
      </c>
      <c r="J652" s="111">
        <f t="shared" si="269"/>
        <v>0</v>
      </c>
      <c r="K652" s="111">
        <f t="shared" si="269"/>
        <v>0</v>
      </c>
      <c r="L652" s="111">
        <f t="shared" si="269"/>
        <v>0</v>
      </c>
      <c r="M652" s="111">
        <f t="shared" si="269"/>
        <v>0</v>
      </c>
      <c r="N652" s="111">
        <f t="shared" si="269"/>
        <v>0</v>
      </c>
      <c r="O652" s="111">
        <f t="shared" si="269"/>
        <v>0</v>
      </c>
      <c r="P652" s="111">
        <f t="shared" si="269"/>
        <v>0</v>
      </c>
      <c r="Q652" s="111">
        <f t="shared" si="269"/>
        <v>0</v>
      </c>
      <c r="R652" s="111">
        <f t="shared" si="269"/>
        <v>0.11204235242724708</v>
      </c>
      <c r="S652" s="111">
        <f t="shared" si="269"/>
        <v>0</v>
      </c>
      <c r="T652" s="111">
        <f t="shared" si="269"/>
        <v>0.19160394733363137</v>
      </c>
      <c r="U652" s="111">
        <f t="shared" si="269"/>
        <v>0.30491309318913334</v>
      </c>
      <c r="V652" s="111">
        <f t="shared" si="269"/>
        <v>5.267264517262165E-2</v>
      </c>
      <c r="W652" s="111">
        <f t="shared" si="269"/>
        <v>8.0044304720924594E-2</v>
      </c>
      <c r="X652" s="111">
        <f t="shared" si="269"/>
        <v>7.2809487281345009E-2</v>
      </c>
      <c r="Y652" s="111">
        <f t="shared" si="269"/>
        <v>5.0919486330156492E-2</v>
      </c>
      <c r="Z652" s="111">
        <f t="shared" si="269"/>
        <v>2.5287568986022486E-2</v>
      </c>
      <c r="AA652" s="111">
        <f t="shared" si="269"/>
        <v>2.9332873693153152E-2</v>
      </c>
      <c r="AB652" s="111">
        <f t="shared" si="269"/>
        <v>8.0374240865764834E-2</v>
      </c>
      <c r="AC652" s="111">
        <f t="shared" si="269"/>
        <v>0</v>
      </c>
      <c r="AD652" s="111">
        <f t="shared" si="269"/>
        <v>0</v>
      </c>
      <c r="AE652" s="111">
        <f t="shared" si="269"/>
        <v>0</v>
      </c>
      <c r="AF652" s="237">
        <f t="shared" si="267"/>
        <v>1</v>
      </c>
      <c r="AG652" s="94" t="str">
        <f t="shared" si="268"/>
        <v>ok</v>
      </c>
    </row>
    <row r="653" spans="1:33" s="61" customFormat="1">
      <c r="A653" s="61" t="s">
        <v>1142</v>
      </c>
      <c r="D653" s="61" t="s">
        <v>1170</v>
      </c>
      <c r="F653" s="82">
        <v>1</v>
      </c>
      <c r="H653" s="111">
        <f t="shared" ref="H653:AE653" si="270">H33/$F$33</f>
        <v>0</v>
      </c>
      <c r="I653" s="111">
        <f t="shared" si="270"/>
        <v>0</v>
      </c>
      <c r="J653" s="111">
        <f t="shared" si="270"/>
        <v>0</v>
      </c>
      <c r="K653" s="111">
        <f t="shared" si="270"/>
        <v>0</v>
      </c>
      <c r="L653" s="111">
        <f t="shared" si="270"/>
        <v>0</v>
      </c>
      <c r="M653" s="111">
        <f t="shared" si="270"/>
        <v>0</v>
      </c>
      <c r="N653" s="111">
        <f t="shared" si="270"/>
        <v>1</v>
      </c>
      <c r="O653" s="111">
        <f t="shared" si="270"/>
        <v>0</v>
      </c>
      <c r="P653" s="111">
        <f t="shared" si="270"/>
        <v>0</v>
      </c>
      <c r="Q653" s="111">
        <f t="shared" si="270"/>
        <v>0</v>
      </c>
      <c r="R653" s="111">
        <f t="shared" si="270"/>
        <v>0</v>
      </c>
      <c r="S653" s="111">
        <f t="shared" si="270"/>
        <v>0</v>
      </c>
      <c r="T653" s="111">
        <f t="shared" si="270"/>
        <v>0</v>
      </c>
      <c r="U653" s="111">
        <f t="shared" si="270"/>
        <v>0</v>
      </c>
      <c r="V653" s="111">
        <f t="shared" si="270"/>
        <v>0</v>
      </c>
      <c r="W653" s="111">
        <f t="shared" si="270"/>
        <v>0</v>
      </c>
      <c r="X653" s="111">
        <f t="shared" si="270"/>
        <v>0</v>
      </c>
      <c r="Y653" s="111">
        <f t="shared" si="270"/>
        <v>0</v>
      </c>
      <c r="Z653" s="111">
        <f t="shared" si="270"/>
        <v>0</v>
      </c>
      <c r="AA653" s="111">
        <f t="shared" si="270"/>
        <v>0</v>
      </c>
      <c r="AB653" s="111">
        <f t="shared" si="270"/>
        <v>0</v>
      </c>
      <c r="AC653" s="111">
        <f t="shared" si="270"/>
        <v>0</v>
      </c>
      <c r="AD653" s="111">
        <f t="shared" si="270"/>
        <v>0</v>
      </c>
      <c r="AE653" s="111">
        <f t="shared" si="270"/>
        <v>0</v>
      </c>
      <c r="AF653" s="237">
        <f t="shared" si="267"/>
        <v>1</v>
      </c>
      <c r="AG653" s="94" t="str">
        <f t="shared" si="268"/>
        <v>ok</v>
      </c>
    </row>
    <row r="654" spans="1:33" s="61" customFormat="1">
      <c r="A654" s="61" t="s">
        <v>19</v>
      </c>
      <c r="D654" s="61" t="s">
        <v>986</v>
      </c>
      <c r="F654" s="82">
        <v>1</v>
      </c>
      <c r="H654" s="111">
        <f>H335/$F$335</f>
        <v>4.3768778416331117E-2</v>
      </c>
      <c r="I654" s="111">
        <f t="shared" ref="I654:AE654" si="271">I335/$F$335</f>
        <v>4.5850565706291403E-2</v>
      </c>
      <c r="J654" s="111">
        <f t="shared" si="271"/>
        <v>3.7689010401517835E-2</v>
      </c>
      <c r="K654" s="111">
        <f t="shared" si="271"/>
        <v>0.67726892881506218</v>
      </c>
      <c r="L654" s="111">
        <f t="shared" si="271"/>
        <v>0</v>
      </c>
      <c r="M654" s="111">
        <f t="shared" si="271"/>
        <v>0</v>
      </c>
      <c r="N654" s="111">
        <f t="shared" si="271"/>
        <v>3.5067670947415343E-2</v>
      </c>
      <c r="O654" s="111">
        <f t="shared" si="271"/>
        <v>0</v>
      </c>
      <c r="P654" s="111">
        <f t="shared" si="271"/>
        <v>0</v>
      </c>
      <c r="Q654" s="111">
        <f t="shared" si="271"/>
        <v>0</v>
      </c>
      <c r="R654" s="111">
        <f t="shared" si="271"/>
        <v>1.2964174420705622E-2</v>
      </c>
      <c r="S654" s="111">
        <f t="shared" si="271"/>
        <v>0</v>
      </c>
      <c r="T654" s="111">
        <f t="shared" si="271"/>
        <v>2.2527327911976695E-2</v>
      </c>
      <c r="U654" s="111">
        <f t="shared" si="271"/>
        <v>3.3720513355873949E-2</v>
      </c>
      <c r="V654" s="111">
        <f t="shared" si="271"/>
        <v>7.5757630552024616E-3</v>
      </c>
      <c r="W654" s="111">
        <f t="shared" si="271"/>
        <v>1.1129200837591375E-2</v>
      </c>
      <c r="X654" s="111">
        <f t="shared" si="271"/>
        <v>1.773031757629264E-3</v>
      </c>
      <c r="Y654" s="111">
        <f t="shared" si="271"/>
        <v>1.2399739335709943E-3</v>
      </c>
      <c r="Z654" s="111">
        <f t="shared" si="271"/>
        <v>4.682856116046405E-4</v>
      </c>
      <c r="AA654" s="111">
        <f t="shared" si="271"/>
        <v>2.7183215820071934E-2</v>
      </c>
      <c r="AB654" s="111">
        <f t="shared" si="271"/>
        <v>2.0677175490967548E-3</v>
      </c>
      <c r="AC654" s="111">
        <f t="shared" si="271"/>
        <v>3.2587645183110144E-2</v>
      </c>
      <c r="AD654" s="111">
        <f t="shared" si="271"/>
        <v>7.1181962769479449E-3</v>
      </c>
      <c r="AE654" s="111">
        <f t="shared" si="271"/>
        <v>0</v>
      </c>
      <c r="AF654" s="237">
        <f t="shared" si="267"/>
        <v>0.99999999999999956</v>
      </c>
      <c r="AG654" s="94" t="str">
        <f t="shared" si="268"/>
        <v>ok</v>
      </c>
    </row>
    <row r="655" spans="1:33" s="61" customFormat="1">
      <c r="A655" s="61" t="s">
        <v>968</v>
      </c>
      <c r="D655" s="61" t="s">
        <v>969</v>
      </c>
      <c r="F655" s="82">
        <v>1</v>
      </c>
      <c r="H655" s="111">
        <f>H69/$F$69</f>
        <v>0.19271664493478624</v>
      </c>
      <c r="I655" s="111">
        <f t="shared" ref="I655:AE655" si="272">I69/$F$69</f>
        <v>0.20188288343869962</v>
      </c>
      <c r="J655" s="111">
        <f t="shared" si="272"/>
        <v>0.16594704943336225</v>
      </c>
      <c r="K655" s="111">
        <f t="shared" si="272"/>
        <v>0</v>
      </c>
      <c r="L655" s="111">
        <f t="shared" si="272"/>
        <v>0</v>
      </c>
      <c r="M655" s="111">
        <f t="shared" si="272"/>
        <v>0</v>
      </c>
      <c r="N655" s="111">
        <f t="shared" si="272"/>
        <v>0.10750802998836849</v>
      </c>
      <c r="O655" s="111">
        <f t="shared" si="272"/>
        <v>0</v>
      </c>
      <c r="P655" s="111">
        <f t="shared" si="272"/>
        <v>0</v>
      </c>
      <c r="Q655" s="111">
        <f t="shared" si="272"/>
        <v>0</v>
      </c>
      <c r="R655" s="111">
        <f t="shared" si="272"/>
        <v>3.7191942620009091E-2</v>
      </c>
      <c r="S655" s="111">
        <f t="shared" si="272"/>
        <v>0</v>
      </c>
      <c r="T655" s="111">
        <f t="shared" si="272"/>
        <v>6.3602047445646931E-2</v>
      </c>
      <c r="U655" s="111">
        <f t="shared" si="272"/>
        <v>0.10121449630704053</v>
      </c>
      <c r="V655" s="111">
        <f t="shared" si="272"/>
        <v>1.7484441860289284E-2</v>
      </c>
      <c r="W655" s="111">
        <f t="shared" si="272"/>
        <v>2.6570338124346511E-2</v>
      </c>
      <c r="X655" s="111">
        <f t="shared" si="272"/>
        <v>2.4168773811835256E-2</v>
      </c>
      <c r="Y655" s="111">
        <f t="shared" si="272"/>
        <v>1.6902488860729897E-2</v>
      </c>
      <c r="Z655" s="111">
        <f t="shared" si="272"/>
        <v>8.3940920049707501E-3</v>
      </c>
      <c r="AA655" s="111">
        <f t="shared" si="272"/>
        <v>9.7369122625670951E-3</v>
      </c>
      <c r="AB655" s="111">
        <f t="shared" si="272"/>
        <v>2.6679858907348031E-2</v>
      </c>
      <c r="AC655" s="111">
        <f t="shared" si="272"/>
        <v>0</v>
      </c>
      <c r="AD655" s="111">
        <f t="shared" si="272"/>
        <v>0</v>
      </c>
      <c r="AE655" s="111">
        <f t="shared" si="272"/>
        <v>0</v>
      </c>
      <c r="AF655" s="237">
        <f t="shared" si="267"/>
        <v>1</v>
      </c>
      <c r="AG655" s="94" t="str">
        <f t="shared" si="268"/>
        <v>ok</v>
      </c>
    </row>
    <row r="656" spans="1:33" s="61" customFormat="1">
      <c r="A656" s="61" t="s">
        <v>911</v>
      </c>
      <c r="D656" s="61" t="s">
        <v>99</v>
      </c>
      <c r="F656" s="82">
        <v>1</v>
      </c>
      <c r="H656" s="111">
        <f>H540/$F$540</f>
        <v>0.11678854626466832</v>
      </c>
      <c r="I656" s="111">
        <f t="shared" ref="I656:AE656" si="273">I540/$F$540</f>
        <v>0.12234339426417311</v>
      </c>
      <c r="J656" s="111">
        <f t="shared" si="273"/>
        <v>0.10056585754070024</v>
      </c>
      <c r="K656" s="111">
        <f t="shared" si="273"/>
        <v>0.25120321948727692</v>
      </c>
      <c r="L656" s="111">
        <f t="shared" si="273"/>
        <v>0</v>
      </c>
      <c r="M656" s="111">
        <f t="shared" si="273"/>
        <v>0</v>
      </c>
      <c r="N656" s="111">
        <f t="shared" si="273"/>
        <v>6.0229354424993053E-2</v>
      </c>
      <c r="O656" s="111">
        <f t="shared" si="273"/>
        <v>0</v>
      </c>
      <c r="P656" s="111">
        <f t="shared" si="273"/>
        <v>0</v>
      </c>
      <c r="Q656" s="111">
        <f t="shared" si="273"/>
        <v>0</v>
      </c>
      <c r="R656" s="111">
        <f t="shared" si="273"/>
        <v>3.7535648642610615E-2</v>
      </c>
      <c r="S656" s="111">
        <f t="shared" si="273"/>
        <v>0</v>
      </c>
      <c r="T656" s="111">
        <f t="shared" si="273"/>
        <v>3.5670842571809011E-2</v>
      </c>
      <c r="U656" s="111">
        <f t="shared" si="273"/>
        <v>5.3915976455482816E-2</v>
      </c>
      <c r="V656" s="111">
        <f t="shared" si="273"/>
        <v>1.1657173969163699E-2</v>
      </c>
      <c r="W656" s="111">
        <f t="shared" si="273"/>
        <v>1.7201750965905253E-2</v>
      </c>
      <c r="X656" s="111">
        <f t="shared" si="273"/>
        <v>3.3665756210507557E-3</v>
      </c>
      <c r="Y656" s="111">
        <f t="shared" si="273"/>
        <v>2.3544225857974658E-3</v>
      </c>
      <c r="Z656" s="111">
        <f t="shared" si="273"/>
        <v>8.6741593579828041E-4</v>
      </c>
      <c r="AA656" s="111">
        <f t="shared" si="273"/>
        <v>7.9413739771690209E-2</v>
      </c>
      <c r="AB656" s="111">
        <f t="shared" si="273"/>
        <v>2.8862216031983624E-3</v>
      </c>
      <c r="AC656" s="111">
        <f t="shared" si="273"/>
        <v>8.1598017036017434E-2</v>
      </c>
      <c r="AD656" s="111">
        <f t="shared" si="273"/>
        <v>2.2401842859664539E-2</v>
      </c>
      <c r="AE656" s="111">
        <f t="shared" si="273"/>
        <v>0</v>
      </c>
      <c r="AF656" s="237">
        <f t="shared" si="267"/>
        <v>1</v>
      </c>
      <c r="AG656" s="94" t="str">
        <f t="shared" si="268"/>
        <v>ok</v>
      </c>
    </row>
    <row r="657" spans="1:33" s="61" customFormat="1">
      <c r="A657" s="61" t="s">
        <v>277</v>
      </c>
      <c r="D657" s="61" t="s">
        <v>18</v>
      </c>
      <c r="F657" s="82">
        <v>1</v>
      </c>
      <c r="H657" s="111">
        <f>H308/$F$308</f>
        <v>3.7456043686937841E-2</v>
      </c>
      <c r="I657" s="111">
        <f t="shared" ref="I657:AE657" si="274">I308/$F$308</f>
        <v>3.9237576516982967E-2</v>
      </c>
      <c r="J657" s="111">
        <f t="shared" si="274"/>
        <v>3.2253155587042302E-2</v>
      </c>
      <c r="K657" s="111">
        <f t="shared" si="274"/>
        <v>0.74511225748077092</v>
      </c>
      <c r="L657" s="111">
        <f t="shared" si="274"/>
        <v>0</v>
      </c>
      <c r="M657" s="111">
        <f t="shared" si="274"/>
        <v>0</v>
      </c>
      <c r="N657" s="111">
        <f t="shared" si="274"/>
        <v>2.7628544901526868E-2</v>
      </c>
      <c r="O657" s="111">
        <f t="shared" si="274"/>
        <v>0</v>
      </c>
      <c r="P657" s="111">
        <f t="shared" si="274"/>
        <v>0</v>
      </c>
      <c r="Q657" s="111">
        <f t="shared" si="274"/>
        <v>0</v>
      </c>
      <c r="R657" s="111">
        <f t="shared" si="274"/>
        <v>8.1778184910470345E-3</v>
      </c>
      <c r="S657" s="111">
        <f t="shared" si="274"/>
        <v>0</v>
      </c>
      <c r="T657" s="111">
        <f t="shared" si="274"/>
        <v>1.821884716059614E-2</v>
      </c>
      <c r="U657" s="111">
        <f t="shared" si="274"/>
        <v>2.7127837891868851E-2</v>
      </c>
      <c r="V657" s="111">
        <f t="shared" si="274"/>
        <v>6.2200309948872747E-3</v>
      </c>
      <c r="W657" s="111">
        <f t="shared" si="274"/>
        <v>9.1164439031943181E-3</v>
      </c>
      <c r="X657" s="111">
        <f t="shared" si="274"/>
        <v>1.1257688476152652E-3</v>
      </c>
      <c r="Y657" s="111">
        <f t="shared" si="274"/>
        <v>7.873090937387876E-4</v>
      </c>
      <c r="Z657" s="111">
        <f t="shared" si="274"/>
        <v>2.758716424933263E-4</v>
      </c>
      <c r="AA657" s="111">
        <f t="shared" si="274"/>
        <v>1.7879569283677964E-2</v>
      </c>
      <c r="AB657" s="111">
        <f t="shared" si="274"/>
        <v>1.4717643251444103E-3</v>
      </c>
      <c r="AC657" s="111">
        <f t="shared" si="274"/>
        <v>2.3415508916671327E-2</v>
      </c>
      <c r="AD657" s="111">
        <f t="shared" si="274"/>
        <v>4.4956512758041805E-3</v>
      </c>
      <c r="AE657" s="111">
        <f t="shared" si="274"/>
        <v>0</v>
      </c>
      <c r="AF657" s="237">
        <f t="shared" si="267"/>
        <v>1</v>
      </c>
      <c r="AG657" s="94" t="str">
        <f t="shared" si="268"/>
        <v>ok</v>
      </c>
    </row>
    <row r="658" spans="1:33" s="61" customFormat="1">
      <c r="A658" s="61" t="s">
        <v>912</v>
      </c>
      <c r="D658" s="61" t="s">
        <v>651</v>
      </c>
      <c r="F658" s="82">
        <v>1</v>
      </c>
      <c r="H658" s="111">
        <f>H372/$F$372</f>
        <v>0.29077503949207639</v>
      </c>
      <c r="I658" s="111">
        <f t="shared" ref="I658:AE658" si="275">I372/$F$372</f>
        <v>0.30460525827712803</v>
      </c>
      <c r="J658" s="111">
        <f t="shared" si="275"/>
        <v>0.25038449516858274</v>
      </c>
      <c r="K658" s="111">
        <f t="shared" si="275"/>
        <v>0.15423520706221286</v>
      </c>
      <c r="L658" s="111">
        <f t="shared" si="275"/>
        <v>0</v>
      </c>
      <c r="M658" s="111">
        <f t="shared" si="275"/>
        <v>0</v>
      </c>
      <c r="N658" s="111">
        <f t="shared" si="275"/>
        <v>0</v>
      </c>
      <c r="O658" s="111">
        <f t="shared" si="275"/>
        <v>0</v>
      </c>
      <c r="P658" s="111">
        <f t="shared" si="275"/>
        <v>0</v>
      </c>
      <c r="Q658" s="111">
        <f t="shared" si="275"/>
        <v>0</v>
      </c>
      <c r="R658" s="111">
        <f t="shared" si="275"/>
        <v>0</v>
      </c>
      <c r="S658" s="111">
        <f t="shared" si="275"/>
        <v>0</v>
      </c>
      <c r="T658" s="111">
        <f t="shared" si="275"/>
        <v>0</v>
      </c>
      <c r="U658" s="111">
        <f t="shared" si="275"/>
        <v>0</v>
      </c>
      <c r="V658" s="111">
        <f t="shared" si="275"/>
        <v>0</v>
      </c>
      <c r="W658" s="111">
        <f t="shared" si="275"/>
        <v>0</v>
      </c>
      <c r="X658" s="111">
        <f t="shared" si="275"/>
        <v>0</v>
      </c>
      <c r="Y658" s="111">
        <f t="shared" si="275"/>
        <v>0</v>
      </c>
      <c r="Z658" s="111">
        <f t="shared" si="275"/>
        <v>0</v>
      </c>
      <c r="AA658" s="111">
        <f t="shared" si="275"/>
        <v>0</v>
      </c>
      <c r="AB658" s="111">
        <f t="shared" si="275"/>
        <v>0</v>
      </c>
      <c r="AC658" s="111">
        <f t="shared" si="275"/>
        <v>0</v>
      </c>
      <c r="AD658" s="111">
        <f t="shared" si="275"/>
        <v>0</v>
      </c>
      <c r="AE658" s="111">
        <f t="shared" si="275"/>
        <v>0</v>
      </c>
      <c r="AF658" s="237">
        <f t="shared" si="267"/>
        <v>1</v>
      </c>
      <c r="AG658" s="94" t="str">
        <f t="shared" si="268"/>
        <v>ok</v>
      </c>
    </row>
    <row r="659" spans="1:33" s="61" customFormat="1">
      <c r="A659" s="61" t="s">
        <v>913</v>
      </c>
      <c r="D659" s="61" t="s">
        <v>87</v>
      </c>
      <c r="F659" s="82">
        <v>1</v>
      </c>
      <c r="H659" s="111">
        <f>H381/$F$381</f>
        <v>0</v>
      </c>
      <c r="I659" s="111">
        <f t="shared" ref="I659:AE659" si="276">I381/$F$381</f>
        <v>0</v>
      </c>
      <c r="J659" s="111">
        <f t="shared" si="276"/>
        <v>0</v>
      </c>
      <c r="K659" s="111">
        <f t="shared" si="276"/>
        <v>1</v>
      </c>
      <c r="L659" s="111">
        <f t="shared" si="276"/>
        <v>0</v>
      </c>
      <c r="M659" s="111">
        <f t="shared" si="276"/>
        <v>0</v>
      </c>
      <c r="N659" s="111">
        <f t="shared" si="276"/>
        <v>0</v>
      </c>
      <c r="O659" s="111">
        <f t="shared" si="276"/>
        <v>0</v>
      </c>
      <c r="P659" s="111">
        <f t="shared" si="276"/>
        <v>0</v>
      </c>
      <c r="Q659" s="111">
        <f t="shared" si="276"/>
        <v>0</v>
      </c>
      <c r="R659" s="111">
        <f t="shared" si="276"/>
        <v>0</v>
      </c>
      <c r="S659" s="111">
        <f t="shared" si="276"/>
        <v>0</v>
      </c>
      <c r="T659" s="111">
        <f t="shared" si="276"/>
        <v>0</v>
      </c>
      <c r="U659" s="111">
        <f t="shared" si="276"/>
        <v>0</v>
      </c>
      <c r="V659" s="111">
        <f t="shared" si="276"/>
        <v>0</v>
      </c>
      <c r="W659" s="111">
        <f t="shared" si="276"/>
        <v>0</v>
      </c>
      <c r="X659" s="111">
        <f t="shared" si="276"/>
        <v>0</v>
      </c>
      <c r="Y659" s="111">
        <f t="shared" si="276"/>
        <v>0</v>
      </c>
      <c r="Z659" s="111">
        <f t="shared" si="276"/>
        <v>0</v>
      </c>
      <c r="AA659" s="111">
        <f t="shared" si="276"/>
        <v>0</v>
      </c>
      <c r="AB659" s="111">
        <f t="shared" si="276"/>
        <v>0</v>
      </c>
      <c r="AC659" s="111">
        <f t="shared" si="276"/>
        <v>0</v>
      </c>
      <c r="AD659" s="111">
        <f t="shared" si="276"/>
        <v>0</v>
      </c>
      <c r="AE659" s="111">
        <f t="shared" si="276"/>
        <v>0</v>
      </c>
      <c r="AF659" s="237">
        <f t="shared" si="267"/>
        <v>1</v>
      </c>
      <c r="AG659" s="94" t="str">
        <f t="shared" si="268"/>
        <v>ok</v>
      </c>
    </row>
    <row r="660" spans="1:33" s="61" customFormat="1">
      <c r="A660" s="61" t="s">
        <v>914</v>
      </c>
      <c r="D660" s="61" t="s">
        <v>652</v>
      </c>
      <c r="F660" s="82">
        <v>1</v>
      </c>
      <c r="H660" s="111">
        <f>H393/$F$393</f>
        <v>0.34380130494917077</v>
      </c>
      <c r="I660" s="111">
        <f t="shared" ref="I660:AE660" si="277">I393/$F$393</f>
        <v>0.36015362760499087</v>
      </c>
      <c r="J660" s="111">
        <f t="shared" si="277"/>
        <v>0.29604506744583836</v>
      </c>
      <c r="K660" s="111">
        <f t="shared" si="277"/>
        <v>0</v>
      </c>
      <c r="L660" s="111">
        <f t="shared" si="277"/>
        <v>0</v>
      </c>
      <c r="M660" s="111">
        <f t="shared" si="277"/>
        <v>0</v>
      </c>
      <c r="N660" s="111">
        <f t="shared" si="277"/>
        <v>0</v>
      </c>
      <c r="O660" s="111">
        <f t="shared" si="277"/>
        <v>0</v>
      </c>
      <c r="P660" s="111">
        <f t="shared" si="277"/>
        <v>0</v>
      </c>
      <c r="Q660" s="111">
        <f t="shared" si="277"/>
        <v>0</v>
      </c>
      <c r="R660" s="111">
        <f t="shared" si="277"/>
        <v>0</v>
      </c>
      <c r="S660" s="111">
        <f t="shared" si="277"/>
        <v>0</v>
      </c>
      <c r="T660" s="111">
        <f t="shared" si="277"/>
        <v>0</v>
      </c>
      <c r="U660" s="111">
        <f t="shared" si="277"/>
        <v>0</v>
      </c>
      <c r="V660" s="111">
        <f t="shared" si="277"/>
        <v>0</v>
      </c>
      <c r="W660" s="111">
        <f t="shared" si="277"/>
        <v>0</v>
      </c>
      <c r="X660" s="111">
        <f t="shared" si="277"/>
        <v>0</v>
      </c>
      <c r="Y660" s="111">
        <f t="shared" si="277"/>
        <v>0</v>
      </c>
      <c r="Z660" s="111">
        <f t="shared" si="277"/>
        <v>0</v>
      </c>
      <c r="AA660" s="111">
        <f t="shared" si="277"/>
        <v>0</v>
      </c>
      <c r="AB660" s="111">
        <f t="shared" si="277"/>
        <v>0</v>
      </c>
      <c r="AC660" s="111">
        <f t="shared" si="277"/>
        <v>0</v>
      </c>
      <c r="AD660" s="111">
        <f t="shared" si="277"/>
        <v>0</v>
      </c>
      <c r="AE660" s="111">
        <f t="shared" si="277"/>
        <v>0</v>
      </c>
      <c r="AF660" s="237">
        <f t="shared" si="267"/>
        <v>1</v>
      </c>
      <c r="AG660" s="94" t="str">
        <f t="shared" si="268"/>
        <v>ok</v>
      </c>
    </row>
    <row r="661" spans="1:33" s="61" customFormat="1">
      <c r="A661" s="61" t="s">
        <v>915</v>
      </c>
      <c r="D661" s="61" t="s">
        <v>653</v>
      </c>
      <c r="F661" s="82">
        <v>1</v>
      </c>
      <c r="H661" s="111">
        <f>H402/$F$402</f>
        <v>0.13166601494270491</v>
      </c>
      <c r="I661" s="111">
        <f t="shared" ref="I661:AE661" si="278">I402/$F$402</f>
        <v>0.13792848436371963</v>
      </c>
      <c r="J661" s="111">
        <f t="shared" si="278"/>
        <v>0.11337674904928209</v>
      </c>
      <c r="K661" s="111">
        <f t="shared" si="278"/>
        <v>0.61702875164429338</v>
      </c>
      <c r="L661" s="111">
        <f t="shared" si="278"/>
        <v>0</v>
      </c>
      <c r="M661" s="111">
        <f t="shared" si="278"/>
        <v>0</v>
      </c>
      <c r="N661" s="111">
        <f t="shared" si="278"/>
        <v>0</v>
      </c>
      <c r="O661" s="111">
        <f t="shared" si="278"/>
        <v>0</v>
      </c>
      <c r="P661" s="111">
        <f t="shared" si="278"/>
        <v>0</v>
      </c>
      <c r="Q661" s="111">
        <f t="shared" si="278"/>
        <v>0</v>
      </c>
      <c r="R661" s="111">
        <f t="shared" si="278"/>
        <v>0</v>
      </c>
      <c r="S661" s="111">
        <f t="shared" si="278"/>
        <v>0</v>
      </c>
      <c r="T661" s="111">
        <f t="shared" si="278"/>
        <v>0</v>
      </c>
      <c r="U661" s="111">
        <f t="shared" si="278"/>
        <v>0</v>
      </c>
      <c r="V661" s="111">
        <f t="shared" si="278"/>
        <v>0</v>
      </c>
      <c r="W661" s="111">
        <f t="shared" si="278"/>
        <v>0</v>
      </c>
      <c r="X661" s="111">
        <f t="shared" si="278"/>
        <v>0</v>
      </c>
      <c r="Y661" s="111">
        <f t="shared" si="278"/>
        <v>0</v>
      </c>
      <c r="Z661" s="111">
        <f t="shared" si="278"/>
        <v>0</v>
      </c>
      <c r="AA661" s="111">
        <f t="shared" si="278"/>
        <v>0</v>
      </c>
      <c r="AB661" s="111">
        <f t="shared" si="278"/>
        <v>0</v>
      </c>
      <c r="AC661" s="111">
        <f t="shared" si="278"/>
        <v>0</v>
      </c>
      <c r="AD661" s="111">
        <f t="shared" si="278"/>
        <v>0</v>
      </c>
      <c r="AE661" s="111">
        <f t="shared" si="278"/>
        <v>0</v>
      </c>
      <c r="AF661" s="237">
        <f t="shared" si="267"/>
        <v>1</v>
      </c>
      <c r="AG661" s="94" t="str">
        <f t="shared" si="268"/>
        <v>ok</v>
      </c>
    </row>
    <row r="662" spans="1:33" s="61" customFormat="1">
      <c r="A662" s="61" t="s">
        <v>916</v>
      </c>
      <c r="D662" s="61" t="s">
        <v>654</v>
      </c>
      <c r="F662" s="82">
        <v>1</v>
      </c>
      <c r="H662" s="111">
        <f>H415/$F$415</f>
        <v>0.34380130494917083</v>
      </c>
      <c r="I662" s="111">
        <f t="shared" ref="I662:AE662" si="279">I415/$F$415</f>
        <v>0.36015362760499087</v>
      </c>
      <c r="J662" s="111">
        <f t="shared" si="279"/>
        <v>0.29604506744583831</v>
      </c>
      <c r="K662" s="111">
        <f t="shared" si="279"/>
        <v>0</v>
      </c>
      <c r="L662" s="111">
        <f t="shared" si="279"/>
        <v>0</v>
      </c>
      <c r="M662" s="111">
        <f t="shared" si="279"/>
        <v>0</v>
      </c>
      <c r="N662" s="111">
        <f t="shared" si="279"/>
        <v>0</v>
      </c>
      <c r="O662" s="111">
        <f t="shared" si="279"/>
        <v>0</v>
      </c>
      <c r="P662" s="111">
        <f t="shared" si="279"/>
        <v>0</v>
      </c>
      <c r="Q662" s="111">
        <f t="shared" si="279"/>
        <v>0</v>
      </c>
      <c r="R662" s="111">
        <f t="shared" si="279"/>
        <v>0</v>
      </c>
      <c r="S662" s="111">
        <f t="shared" si="279"/>
        <v>0</v>
      </c>
      <c r="T662" s="111">
        <f t="shared" si="279"/>
        <v>0</v>
      </c>
      <c r="U662" s="111">
        <f t="shared" si="279"/>
        <v>0</v>
      </c>
      <c r="V662" s="111">
        <f t="shared" si="279"/>
        <v>0</v>
      </c>
      <c r="W662" s="111">
        <f t="shared" si="279"/>
        <v>0</v>
      </c>
      <c r="X662" s="111">
        <f t="shared" si="279"/>
        <v>0</v>
      </c>
      <c r="Y662" s="111">
        <f t="shared" si="279"/>
        <v>0</v>
      </c>
      <c r="Z662" s="111">
        <f t="shared" si="279"/>
        <v>0</v>
      </c>
      <c r="AA662" s="111">
        <f t="shared" si="279"/>
        <v>0</v>
      </c>
      <c r="AB662" s="111">
        <f t="shared" si="279"/>
        <v>0</v>
      </c>
      <c r="AC662" s="111">
        <f t="shared" si="279"/>
        <v>0</v>
      </c>
      <c r="AD662" s="111">
        <f t="shared" si="279"/>
        <v>0</v>
      </c>
      <c r="AE662" s="111">
        <f t="shared" si="279"/>
        <v>0</v>
      </c>
      <c r="AF662" s="237">
        <f t="shared" si="267"/>
        <v>1</v>
      </c>
      <c r="AG662" s="94" t="str">
        <f t="shared" si="268"/>
        <v>ok</v>
      </c>
    </row>
    <row r="663" spans="1:33" s="61" customFormat="1">
      <c r="A663" s="61" t="s">
        <v>104</v>
      </c>
      <c r="D663" s="61" t="s">
        <v>666</v>
      </c>
      <c r="F663" s="82">
        <v>1</v>
      </c>
      <c r="H663" s="300">
        <f>H450/$F$450</f>
        <v>0</v>
      </c>
      <c r="I663" s="300">
        <f t="shared" ref="I663:AE663" si="280">I450/$F$450</f>
        <v>0</v>
      </c>
      <c r="J663" s="300">
        <f t="shared" si="280"/>
        <v>0</v>
      </c>
      <c r="K663" s="300">
        <f t="shared" si="280"/>
        <v>0</v>
      </c>
      <c r="L663" s="300">
        <f t="shared" si="280"/>
        <v>0</v>
      </c>
      <c r="M663" s="300">
        <f t="shared" si="280"/>
        <v>0</v>
      </c>
      <c r="N663" s="300">
        <f t="shared" si="280"/>
        <v>1</v>
      </c>
      <c r="O663" s="300">
        <f t="shared" si="280"/>
        <v>0</v>
      </c>
      <c r="P663" s="300">
        <f t="shared" si="280"/>
        <v>0</v>
      </c>
      <c r="Q663" s="300">
        <f t="shared" si="280"/>
        <v>0</v>
      </c>
      <c r="R663" s="300">
        <f t="shared" si="280"/>
        <v>0</v>
      </c>
      <c r="S663" s="300">
        <f t="shared" si="280"/>
        <v>0</v>
      </c>
      <c r="T663" s="300">
        <f t="shared" si="280"/>
        <v>0</v>
      </c>
      <c r="U663" s="300">
        <f t="shared" si="280"/>
        <v>0</v>
      </c>
      <c r="V663" s="300">
        <f t="shared" si="280"/>
        <v>0</v>
      </c>
      <c r="W663" s="300">
        <f t="shared" si="280"/>
        <v>0</v>
      </c>
      <c r="X663" s="300">
        <f t="shared" si="280"/>
        <v>0</v>
      </c>
      <c r="Y663" s="300">
        <f t="shared" si="280"/>
        <v>0</v>
      </c>
      <c r="Z663" s="300">
        <f t="shared" si="280"/>
        <v>0</v>
      </c>
      <c r="AA663" s="300">
        <f t="shared" si="280"/>
        <v>0</v>
      </c>
      <c r="AB663" s="300">
        <f t="shared" si="280"/>
        <v>0</v>
      </c>
      <c r="AC663" s="300">
        <f t="shared" si="280"/>
        <v>0</v>
      </c>
      <c r="AD663" s="300">
        <f t="shared" si="280"/>
        <v>0</v>
      </c>
      <c r="AE663" s="300">
        <f t="shared" si="280"/>
        <v>0</v>
      </c>
      <c r="AF663" s="237">
        <f t="shared" si="267"/>
        <v>1</v>
      </c>
      <c r="AG663" s="94" t="str">
        <f t="shared" si="268"/>
        <v>ok</v>
      </c>
    </row>
    <row r="664" spans="1:33" s="61" customFormat="1">
      <c r="A664" s="61" t="s">
        <v>107</v>
      </c>
      <c r="D664" s="61" t="s">
        <v>64</v>
      </c>
      <c r="F664" s="82">
        <v>1</v>
      </c>
      <c r="H664" s="111">
        <f>H465/$F$465</f>
        <v>0</v>
      </c>
      <c r="I664" s="111">
        <f t="shared" ref="I664:AE664" si="281">I465/$F$465</f>
        <v>0</v>
      </c>
      <c r="J664" s="111">
        <f t="shared" si="281"/>
        <v>0</v>
      </c>
      <c r="K664" s="111">
        <f t="shared" si="281"/>
        <v>0</v>
      </c>
      <c r="L664" s="111">
        <f t="shared" si="281"/>
        <v>0</v>
      </c>
      <c r="M664" s="111">
        <f t="shared" si="281"/>
        <v>0</v>
      </c>
      <c r="N664" s="111">
        <f t="shared" si="281"/>
        <v>0</v>
      </c>
      <c r="O664" s="111">
        <f t="shared" si="281"/>
        <v>0</v>
      </c>
      <c r="P664" s="111">
        <f t="shared" si="281"/>
        <v>0</v>
      </c>
      <c r="Q664" s="111">
        <f t="shared" si="281"/>
        <v>0</v>
      </c>
      <c r="R664" s="111">
        <f t="shared" si="281"/>
        <v>0.18554529987466303</v>
      </c>
      <c r="S664" s="111">
        <f t="shared" si="281"/>
        <v>0</v>
      </c>
      <c r="T664" s="111">
        <f t="shared" si="281"/>
        <v>0.10080219959016412</v>
      </c>
      <c r="U664" s="111">
        <f t="shared" si="281"/>
        <v>0.15321891331113965</v>
      </c>
      <c r="V664" s="111">
        <f t="shared" si="281"/>
        <v>3.2384755745282698E-2</v>
      </c>
      <c r="W664" s="111">
        <f t="shared" si="281"/>
        <v>4.7918067768662496E-2</v>
      </c>
      <c r="X664" s="111">
        <f t="shared" si="281"/>
        <v>1.3016174524178213E-2</v>
      </c>
      <c r="Y664" s="111">
        <f t="shared" si="281"/>
        <v>9.1028922947056397E-3</v>
      </c>
      <c r="Z664" s="111">
        <f t="shared" si="281"/>
        <v>4.5206665161972373E-3</v>
      </c>
      <c r="AA664" s="111">
        <f t="shared" si="281"/>
        <v>0.43912250251661644</v>
      </c>
      <c r="AB664" s="111">
        <f t="shared" si="281"/>
        <v>1.436852785839046E-2</v>
      </c>
      <c r="AC664" s="111">
        <f t="shared" si="281"/>
        <v>0</v>
      </c>
      <c r="AD664" s="111">
        <f t="shared" si="281"/>
        <v>0</v>
      </c>
      <c r="AE664" s="111">
        <f t="shared" si="281"/>
        <v>0</v>
      </c>
      <c r="AF664" s="237">
        <f t="shared" si="267"/>
        <v>1</v>
      </c>
      <c r="AG664" s="94" t="str">
        <f t="shared" si="268"/>
        <v>ok</v>
      </c>
    </row>
    <row r="665" spans="1:33" s="61" customFormat="1">
      <c r="A665" s="61" t="s">
        <v>109</v>
      </c>
      <c r="D665" s="61" t="s">
        <v>73</v>
      </c>
      <c r="F665" s="82">
        <v>1</v>
      </c>
      <c r="H665" s="111">
        <f>H484/$F$484</f>
        <v>0</v>
      </c>
      <c r="I665" s="111">
        <f t="shared" ref="I665:AE665" si="282">I484/$F$484</f>
        <v>0</v>
      </c>
      <c r="J665" s="111">
        <f t="shared" si="282"/>
        <v>0</v>
      </c>
      <c r="K665" s="111">
        <f t="shared" si="282"/>
        <v>0</v>
      </c>
      <c r="L665" s="111">
        <f t="shared" si="282"/>
        <v>0</v>
      </c>
      <c r="M665" s="111">
        <f t="shared" si="282"/>
        <v>0</v>
      </c>
      <c r="N665" s="111">
        <f t="shared" si="282"/>
        <v>0</v>
      </c>
      <c r="O665" s="111">
        <f t="shared" si="282"/>
        <v>0</v>
      </c>
      <c r="P665" s="111">
        <f t="shared" si="282"/>
        <v>0</v>
      </c>
      <c r="Q665" s="111">
        <f t="shared" si="282"/>
        <v>0</v>
      </c>
      <c r="R665" s="111">
        <f t="shared" si="282"/>
        <v>6.0835060559927122E-2</v>
      </c>
      <c r="S665" s="111">
        <f t="shared" si="282"/>
        <v>0</v>
      </c>
      <c r="T665" s="111">
        <f t="shared" si="282"/>
        <v>0.27464504016775193</v>
      </c>
      <c r="U665" s="111">
        <f t="shared" si="282"/>
        <v>0.41213682529811013</v>
      </c>
      <c r="V665" s="111">
        <f t="shared" si="282"/>
        <v>9.1692831736232633E-2</v>
      </c>
      <c r="W665" s="111">
        <f t="shared" si="282"/>
        <v>0.13485307232167992</v>
      </c>
      <c r="X665" s="111">
        <f t="shared" si="282"/>
        <v>1.3980846214830438E-2</v>
      </c>
      <c r="Y665" s="111">
        <f t="shared" si="282"/>
        <v>9.7775377124854224E-3</v>
      </c>
      <c r="Z665" s="111">
        <f t="shared" si="282"/>
        <v>0</v>
      </c>
      <c r="AA665" s="111">
        <f t="shared" si="282"/>
        <v>0</v>
      </c>
      <c r="AB665" s="111">
        <f t="shared" si="282"/>
        <v>2.0787859889824342E-3</v>
      </c>
      <c r="AC665" s="111">
        <f t="shared" si="282"/>
        <v>0</v>
      </c>
      <c r="AD665" s="111">
        <f t="shared" si="282"/>
        <v>0</v>
      </c>
      <c r="AE665" s="111">
        <f t="shared" si="282"/>
        <v>0</v>
      </c>
      <c r="AF665" s="237">
        <f t="shared" si="267"/>
        <v>1</v>
      </c>
      <c r="AG665" s="94" t="str">
        <f t="shared" si="268"/>
        <v>ok</v>
      </c>
    </row>
    <row r="666" spans="1:33" s="61" customFormat="1">
      <c r="A666" s="61" t="s">
        <v>846</v>
      </c>
      <c r="D666" s="61" t="s">
        <v>664</v>
      </c>
      <c r="F666" s="82">
        <v>1</v>
      </c>
      <c r="H666" s="111">
        <f>H516/$F$516</f>
        <v>0.11632789589502381</v>
      </c>
      <c r="I666" s="111">
        <f t="shared" ref="I666:AE666" si="283">I516/$F$516</f>
        <v>0.12186083384541734</v>
      </c>
      <c r="J666" s="111">
        <f t="shared" si="283"/>
        <v>0.10016919450368669</v>
      </c>
      <c r="K666" s="111">
        <f t="shared" si="283"/>
        <v>0.25272479827938532</v>
      </c>
      <c r="L666" s="111">
        <f t="shared" si="283"/>
        <v>0</v>
      </c>
      <c r="M666" s="111">
        <f t="shared" si="283"/>
        <v>0</v>
      </c>
      <c r="N666" s="111">
        <f t="shared" si="283"/>
        <v>5.9942509392452215E-2</v>
      </c>
      <c r="O666" s="111">
        <f t="shared" si="283"/>
        <v>0</v>
      </c>
      <c r="P666" s="111">
        <f t="shared" si="283"/>
        <v>0</v>
      </c>
      <c r="Q666" s="111">
        <f t="shared" si="283"/>
        <v>0</v>
      </c>
      <c r="R666" s="111">
        <f t="shared" si="283"/>
        <v>3.7538024885236762E-2</v>
      </c>
      <c r="S666" s="111">
        <f t="shared" si="283"/>
        <v>0</v>
      </c>
      <c r="T666" s="111">
        <f t="shared" si="283"/>
        <v>3.5502162101832983E-2</v>
      </c>
      <c r="U666" s="111">
        <f t="shared" si="283"/>
        <v>5.3630282693448238E-2</v>
      </c>
      <c r="V666" s="111">
        <f t="shared" si="283"/>
        <v>1.1622015641304991E-2</v>
      </c>
      <c r="W666" s="111">
        <f t="shared" si="283"/>
        <v>1.7145214201999007E-2</v>
      </c>
      <c r="X666" s="111">
        <f t="shared" si="283"/>
        <v>3.2407646065037688E-3</v>
      </c>
      <c r="Y666" s="111">
        <f t="shared" si="283"/>
        <v>2.2664363566038182E-3</v>
      </c>
      <c r="Z666" s="111">
        <f t="shared" si="283"/>
        <v>8.2189206949956968E-4</v>
      </c>
      <c r="AA666" s="111">
        <f t="shared" si="283"/>
        <v>7.9835860721885032E-2</v>
      </c>
      <c r="AB666" s="111">
        <f t="shared" si="283"/>
        <v>2.7423108292161992E-3</v>
      </c>
      <c r="AC666" s="111">
        <f t="shared" si="283"/>
        <v>8.2092269507994184E-2</v>
      </c>
      <c r="AD666" s="111">
        <f t="shared" si="283"/>
        <v>2.253753446851009E-2</v>
      </c>
      <c r="AE666" s="111">
        <f t="shared" si="283"/>
        <v>0</v>
      </c>
      <c r="AF666" s="237">
        <f t="shared" si="267"/>
        <v>1</v>
      </c>
      <c r="AG666" s="94" t="str">
        <f t="shared" si="268"/>
        <v>ok</v>
      </c>
    </row>
    <row r="667" spans="1:33" s="61" customFormat="1">
      <c r="A667" s="61" t="s">
        <v>966</v>
      </c>
      <c r="D667" s="61" t="s">
        <v>967</v>
      </c>
      <c r="F667" s="82">
        <v>1</v>
      </c>
      <c r="H667" s="111">
        <f>H60/$F$60</f>
        <v>0.19283906465573769</v>
      </c>
      <c r="I667" s="111">
        <f t="shared" ref="I667:AE667" si="284">I60/$F$60</f>
        <v>0.20201112584486958</v>
      </c>
      <c r="J667" s="111">
        <f t="shared" si="284"/>
        <v>0.16605246425879791</v>
      </c>
      <c r="K667" s="111">
        <f t="shared" si="284"/>
        <v>0</v>
      </c>
      <c r="L667" s="111">
        <f t="shared" si="284"/>
        <v>0</v>
      </c>
      <c r="M667" s="111">
        <f t="shared" si="284"/>
        <v>0</v>
      </c>
      <c r="N667" s="111">
        <f t="shared" si="284"/>
        <v>0.10758568985889098</v>
      </c>
      <c r="O667" s="111">
        <f t="shared" si="284"/>
        <v>0</v>
      </c>
      <c r="P667" s="111">
        <f t="shared" si="284"/>
        <v>0</v>
      </c>
      <c r="Q667" s="111">
        <f t="shared" si="284"/>
        <v>0</v>
      </c>
      <c r="R667" s="111">
        <f t="shared" si="284"/>
        <v>3.7143345726016942E-2</v>
      </c>
      <c r="S667" s="111">
        <f t="shared" si="284"/>
        <v>0</v>
      </c>
      <c r="T667" s="111">
        <f t="shared" si="284"/>
        <v>6.3518941758240924E-2</v>
      </c>
      <c r="U667" s="111">
        <f t="shared" si="284"/>
        <v>0.10108224427068532</v>
      </c>
      <c r="V667" s="111">
        <f t="shared" si="284"/>
        <v>1.7461595794508913E-2</v>
      </c>
      <c r="W667" s="111">
        <f t="shared" si="284"/>
        <v>2.6535619961911242E-2</v>
      </c>
      <c r="X667" s="111">
        <f t="shared" si="284"/>
        <v>2.4137193656131796E-2</v>
      </c>
      <c r="Y667" s="111">
        <f t="shared" si="284"/>
        <v>1.6880403204496217E-2</v>
      </c>
      <c r="Z667" s="111">
        <f t="shared" si="284"/>
        <v>8.383123855135349E-3</v>
      </c>
      <c r="AA667" s="111">
        <f t="shared" si="284"/>
        <v>9.7241895151196339E-3</v>
      </c>
      <c r="AB667" s="111">
        <f t="shared" si="284"/>
        <v>2.6644997639457487E-2</v>
      </c>
      <c r="AC667" s="111">
        <f t="shared" si="284"/>
        <v>0</v>
      </c>
      <c r="AD667" s="111">
        <f t="shared" si="284"/>
        <v>0</v>
      </c>
      <c r="AE667" s="111">
        <f t="shared" si="284"/>
        <v>0</v>
      </c>
      <c r="AF667" s="237">
        <f t="shared" si="267"/>
        <v>1</v>
      </c>
      <c r="AG667" s="94" t="str">
        <f t="shared" si="268"/>
        <v>ok</v>
      </c>
    </row>
    <row r="668" spans="1:33" s="61" customFormat="1">
      <c r="A668" s="61" t="s">
        <v>200</v>
      </c>
      <c r="D668" s="61" t="s">
        <v>201</v>
      </c>
      <c r="F668" s="82">
        <v>1</v>
      </c>
      <c r="H668" s="111">
        <f>H29/$F$29</f>
        <v>0.34380130494917083</v>
      </c>
      <c r="I668" s="111">
        <f t="shared" ref="I668:AE668" si="285">I29/$F$29</f>
        <v>0.36015362760499087</v>
      </c>
      <c r="J668" s="111">
        <f t="shared" si="285"/>
        <v>0.29604506744583842</v>
      </c>
      <c r="K668" s="111">
        <f t="shared" si="285"/>
        <v>0</v>
      </c>
      <c r="L668" s="111">
        <f t="shared" si="285"/>
        <v>0</v>
      </c>
      <c r="M668" s="111">
        <f t="shared" si="285"/>
        <v>0</v>
      </c>
      <c r="N668" s="111">
        <f t="shared" si="285"/>
        <v>0</v>
      </c>
      <c r="O668" s="111">
        <f t="shared" si="285"/>
        <v>0</v>
      </c>
      <c r="P668" s="111">
        <f t="shared" si="285"/>
        <v>0</v>
      </c>
      <c r="Q668" s="111">
        <f t="shared" si="285"/>
        <v>0</v>
      </c>
      <c r="R668" s="111">
        <f t="shared" si="285"/>
        <v>0</v>
      </c>
      <c r="S668" s="111">
        <f t="shared" si="285"/>
        <v>0</v>
      </c>
      <c r="T668" s="111">
        <f t="shared" si="285"/>
        <v>0</v>
      </c>
      <c r="U668" s="111">
        <f t="shared" si="285"/>
        <v>0</v>
      </c>
      <c r="V668" s="111">
        <f t="shared" si="285"/>
        <v>0</v>
      </c>
      <c r="W668" s="111">
        <f t="shared" si="285"/>
        <v>0</v>
      </c>
      <c r="X668" s="111">
        <f t="shared" si="285"/>
        <v>0</v>
      </c>
      <c r="Y668" s="111">
        <f t="shared" si="285"/>
        <v>0</v>
      </c>
      <c r="Z668" s="111">
        <f t="shared" si="285"/>
        <v>0</v>
      </c>
      <c r="AA668" s="111">
        <f t="shared" si="285"/>
        <v>0</v>
      </c>
      <c r="AB668" s="111">
        <f t="shared" si="285"/>
        <v>0</v>
      </c>
      <c r="AC668" s="111">
        <f t="shared" si="285"/>
        <v>0</v>
      </c>
      <c r="AD668" s="111">
        <f t="shared" si="285"/>
        <v>0</v>
      </c>
      <c r="AE668" s="111">
        <f t="shared" si="285"/>
        <v>0</v>
      </c>
      <c r="AF668" s="237">
        <f t="shared" si="267"/>
        <v>1</v>
      </c>
      <c r="AG668" s="94" t="str">
        <f t="shared" si="268"/>
        <v>ok</v>
      </c>
    </row>
    <row r="669" spans="1:33" s="61" customFormat="1">
      <c r="A669" s="61" t="s">
        <v>945</v>
      </c>
      <c r="D669" s="61" t="s">
        <v>946</v>
      </c>
      <c r="F669" s="82">
        <v>1</v>
      </c>
      <c r="H669" s="111">
        <f>H15/$F$15</f>
        <v>0.19283906465573772</v>
      </c>
      <c r="I669" s="111">
        <f t="shared" ref="I669:AE669" si="286">I15/$F$15</f>
        <v>0.20201112584486958</v>
      </c>
      <c r="J669" s="111">
        <f t="shared" si="286"/>
        <v>0.16605246425879791</v>
      </c>
      <c r="K669" s="111">
        <f t="shared" si="286"/>
        <v>0</v>
      </c>
      <c r="L669" s="111">
        <f t="shared" si="286"/>
        <v>0</v>
      </c>
      <c r="M669" s="111">
        <f t="shared" si="286"/>
        <v>0</v>
      </c>
      <c r="N669" s="111">
        <f t="shared" si="286"/>
        <v>0.10758568985889098</v>
      </c>
      <c r="O669" s="111">
        <f t="shared" si="286"/>
        <v>0</v>
      </c>
      <c r="P669" s="111">
        <f t="shared" si="286"/>
        <v>0</v>
      </c>
      <c r="Q669" s="111">
        <f t="shared" si="286"/>
        <v>0</v>
      </c>
      <c r="R669" s="111">
        <f t="shared" si="286"/>
        <v>3.7143345726016942E-2</v>
      </c>
      <c r="S669" s="111">
        <f t="shared" si="286"/>
        <v>0</v>
      </c>
      <c r="T669" s="111">
        <f t="shared" si="286"/>
        <v>6.3518941758240924E-2</v>
      </c>
      <c r="U669" s="111">
        <f t="shared" si="286"/>
        <v>0.10108224427068532</v>
      </c>
      <c r="V669" s="111">
        <f t="shared" si="286"/>
        <v>1.7461595794508913E-2</v>
      </c>
      <c r="W669" s="111">
        <f t="shared" si="286"/>
        <v>2.6535619961911242E-2</v>
      </c>
      <c r="X669" s="111">
        <f t="shared" si="286"/>
        <v>2.4137193656131796E-2</v>
      </c>
      <c r="Y669" s="111">
        <f t="shared" si="286"/>
        <v>1.6880403204496217E-2</v>
      </c>
      <c r="Z669" s="111">
        <f t="shared" si="286"/>
        <v>8.3831238551353472E-3</v>
      </c>
      <c r="AA669" s="111">
        <f t="shared" si="286"/>
        <v>9.7241895151196339E-3</v>
      </c>
      <c r="AB669" s="111">
        <f t="shared" si="286"/>
        <v>2.6644997639457487E-2</v>
      </c>
      <c r="AC669" s="111">
        <f t="shared" si="286"/>
        <v>0</v>
      </c>
      <c r="AD669" s="111">
        <f t="shared" si="286"/>
        <v>0</v>
      </c>
      <c r="AE669" s="111">
        <f t="shared" si="286"/>
        <v>0</v>
      </c>
      <c r="AF669" s="237">
        <f t="shared" si="267"/>
        <v>1</v>
      </c>
      <c r="AG669" s="94" t="str">
        <f t="shared" si="268"/>
        <v>ok</v>
      </c>
    </row>
    <row r="670" spans="1:33" s="61" customFormat="1">
      <c r="W670" s="78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1363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ProForma'!N176</f>
        <v>226471826.17950612</v>
      </c>
      <c r="E14" s="360">
        <f>'Allocation ProForma'!N125+'Allocation ProForma'!N126+'Allocation ProForma'!N127</f>
        <v>157629587.98959786</v>
      </c>
      <c r="F14" s="360">
        <f>'Allocation ProForma'!N128</f>
        <v>8043918.1569502605</v>
      </c>
      <c r="G14" s="360">
        <f>'Allocation ProForma'!N137</f>
        <v>30228915.843000002</v>
      </c>
      <c r="H14" s="360">
        <f>'Allocation ProForma'!N147+'Allocation ProForma'!N149+'Allocation ProForma'!N154+'Allocation ProForma'!N143</f>
        <v>30190373.367322654</v>
      </c>
      <c r="I14" s="360">
        <f>'Allocation ProForma'!N148+'Allocation ProForma'!N150+'Allocation ProForma'!N155+'Allocation ProForma'!N159+'Allocation ProForma'!N162+'Allocation ProForma'!N165</f>
        <v>365555.95118325681</v>
      </c>
      <c r="J14" s="360">
        <f>'Allocation ProForma'!N168+'Allocation ProForma'!N171</f>
        <v>13474.871452105255</v>
      </c>
      <c r="K14" s="282">
        <f>SUM(E14:J14)</f>
        <v>226471826.17950612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ProForma'!N831+'Allocation ProForma'!N832+'Allocation ProForma'!N833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226471826.17950612</v>
      </c>
      <c r="E16" s="360">
        <f t="shared" ref="E16:K16" si="1">E14+E15</f>
        <v>157629587.98959786</v>
      </c>
      <c r="F16" s="360">
        <f t="shared" si="1"/>
        <v>8043918.1569502605</v>
      </c>
      <c r="G16" s="360">
        <f t="shared" si="1"/>
        <v>30228915.843000002</v>
      </c>
      <c r="H16" s="360">
        <f t="shared" si="1"/>
        <v>30190373.367322654</v>
      </c>
      <c r="I16" s="360">
        <f t="shared" si="1"/>
        <v>365555.95118325681</v>
      </c>
      <c r="J16" s="360">
        <f t="shared" si="1"/>
        <v>13474.871452105255</v>
      </c>
      <c r="K16" s="282">
        <f t="shared" si="1"/>
        <v>226471826.17950612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ProForma'!N988</f>
        <v>8.2531358831001281E-2</v>
      </c>
      <c r="E18" s="362">
        <f t="shared" ref="E18:J18" si="2">D18</f>
        <v>8.2531358831001281E-2</v>
      </c>
      <c r="F18" s="362">
        <f t="shared" si="2"/>
        <v>8.2531358831001281E-2</v>
      </c>
      <c r="G18" s="362">
        <f t="shared" si="2"/>
        <v>8.2531358831001281E-2</v>
      </c>
      <c r="H18" s="362">
        <f t="shared" si="2"/>
        <v>8.2531358831001281E-2</v>
      </c>
      <c r="I18" s="362">
        <f t="shared" si="2"/>
        <v>8.2531358831001281E-2</v>
      </c>
      <c r="J18" s="362">
        <f t="shared" si="2"/>
        <v>8.2531358831001281E-2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18691027.551532969</v>
      </c>
      <c r="E20" s="231">
        <f t="shared" ref="E20:J20" si="3">E18*E16</f>
        <v>13009384.088752391</v>
      </c>
      <c r="F20" s="231">
        <f t="shared" si="3"/>
        <v>663875.49581846839</v>
      </c>
      <c r="G20" s="231">
        <f t="shared" si="3"/>
        <v>2494833.5005107727</v>
      </c>
      <c r="H20" s="231">
        <f t="shared" si="3"/>
        <v>2491652.5376204103</v>
      </c>
      <c r="I20" s="231">
        <f t="shared" si="3"/>
        <v>30169.829379913353</v>
      </c>
      <c r="J20" s="231">
        <f t="shared" si="3"/>
        <v>1112.0994510153141</v>
      </c>
      <c r="K20" s="283">
        <f>SUM(E20:J20)</f>
        <v>18691027.551532969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ProForma'!N743</f>
        <v>5832103.965985979</v>
      </c>
      <c r="E22" s="231">
        <f t="shared" ref="E22:J22" si="4">(E14/$D$14)*$D$22</f>
        <v>4059278.1926975949</v>
      </c>
      <c r="F22" s="231">
        <f t="shared" si="4"/>
        <v>207147.03359186091</v>
      </c>
      <c r="G22" s="231">
        <f t="shared" si="4"/>
        <v>778455.24076658976</v>
      </c>
      <c r="H22" s="231">
        <f t="shared" si="4"/>
        <v>777462.69467797119</v>
      </c>
      <c r="I22" s="231">
        <f t="shared" si="4"/>
        <v>9413.7992731855938</v>
      </c>
      <c r="J22" s="231">
        <f t="shared" si="4"/>
        <v>347.00497877685143</v>
      </c>
      <c r="K22" s="283">
        <f>SUM(E22:J22)</f>
        <v>5832103.965985979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12858923.585546989</v>
      </c>
      <c r="E24" s="231">
        <f t="shared" ref="E24:J24" si="5">E20-E22</f>
        <v>8950105.8960547969</v>
      </c>
      <c r="F24" s="231">
        <f t="shared" si="5"/>
        <v>456728.46222660749</v>
      </c>
      <c r="G24" s="231">
        <f t="shared" si="5"/>
        <v>1716378.2597441829</v>
      </c>
      <c r="H24" s="231">
        <f t="shared" si="5"/>
        <v>1714189.842942439</v>
      </c>
      <c r="I24" s="231">
        <f t="shared" si="5"/>
        <v>20756.030106727761</v>
      </c>
      <c r="J24" s="231">
        <f t="shared" si="5"/>
        <v>765.09447223846269</v>
      </c>
      <c r="K24" s="283">
        <f>SUM(E24:J24)</f>
        <v>12858923.585546991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ProForma'!N783+'Allocation ProForma'!N979</f>
        <v>9569439.3066813368</v>
      </c>
      <c r="E26" s="231">
        <f t="shared" ref="E26:J26" si="6">$D$26*(E24/$K$24)</f>
        <v>6660549.3524304116</v>
      </c>
      <c r="F26" s="231">
        <f t="shared" si="6"/>
        <v>339891.22571844747</v>
      </c>
      <c r="G26" s="231">
        <f t="shared" si="6"/>
        <v>1277305.7927173786</v>
      </c>
      <c r="H26" s="231">
        <f t="shared" si="6"/>
        <v>1275677.2021419161</v>
      </c>
      <c r="I26" s="231">
        <f t="shared" si="6"/>
        <v>15446.360578519048</v>
      </c>
      <c r="J26" s="231">
        <f t="shared" si="6"/>
        <v>569.37309466497743</v>
      </c>
      <c r="K26" s="283">
        <f>SUM(E26:J26)</f>
        <v>9569439.3066813368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ProForma'!N774</f>
        <v>90477956.309345245</v>
      </c>
      <c r="E28" s="231">
        <f>'Allocation ProForma'!N182+'Allocation ProForma'!N183+'Allocation ProForma'!N184</f>
        <v>11655025.103779726</v>
      </c>
      <c r="F28" s="231">
        <f>'Allocation ProForma'!N185</f>
        <v>72903854.868150339</v>
      </c>
      <c r="G28" s="231">
        <f>'Allocation ProForma'!N194</f>
        <v>2658238.7789754085</v>
      </c>
      <c r="H28" s="231">
        <f>'Allocation ProForma'!N200+'Allocation ProForma'!N204+'Allocation ProForma'!N206+'Allocation ProForma'!N211</f>
        <v>2904744.4561140575</v>
      </c>
      <c r="I28" s="231">
        <f>'Allocation ProForma'!N205+'Allocation ProForma'!N207+'Allocation ProForma'!N212+'Allocation ProForma'!N216+'Allocation ProForma'!N219</f>
        <v>220716.37406249228</v>
      </c>
      <c r="J28" s="231">
        <f>'Allocation ProForma'!N225+'Allocation ProForma'!N228</f>
        <v>135376.72826323059</v>
      </c>
      <c r="K28" s="283">
        <f t="shared" ref="K28:K39" si="7">SUM(E28:J28)</f>
        <v>90477956.309345245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ProForma'!N775</f>
        <v>13152588.86349605</v>
      </c>
      <c r="E29" s="231">
        <f>'Allocation ProForma'!N302</f>
        <v>9974924.9116502069</v>
      </c>
      <c r="F29" s="231">
        <v>0</v>
      </c>
      <c r="G29" s="231">
        <f>'Allocation ProForma'!N308</f>
        <v>1412512.2278728345</v>
      </c>
      <c r="H29" s="231">
        <f>'Allocation ProForma'!N314+'Allocation ProForma'!N318+'Allocation ProForma'!N320+'Allocation ProForma'!N325</f>
        <v>1745447.7803665716</v>
      </c>
      <c r="I29" s="231">
        <f>'Allocation ProForma'!N319+'Allocation ProForma'!N321+'Allocation ProForma'!N326+'Allocation ProForma'!N330+'Allocation ProForma'!N333</f>
        <v>19703.943606437639</v>
      </c>
      <c r="J29" s="231">
        <v>0</v>
      </c>
      <c r="K29" s="283">
        <f t="shared" si="7"/>
        <v>13152588.86349605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ProForma'!N780+'Allocation ProForma'!N781</f>
        <v>2956745.2185576959</v>
      </c>
      <c r="E30" s="231">
        <f>'Allocation ProForma'!N417+'Allocation ProForma'!N474+'Allocation ProForma'!N359+'Allocation ProForma'!N531+'Allocation ProForma'!N589</f>
        <v>2138495.5166155715</v>
      </c>
      <c r="F30" s="231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231">
        <f>'Allocation ProForma'!N365+'Allocation ProForma'!N423+'Allocation ProForma'!N480+'Allocation ProForma'!N537+'Allocation ProForma'!N595</f>
        <v>402983.24926267727</v>
      </c>
      <c r="H30" s="231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410630.9379788615</v>
      </c>
      <c r="I30" s="231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4635.5147005857889</v>
      </c>
      <c r="J30" s="231">
        <v>0</v>
      </c>
      <c r="K30" s="283">
        <f t="shared" si="7"/>
        <v>2956745.2185576963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ProForma'!N717+'Allocation ProForma'!N718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ProForma'!N801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6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ProForma'!N788+'Allocation ProForma'!N791+'Allocation ProForma'!N792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ProForma'!N799+'Allocation ProForma'!N802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ProForma'!N793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ProForma'!N800+'Allocation ProForma'!N813+'Allocation ProForma'!N976+'Allocation ProForma'!N977-'Allocation ProForma'!N966</f>
        <v>-446291.60030180606</v>
      </c>
      <c r="E36" s="231">
        <f t="shared" ref="E36:J36" si="10">(E14/($D$14)*$D$36)</f>
        <v>-310629.19509922672</v>
      </c>
      <c r="F36" s="231">
        <f t="shared" si="10"/>
        <v>-15851.56603151437</v>
      </c>
      <c r="G36" s="231">
        <f t="shared" si="10"/>
        <v>-59569.931741831417</v>
      </c>
      <c r="H36" s="231">
        <f t="shared" si="10"/>
        <v>-59493.978880763381</v>
      </c>
      <c r="I36" s="231">
        <f t="shared" si="10"/>
        <v>-720.37459672406635</v>
      </c>
      <c r="J36" s="231">
        <f t="shared" si="10"/>
        <v>-26.553951746097454</v>
      </c>
      <c r="K36" s="283">
        <f t="shared" si="7"/>
        <v>-446291.60030180606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ProForma'!N767-'Allocation ProForma'!N965</f>
        <v>601593.23656713637</v>
      </c>
      <c r="E37" s="231">
        <f>D37</f>
        <v>601593.23656713637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601593.23656713637</v>
      </c>
      <c r="L37" s="206" t="str">
        <f>IF(ABS(K37-D37)&lt;0.01,"ok","err")</f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155301.63626533031</v>
      </c>
      <c r="E39" s="360">
        <f t="shared" si="11"/>
        <v>290964.04146790964</v>
      </c>
      <c r="F39" s="360">
        <f t="shared" si="11"/>
        <v>-15851.56603151437</v>
      </c>
      <c r="G39" s="360">
        <f t="shared" si="11"/>
        <v>-59569.931741831417</v>
      </c>
      <c r="H39" s="360">
        <f t="shared" si="11"/>
        <v>-59493.978880763381</v>
      </c>
      <c r="I39" s="360">
        <f t="shared" si="11"/>
        <v>-720.37459672406635</v>
      </c>
      <c r="J39" s="360">
        <f t="shared" si="11"/>
        <v>-26.553951746097454</v>
      </c>
      <c r="K39" s="283">
        <f t="shared" si="7"/>
        <v>155301.63626533034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135003058.88587865</v>
      </c>
      <c r="E41" s="231">
        <f t="shared" si="12"/>
        <v>43729343.014696226</v>
      </c>
      <c r="F41" s="231">
        <f t="shared" si="12"/>
        <v>73891770.023655757</v>
      </c>
      <c r="G41" s="231">
        <f t="shared" si="12"/>
        <v>8186303.61759724</v>
      </c>
      <c r="H41" s="231">
        <f t="shared" si="12"/>
        <v>8768658.9353410546</v>
      </c>
      <c r="I41" s="231">
        <f t="shared" si="12"/>
        <v>289951.64773122407</v>
      </c>
      <c r="J41" s="231">
        <f t="shared" si="12"/>
        <v>137031.6468571648</v>
      </c>
      <c r="K41" s="283">
        <f>SUM(E41:J41)</f>
        <v>135003058.88587865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ProForma'!N703</f>
        <v>522778.68818880204</v>
      </c>
      <c r="E43" s="311">
        <f>D43</f>
        <v>522778.68818880204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522778.68818880204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ProForma'!N699+'Allocation ProForma'!N700+'Allocation ProForma'!N701+'Allocation ProForma'!N702)</f>
        <v>-6729278.1617034627</v>
      </c>
      <c r="E44" s="375">
        <v>0</v>
      </c>
      <c r="F44" s="375">
        <f>D44</f>
        <v>-6729278.1617034627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-6729278.1617034627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ProForma'!N698+'Allocation ProForma'!N704+'Allocation ProForma'!N705+'Allocation ProForma'!N706+'Allocation ProForma'!N707)</f>
        <v>-1492733.4123639776</v>
      </c>
      <c r="E45" s="375">
        <f>-('Allocation ProForma'!N698)-(E14/($D$14)*('Allocation ProForma'!N704+'Allocation ProForma'!N705+'Allocation ProForma'!N706+'Allocation ProForma'!N707))</f>
        <v>-1038976.7095476927</v>
      </c>
      <c r="F45" s="375">
        <f>(F14/($D$14)*-('Allocation ProForma'!N704+'Allocation ProForma'!N705+'Allocation ProForma'!N706+'Allocation ProForma'!N707))</f>
        <v>-53019.510646254043</v>
      </c>
      <c r="G45" s="375">
        <f>(G14/($D$14)*-('Allocation ProForma'!N704+'Allocation ProForma'!N705+'Allocation ProForma'!N706+'Allocation ProForma'!N707))</f>
        <v>-199246.47343382545</v>
      </c>
      <c r="H45" s="375">
        <f>(H14/($D$14)*-('Allocation ProForma'!N704+'Allocation ProForma'!N705+'Allocation ProForma'!N706+'Allocation ProForma'!N707))</f>
        <v>-198992.43017286281</v>
      </c>
      <c r="I45" s="375">
        <f>(I14/($D$14)*-('Allocation ProForma'!N704+'Allocation ProForma'!N705+'Allocation ProForma'!N706+'Allocation ProForma'!N707))</f>
        <v>-2409.472258095484</v>
      </c>
      <c r="J45" s="375">
        <f>(J14/($D$14)*-('Allocation ProForma'!N704+'Allocation ProForma'!N705+'Allocation ProForma'!N706+'Allocation ProForma'!N707))</f>
        <v>-88.816305247275892</v>
      </c>
      <c r="K45" s="283">
        <f>SUM(E45:J45)</f>
        <v>-1492733.4123639776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-7699232.8858786374</v>
      </c>
      <c r="E46" s="375">
        <f>SUM(E43:E45)</f>
        <v>-516198.02135889063</v>
      </c>
      <c r="F46" s="375">
        <f t="shared" ref="F46:J46" si="13">SUM(F43:F45)</f>
        <v>-6782297.6723497165</v>
      </c>
      <c r="G46" s="375">
        <f t="shared" si="13"/>
        <v>-199246.47343382545</v>
      </c>
      <c r="H46" s="375">
        <f t="shared" si="13"/>
        <v>-198992.43017286281</v>
      </c>
      <c r="I46" s="375">
        <f t="shared" si="13"/>
        <v>-2409.472258095484</v>
      </c>
      <c r="J46" s="375">
        <f t="shared" si="13"/>
        <v>-88.816305247275892</v>
      </c>
      <c r="K46" s="283">
        <f>SUM(E46:J46)</f>
        <v>-7699232.8858786374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ProForma'!N968-SUM('Allocation ProForma'!N698:N707)-'Allocation ProForma'!N767-'Allocation ProForma'!N965-'Allocation ProForma'!N966</f>
        <v>127303826</v>
      </c>
      <c r="D48" s="272">
        <f t="shared" ref="D48:J48" si="14">D41+D46</f>
        <v>127303826.00000001</v>
      </c>
      <c r="E48" s="231">
        <f t="shared" si="14"/>
        <v>43213144.993337333</v>
      </c>
      <c r="F48" s="231">
        <f t="shared" si="14"/>
        <v>67109472.351306036</v>
      </c>
      <c r="G48" s="231">
        <f t="shared" si="14"/>
        <v>7987057.1441634148</v>
      </c>
      <c r="H48" s="231">
        <f t="shared" si="14"/>
        <v>8569666.5051681921</v>
      </c>
      <c r="I48" s="231">
        <f t="shared" si="14"/>
        <v>287542.17547312856</v>
      </c>
      <c r="J48" s="231">
        <f t="shared" si="14"/>
        <v>136942.83055191752</v>
      </c>
      <c r="K48" s="283">
        <f>SUM(E48:J48)</f>
        <v>127303826.00000003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4077680.9276312636</v>
      </c>
      <c r="F50" s="277">
        <f>'Allocation ProForma'!N1006</f>
        <v>1848687110</v>
      </c>
      <c r="G50" s="277">
        <v>4881740.5139989704</v>
      </c>
      <c r="H50" s="277">
        <f>G50</f>
        <v>4881740.5139989704</v>
      </c>
      <c r="I50" s="277">
        <f>'Allocation ProForma'!$N$1022*12</f>
        <v>1266</v>
      </c>
      <c r="J50" s="277">
        <f>'Allocation ProForma'!$N$1022*12</f>
        <v>1266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10.597480715206418</v>
      </c>
      <c r="F52" s="279">
        <f t="shared" si="15"/>
        <v>3.6301152308735485E-2</v>
      </c>
      <c r="G52" s="280">
        <f t="shared" si="15"/>
        <v>1.6361084988560086</v>
      </c>
      <c r="H52" s="280">
        <f t="shared" si="15"/>
        <v>1.7554530972290838</v>
      </c>
      <c r="I52" s="280">
        <f t="shared" si="15"/>
        <v>227.12652091084405</v>
      </c>
      <c r="J52" s="280">
        <f t="shared" si="15"/>
        <v>108.16969237908177</v>
      </c>
      <c r="K52" s="265">
        <f>I52+J52</f>
        <v>335.29621328992584</v>
      </c>
    </row>
    <row r="54" spans="1:12">
      <c r="D54" s="259"/>
      <c r="F54" s="308"/>
      <c r="J54" s="372" t="s">
        <v>1376</v>
      </c>
      <c r="K54" s="221">
        <f>I52+J52</f>
        <v>335.29621328992584</v>
      </c>
    </row>
    <row r="55" spans="1:12">
      <c r="D55" s="259"/>
      <c r="I55" s="20"/>
      <c r="J55" s="372" t="s">
        <v>1394</v>
      </c>
      <c r="K55" s="3">
        <f>E52+G52+H52</f>
        <v>13.989042311291511</v>
      </c>
    </row>
    <row r="56" spans="1:12">
      <c r="J56" s="372" t="s">
        <v>1395</v>
      </c>
      <c r="K56" s="9">
        <f>F52</f>
        <v>3.6301152308735485E-2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3" spans="1:12">
      <c r="E63" s="277"/>
      <c r="F63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1185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ProForma'!P176</f>
        <v>113082426.76512812</v>
      </c>
      <c r="E14" s="360">
        <f>'Allocation ProForma'!P125+'Allocation ProForma'!P126+'Allocation ProForma'!P127</f>
        <v>89339923.411113039</v>
      </c>
      <c r="F14" s="360">
        <f>'Allocation ProForma'!P128</f>
        <v>4898130.2292325012</v>
      </c>
      <c r="G14" s="360">
        <f>'Allocation ProForma'!P137</f>
        <v>18591211.522047866</v>
      </c>
      <c r="H14" s="360">
        <f>'Allocation ProForma'!P147+'Allocation ProForma'!P149+'Allocation ProForma'!P154+'Allocation ProForma'!P143</f>
        <v>0</v>
      </c>
      <c r="I14" s="360">
        <f>'Allocation ProForma'!P148+'Allocation ProForma'!P150+'Allocation ProForma'!P155+'Allocation ProForma'!P159+'Allocation ProForma'!P162+'Allocation ProForma'!P165</f>
        <v>251501.1920344735</v>
      </c>
      <c r="J14" s="360">
        <f>'Allocation ProForma'!P168+'Allocation ProForma'!P171</f>
        <v>1660.4107002594153</v>
      </c>
      <c r="K14" s="282">
        <f>SUM(E14:J14)</f>
        <v>113082426.76512814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ProForma'!P831+'Allocation ProForma'!P832+'Allocation ProForma'!P833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113082426.76512812</v>
      </c>
      <c r="E16" s="360">
        <f t="shared" ref="E16:K16" si="1">E14+E15</f>
        <v>89339923.411113039</v>
      </c>
      <c r="F16" s="360">
        <f t="shared" si="1"/>
        <v>4898130.2292325012</v>
      </c>
      <c r="G16" s="360">
        <f t="shared" si="1"/>
        <v>18591211.522047866</v>
      </c>
      <c r="H16" s="360">
        <f t="shared" si="1"/>
        <v>0</v>
      </c>
      <c r="I16" s="360">
        <f t="shared" si="1"/>
        <v>251501.1920344735</v>
      </c>
      <c r="J16" s="360">
        <f t="shared" si="1"/>
        <v>1660.4107002594153</v>
      </c>
      <c r="K16" s="282">
        <f t="shared" si="1"/>
        <v>113082426.76512814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ProForma'!P988</f>
        <v>8.0487480034159758E-2</v>
      </c>
      <c r="E18" s="362">
        <f t="shared" ref="E18:J18" si="2">D18</f>
        <v>8.0487480034159758E-2</v>
      </c>
      <c r="F18" s="362">
        <f t="shared" si="2"/>
        <v>8.0487480034159758E-2</v>
      </c>
      <c r="G18" s="362">
        <f t="shared" si="2"/>
        <v>8.0487480034159758E-2</v>
      </c>
      <c r="H18" s="362">
        <f t="shared" si="2"/>
        <v>8.0487480034159758E-2</v>
      </c>
      <c r="I18" s="362">
        <f t="shared" si="2"/>
        <v>8.0487480034159758E-2</v>
      </c>
      <c r="J18" s="362">
        <f t="shared" si="2"/>
        <v>8.0487480034159758E-2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9101719.5664725825</v>
      </c>
      <c r="E20" s="231">
        <f t="shared" ref="E20:J20" si="3">E18*E16</f>
        <v>7190745.301805323</v>
      </c>
      <c r="F20" s="231">
        <f t="shared" si="3"/>
        <v>394238.15903006529</v>
      </c>
      <c r="G20" s="231">
        <f t="shared" si="3"/>
        <v>1496359.7661916686</v>
      </c>
      <c r="H20" s="231">
        <f t="shared" si="3"/>
        <v>0</v>
      </c>
      <c r="I20" s="231">
        <f t="shared" si="3"/>
        <v>20242.697172442065</v>
      </c>
      <c r="J20" s="231">
        <f t="shared" si="3"/>
        <v>133.64227308563491</v>
      </c>
      <c r="K20" s="283">
        <f>SUM(E20:J20)</f>
        <v>9101719.5664725844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ProForma'!P743</f>
        <v>2885769.2657072162</v>
      </c>
      <c r="E22" s="231">
        <f t="shared" ref="E22:J22" si="4">(E14/$D$14)*$D$22</f>
        <v>2279880.3718274143</v>
      </c>
      <c r="F22" s="231">
        <f t="shared" si="4"/>
        <v>124996.20037610873</v>
      </c>
      <c r="G22" s="231">
        <f t="shared" si="4"/>
        <v>474432.22043703037</v>
      </c>
      <c r="H22" s="231">
        <f t="shared" si="4"/>
        <v>0</v>
      </c>
      <c r="I22" s="231">
        <f t="shared" si="4"/>
        <v>6418.1007697088389</v>
      </c>
      <c r="J22" s="231">
        <f t="shared" si="4"/>
        <v>42.372296954787494</v>
      </c>
      <c r="K22" s="283">
        <f>SUM(E22:J22)</f>
        <v>2885769.2657072172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6215950.3007653663</v>
      </c>
      <c r="E24" s="231">
        <f t="shared" ref="E24:J24" si="5">E20-E22</f>
        <v>4910864.9299779087</v>
      </c>
      <c r="F24" s="231">
        <f t="shared" si="5"/>
        <v>269241.95865395654</v>
      </c>
      <c r="G24" s="231">
        <f t="shared" si="5"/>
        <v>1021927.5457546383</v>
      </c>
      <c r="H24" s="231">
        <f t="shared" si="5"/>
        <v>0</v>
      </c>
      <c r="I24" s="231">
        <f t="shared" si="5"/>
        <v>13824.596402733227</v>
      </c>
      <c r="J24" s="231">
        <f t="shared" si="5"/>
        <v>91.269976130847425</v>
      </c>
      <c r="K24" s="283">
        <f>SUM(E24:J24)</f>
        <v>6215950.3007653682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ProForma'!P783+'Allocation ProForma'!P979</f>
        <v>4594333.3358574156</v>
      </c>
      <c r="E26" s="231">
        <f t="shared" ref="E26:J26" si="6">$D$26*(E24/$K$24)</f>
        <v>3629718.6052006446</v>
      </c>
      <c r="F26" s="231">
        <f t="shared" si="6"/>
        <v>199002.12295827182</v>
      </c>
      <c r="G26" s="231">
        <f t="shared" si="6"/>
        <v>755327.11220573715</v>
      </c>
      <c r="H26" s="231">
        <f t="shared" si="6"/>
        <v>0</v>
      </c>
      <c r="I26" s="231">
        <f t="shared" si="6"/>
        <v>10218.036025807867</v>
      </c>
      <c r="J26" s="231">
        <f t="shared" si="6"/>
        <v>67.459466953786873</v>
      </c>
      <c r="K26" s="283">
        <f>SUM(E26:J26)</f>
        <v>4594333.3358574156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ProForma'!P774</f>
        <v>52826337.069601737</v>
      </c>
      <c r="E28" s="231">
        <f>'Allocation ProForma'!P182+'Allocation ProForma'!P183+'Allocation ProForma'!P184</f>
        <v>6605733.500965531</v>
      </c>
      <c r="F28" s="231">
        <f>'Allocation ProForma'!P185</f>
        <v>44392865.316353843</v>
      </c>
      <c r="G28" s="231">
        <f>'Allocation ProForma'!P194</f>
        <v>1634854.5105856331</v>
      </c>
      <c r="H28" s="231">
        <f>'Allocation ProForma'!P200+'Allocation ProForma'!P204+'Allocation ProForma'!P206+'Allocation ProForma'!P211</f>
        <v>0</v>
      </c>
      <c r="I28" s="231">
        <f>'Allocation ProForma'!P205+'Allocation ProForma'!P207+'Allocation ProForma'!P212+'Allocation ProForma'!P216+'Allocation ProForma'!P219</f>
        <v>176202.24911453691</v>
      </c>
      <c r="J28" s="231">
        <f>'Allocation ProForma'!P225+'Allocation ProForma'!P228</f>
        <v>16681.492582199029</v>
      </c>
      <c r="K28" s="283">
        <f t="shared" ref="K28:K39" si="7">SUM(E28:J28)</f>
        <v>52826337.069601744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ProForma'!P775</f>
        <v>6535570.2783721089</v>
      </c>
      <c r="E29" s="231">
        <f>'Allocation ProForma'!P302</f>
        <v>5653500.9639005177</v>
      </c>
      <c r="F29" s="231">
        <v>0</v>
      </c>
      <c r="G29" s="231">
        <f>'Allocation ProForma'!P308</f>
        <v>868715.03239650407</v>
      </c>
      <c r="H29" s="231">
        <f>'Allocation ProForma'!P314+'Allocation ProForma'!P318+'Allocation ProForma'!P320+'Allocation ProForma'!P325</f>
        <v>0</v>
      </c>
      <c r="I29" s="231">
        <f>'Allocation ProForma'!P319+'Allocation ProForma'!P321+'Allocation ProForma'!P326+'Allocation ProForma'!P330+'Allocation ProForma'!P333</f>
        <v>13354.282075087158</v>
      </c>
      <c r="J29" s="231">
        <v>0</v>
      </c>
      <c r="K29" s="283">
        <f t="shared" si="7"/>
        <v>6535570.2783721089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ProForma'!P780+'Allocation ProForma'!P781</f>
        <v>1463019.9543773152</v>
      </c>
      <c r="E30" s="231">
        <f>'Allocation ProForma'!P417+'Allocation ProForma'!P474+'Allocation ProForma'!P359+'Allocation ProForma'!P531+'Allocation ProForma'!P589</f>
        <v>1212037.8420455654</v>
      </c>
      <c r="F30" s="231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1">
        <f>'Allocation ProForma'!P365+'Allocation ProForma'!P423+'Allocation ProForma'!P480+'Allocation ProForma'!P537+'Allocation ProForma'!P595</f>
        <v>247840.4077008754</v>
      </c>
      <c r="H30" s="231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1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3141.7046308745357</v>
      </c>
      <c r="J30" s="231">
        <v>0</v>
      </c>
      <c r="K30" s="283">
        <f t="shared" si="7"/>
        <v>1463019.9543773152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ProForma'!P717+'Allocation ProForma'!P718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ProForma'!P801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ProForma'!P788+'Allocation ProForma'!P791+'Allocation ProForma'!P792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ProForma'!P799+'Allocation ProForma'!P802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ProForma'!P793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ProForma'!P800+'Allocation ProForma'!P813+'Allocation ProForma'!P976+'Allocation ProForma'!P977-'Allocation ProForma'!P966</f>
        <v>-199886.58872130685</v>
      </c>
      <c r="E36" s="231">
        <f t="shared" ref="E36:J36" si="10">(E14/($D$14)*$D$36)</f>
        <v>-157918.90073566351</v>
      </c>
      <c r="F36" s="231">
        <f t="shared" si="10"/>
        <v>-8658.0255716259453</v>
      </c>
      <c r="G36" s="231">
        <f t="shared" si="10"/>
        <v>-32862.16928344492</v>
      </c>
      <c r="H36" s="231">
        <f t="shared" si="10"/>
        <v>0</v>
      </c>
      <c r="I36" s="231">
        <f t="shared" si="10"/>
        <v>-444.55815791367326</v>
      </c>
      <c r="J36" s="231">
        <f t="shared" si="10"/>
        <v>-2.9349726588425042</v>
      </c>
      <c r="K36" s="283">
        <f t="shared" si="7"/>
        <v>-199886.58872130691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ProForma'!P767-'Allocation ProForma'!P965</f>
        <v>330434.84079177584</v>
      </c>
      <c r="E37" s="231">
        <f>D37</f>
        <v>330434.84079177584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330434.84079177584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130548.252070469</v>
      </c>
      <c r="E39" s="360">
        <f t="shared" si="11"/>
        <v>172515.94005611233</v>
      </c>
      <c r="F39" s="360">
        <f t="shared" si="11"/>
        <v>-8658.0255716259453</v>
      </c>
      <c r="G39" s="360">
        <f t="shared" si="11"/>
        <v>-32862.16928344492</v>
      </c>
      <c r="H39" s="360">
        <f t="shared" si="11"/>
        <v>0</v>
      </c>
      <c r="I39" s="360">
        <f t="shared" si="11"/>
        <v>-444.55815791367326</v>
      </c>
      <c r="J39" s="360">
        <f t="shared" si="11"/>
        <v>-2.9349726588425042</v>
      </c>
      <c r="K39" s="283">
        <f t="shared" si="7"/>
        <v>130548.25207046895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74651528.45675163</v>
      </c>
      <c r="E41" s="231">
        <f t="shared" si="12"/>
        <v>24464252.153973695</v>
      </c>
      <c r="F41" s="231">
        <f t="shared" si="12"/>
        <v>44977447.572770551</v>
      </c>
      <c r="G41" s="231">
        <f t="shared" si="12"/>
        <v>4970234.6597969737</v>
      </c>
      <c r="H41" s="231">
        <f t="shared" si="12"/>
        <v>0</v>
      </c>
      <c r="I41" s="231">
        <f t="shared" si="12"/>
        <v>222714.41086083488</v>
      </c>
      <c r="J41" s="231">
        <f t="shared" si="12"/>
        <v>16879.659349579611</v>
      </c>
      <c r="K41" s="283">
        <f>SUM(E41:J41)</f>
        <v>74651528.45675163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ProForma'!P703</f>
        <v>296295.9464617254</v>
      </c>
      <c r="E43" s="311">
        <f>D43</f>
        <v>296295.9464617254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296295.9464617254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ProForma'!P699+'Allocation ProForma'!P700+'Allocation ProForma'!P701+'Allocation ProForma'!P702)</f>
        <v>-4097615.1350165531</v>
      </c>
      <c r="E44" s="375">
        <v>0</v>
      </c>
      <c r="F44" s="375">
        <f>D44</f>
        <v>-4097615.1350165531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-4097615.1350165531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ProForma'!P698+'Allocation ProForma'!P704+'Allocation ProForma'!P705+'Allocation ProForma'!P706+'Allocation ProForma'!P707)</f>
        <v>-741108.26819676859</v>
      </c>
      <c r="E45" s="375">
        <f>-('Allocation ProForma'!P698)-(E14/($D$14)*('Allocation ProForma'!P704+'Allocation ProForma'!P705+'Allocation ProForma'!P706+'Allocation ProForma'!P707))</f>
        <v>-585507.03070390469</v>
      </c>
      <c r="F45" s="375">
        <f>(F14/($D$14)*-('Allocation ProForma'!P704+'Allocation ProForma'!P705+'Allocation ProForma'!P706+'Allocation ProForma'!P707))</f>
        <v>-32100.874693185822</v>
      </c>
      <c r="G45" s="375">
        <f>(G14/($D$14)*-('Allocation ProForma'!P704+'Allocation ProForma'!P705+'Allocation ProForma'!P706+'Allocation ProForma'!P707))</f>
        <v>-121841.21767568518</v>
      </c>
      <c r="H45" s="375">
        <f>(H14/($D$14)*-('Allocation ProForma'!P704+'Allocation ProForma'!P705+'Allocation ProForma'!P706+'Allocation ProForma'!P707))</f>
        <v>0</v>
      </c>
      <c r="I45" s="375">
        <f>(I14/($D$14)*-('Allocation ProForma'!P704+'Allocation ProForma'!P705+'Allocation ProForma'!P706+'Allocation ProForma'!P707))</f>
        <v>-1648.2632908579358</v>
      </c>
      <c r="J45" s="375">
        <f>(J14/($D$14)*-('Allocation ProForma'!P704+'Allocation ProForma'!P705+'Allocation ProForma'!P706+'Allocation ProForma'!P707))</f>
        <v>-10.881833135050027</v>
      </c>
      <c r="K45" s="283">
        <f>SUM(E45:J45)</f>
        <v>-741108.26819676859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-4542427.4567515962</v>
      </c>
      <c r="E46" s="147">
        <f t="shared" ref="E46:J46" si="13">SUM(E43:E45)</f>
        <v>-289211.08424217929</v>
      </c>
      <c r="F46" s="147">
        <f t="shared" si="13"/>
        <v>-4129716.0097097391</v>
      </c>
      <c r="G46" s="147">
        <f t="shared" si="13"/>
        <v>-121841.21767568518</v>
      </c>
      <c r="H46" s="147">
        <f t="shared" si="13"/>
        <v>0</v>
      </c>
      <c r="I46" s="147">
        <f t="shared" si="13"/>
        <v>-1648.2632908579358</v>
      </c>
      <c r="J46" s="147">
        <f t="shared" si="13"/>
        <v>-10.881833135050027</v>
      </c>
      <c r="K46" s="283">
        <f>SUM(E46:J46)</f>
        <v>-4542427.4567515962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ProForma'!P968-SUM('Allocation ProForma'!P698:P707)-'Allocation ProForma'!P767-'Allocation ProForma'!P965-'Allocation ProForma'!P966</f>
        <v>70109101.000000015</v>
      </c>
      <c r="D48" s="272">
        <f t="shared" ref="D48:J48" si="14">D41+D46</f>
        <v>70109101.00000003</v>
      </c>
      <c r="E48" s="231">
        <f t="shared" si="14"/>
        <v>24175041.069731515</v>
      </c>
      <c r="F48" s="231">
        <f t="shared" si="14"/>
        <v>40847731.563060813</v>
      </c>
      <c r="G48" s="231">
        <f t="shared" si="14"/>
        <v>4848393.4421212887</v>
      </c>
      <c r="H48" s="231">
        <f t="shared" si="14"/>
        <v>0</v>
      </c>
      <c r="I48" s="231">
        <f t="shared" si="14"/>
        <v>221066.14756997695</v>
      </c>
      <c r="J48" s="231">
        <f t="shared" si="14"/>
        <v>16868.777516444563</v>
      </c>
      <c r="K48" s="283">
        <f>SUM(E48:J48)</f>
        <v>70109101.00000003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2200970.2812678413</v>
      </c>
      <c r="F50" s="277">
        <f>'Allocation ProForma'!P1006</f>
        <v>1147609709</v>
      </c>
      <c r="G50" s="277">
        <v>2829315.3289429392</v>
      </c>
      <c r="H50" s="277">
        <f>G50</f>
        <v>2829315.3289429392</v>
      </c>
      <c r="I50" s="277">
        <f>'Allocation ProForma'!$P$1022*12</f>
        <v>156</v>
      </c>
      <c r="J50" s="277">
        <f>'Allocation ProForma'!$P$1022*12</f>
        <v>156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10.983810765407421</v>
      </c>
      <c r="F52" s="279">
        <f t="shared" si="15"/>
        <v>3.5593748678420085E-2</v>
      </c>
      <c r="G52" s="280">
        <f t="shared" si="15"/>
        <v>1.713627813953384</v>
      </c>
      <c r="H52" s="280">
        <f t="shared" si="15"/>
        <v>0</v>
      </c>
      <c r="I52" s="280">
        <f t="shared" si="15"/>
        <v>1417.0906895511343</v>
      </c>
      <c r="J52" s="280">
        <f t="shared" si="15"/>
        <v>108.13318920797796</v>
      </c>
      <c r="K52" s="265">
        <f>I52+J52</f>
        <v>1525.2238787591123</v>
      </c>
    </row>
    <row r="54" spans="1:12">
      <c r="D54" s="259"/>
      <c r="F54" s="308"/>
      <c r="J54" s="372" t="s">
        <v>1376</v>
      </c>
      <c r="K54" s="221">
        <f>I52+J52</f>
        <v>1525.2238787591123</v>
      </c>
    </row>
    <row r="55" spans="1:12">
      <c r="D55" s="259"/>
      <c r="I55" s="20"/>
      <c r="J55" s="372" t="s">
        <v>1394</v>
      </c>
      <c r="K55" s="3">
        <f>E52+G52+H52</f>
        <v>12.697438579360805</v>
      </c>
    </row>
    <row r="56" spans="1:12">
      <c r="J56" s="372" t="s">
        <v>1395</v>
      </c>
      <c r="K56" s="9">
        <f>F52</f>
        <v>3.5593748678420085E-2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activeCell="G41" sqref="G4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1399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406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ProForma'!R176</f>
        <v>6627986.1679961868</v>
      </c>
      <c r="E14" s="360">
        <f>'Allocation ProForma'!R125+'Allocation ProForma'!R126+'Allocation ProForma'!R127</f>
        <v>4411339.5176167544</v>
      </c>
      <c r="F14" s="360">
        <f>'Allocation ProForma'!R128</f>
        <v>252569.1301528106</v>
      </c>
      <c r="G14" s="360">
        <f>'Allocation ProForma'!R137</f>
        <v>980918.32907761366</v>
      </c>
      <c r="H14" s="360">
        <f>'Allocation ProForma'!R147+'Allocation ProForma'!R149+'Allocation ProForma'!R154+'Allocation ProForma'!R143</f>
        <v>979667.63847936993</v>
      </c>
      <c r="I14" s="360">
        <f>'Allocation ProForma'!R148+'Allocation ProForma'!R150+'Allocation ProForma'!R155+'Allocation ProForma'!R159+'Allocation ProForma'!R162+'Allocation ProForma'!R165</f>
        <v>3464.9853192725764</v>
      </c>
      <c r="J14" s="360">
        <f>'Allocation ProForma'!R168+'Allocation ProForma'!R171</f>
        <v>26.567350366805911</v>
      </c>
      <c r="K14" s="282">
        <f>SUM(E14:J14)</f>
        <v>6627986.1679961877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ProForma'!R831+'Allocation ProForma'!R832+'Allocation ProForma'!R833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6627986.1679961868</v>
      </c>
      <c r="E16" s="360">
        <f t="shared" ref="E16:K16" si="1">E14+E15</f>
        <v>4411339.5176167544</v>
      </c>
      <c r="F16" s="360">
        <f t="shared" si="1"/>
        <v>252569.1301528106</v>
      </c>
      <c r="G16" s="360">
        <f t="shared" si="1"/>
        <v>980918.32907761366</v>
      </c>
      <c r="H16" s="360">
        <f t="shared" si="1"/>
        <v>979667.63847936993</v>
      </c>
      <c r="I16" s="360">
        <f t="shared" si="1"/>
        <v>3464.9853192725764</v>
      </c>
      <c r="J16" s="360">
        <f t="shared" si="1"/>
        <v>26.567350366805911</v>
      </c>
      <c r="K16" s="282">
        <f t="shared" si="1"/>
        <v>6627986.1679961877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ProForma'!R988</f>
        <v>5.8303904150983889E-2</v>
      </c>
      <c r="E18" s="362">
        <f t="shared" ref="E18:J18" si="2">D18</f>
        <v>5.8303904150983889E-2</v>
      </c>
      <c r="F18" s="362">
        <f t="shared" si="2"/>
        <v>5.8303904150983889E-2</v>
      </c>
      <c r="G18" s="362">
        <f t="shared" si="2"/>
        <v>5.8303904150983889E-2</v>
      </c>
      <c r="H18" s="362">
        <f t="shared" si="2"/>
        <v>5.8303904150983889E-2</v>
      </c>
      <c r="I18" s="362">
        <f t="shared" si="2"/>
        <v>5.8303904150983889E-2</v>
      </c>
      <c r="J18" s="362">
        <f t="shared" si="2"/>
        <v>5.8303904150983889E-2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386437.47025289666</v>
      </c>
      <c r="E20" s="231">
        <f t="shared" ref="E20:J20" si="3">E18*E16</f>
        <v>257198.31641257476</v>
      </c>
      <c r="F20" s="231">
        <f t="shared" si="3"/>
        <v>14725.766355926844</v>
      </c>
      <c r="G20" s="231">
        <f t="shared" si="3"/>
        <v>57191.368238484458</v>
      </c>
      <c r="H20" s="231">
        <f t="shared" si="3"/>
        <v>57118.44809372192</v>
      </c>
      <c r="I20" s="231">
        <f t="shared" si="3"/>
        <v>202.0221719394346</v>
      </c>
      <c r="J20" s="231">
        <f t="shared" si="3"/>
        <v>1.5489802493318585</v>
      </c>
      <c r="K20" s="283">
        <f>SUM(E20:J20)</f>
        <v>386437.47025289678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ProForma'!R743</f>
        <v>170209.28774185729</v>
      </c>
      <c r="E22" s="231">
        <f t="shared" ref="E22:J22" si="4">(E14/$D$14)*$D$22</f>
        <v>113284.93123697299</v>
      </c>
      <c r="F22" s="231">
        <f t="shared" si="4"/>
        <v>6486.0744514630196</v>
      </c>
      <c r="G22" s="231">
        <f t="shared" si="4"/>
        <v>25190.367917697418</v>
      </c>
      <c r="H22" s="231">
        <f t="shared" si="4"/>
        <v>25158.249691962366</v>
      </c>
      <c r="I22" s="231">
        <f t="shared" si="4"/>
        <v>88.982183770561619</v>
      </c>
      <c r="J22" s="231">
        <f t="shared" si="4"/>
        <v>0.68225999096940282</v>
      </c>
      <c r="K22" s="283">
        <f>SUM(E22:J22)</f>
        <v>170209.28774185732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216228.18251103937</v>
      </c>
      <c r="E24" s="231">
        <f t="shared" ref="E24:J24" si="5">E20-E22</f>
        <v>143913.38517560175</v>
      </c>
      <c r="F24" s="231">
        <f t="shared" si="5"/>
        <v>8239.6919044638234</v>
      </c>
      <c r="G24" s="231">
        <f t="shared" si="5"/>
        <v>32001.00032078704</v>
      </c>
      <c r="H24" s="231">
        <f t="shared" si="5"/>
        <v>31960.198401759553</v>
      </c>
      <c r="I24" s="231">
        <f t="shared" si="5"/>
        <v>113.03998816887298</v>
      </c>
      <c r="J24" s="231">
        <f t="shared" si="5"/>
        <v>0.8667202583624557</v>
      </c>
      <c r="K24" s="283">
        <f>SUM(E24:J24)</f>
        <v>216228.18251103943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ProForma'!R783+'Allocation ProForma'!R979</f>
        <v>156913.2919629525</v>
      </c>
      <c r="E26" s="231">
        <f t="shared" ref="E26:J26" si="6">$D$26*(E24/$K$24)</f>
        <v>104435.61409615571</v>
      </c>
      <c r="F26" s="231">
        <f t="shared" si="6"/>
        <v>5979.4110391872655</v>
      </c>
      <c r="G26" s="231">
        <f t="shared" si="6"/>
        <v>23222.60793264462</v>
      </c>
      <c r="H26" s="231">
        <f t="shared" si="6"/>
        <v>23192.998640466983</v>
      </c>
      <c r="I26" s="231">
        <f t="shared" si="6"/>
        <v>82.031289636009788</v>
      </c>
      <c r="J26" s="231">
        <f t="shared" si="6"/>
        <v>0.6289648618939403</v>
      </c>
      <c r="K26" s="283">
        <f>SUM(E26:J26)</f>
        <v>156913.29196295247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ProForma'!R774</f>
        <v>2798128.4811254009</v>
      </c>
      <c r="E28" s="231">
        <f>'Allocation ProForma'!R182+'Allocation ProForma'!R183+'Allocation ProForma'!R184</f>
        <v>326171.45978020137</v>
      </c>
      <c r="F28" s="231">
        <f>'Allocation ProForma'!R185</f>
        <v>2289091.3171369969</v>
      </c>
      <c r="G28" s="231">
        <f>'Allocation ProForma'!R194</f>
        <v>86258.969885143466</v>
      </c>
      <c r="H28" s="231">
        <f>'Allocation ProForma'!R200+'Allocation ProForma'!R204+'Allocation ProForma'!R206+'Allocation ProForma'!R211</f>
        <v>94257.997643295181</v>
      </c>
      <c r="I28" s="231">
        <f>'Allocation ProForma'!R205+'Allocation ProForma'!R207+'Allocation ProForma'!R212+'Allocation ProForma'!R216+'Allocation ProForma'!R219</f>
        <v>2092.0983323458986</v>
      </c>
      <c r="J28" s="231">
        <f>'Allocation ProForma'!R225+'Allocation ProForma'!R228</f>
        <v>256.63834741844664</v>
      </c>
      <c r="K28" s="283">
        <f t="shared" ref="K28:K39" si="7">SUM(E28:J28)</f>
        <v>2798128.4811254013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ProForma'!R775</f>
        <v>381814.57707368705</v>
      </c>
      <c r="E29" s="231">
        <f>'Allocation ProForma'!R302</f>
        <v>279153.05120842013</v>
      </c>
      <c r="F29" s="231">
        <v>0</v>
      </c>
      <c r="G29" s="231">
        <f>'Allocation ProForma'!R308</f>
        <v>45835.554988571217</v>
      </c>
      <c r="H29" s="231">
        <f>'Allocation ProForma'!R314+'Allocation ProForma'!R318+'Allocation ProForma'!R320+'Allocation ProForma'!R325</f>
        <v>56639.203638720021</v>
      </c>
      <c r="I29" s="231">
        <f>'Allocation ProForma'!R319+'Allocation ProForma'!R321+'Allocation ProForma'!R326+'Allocation ProForma'!R330+'Allocation ProForma'!R333</f>
        <v>186.76723797571222</v>
      </c>
      <c r="J29" s="231">
        <v>0</v>
      </c>
      <c r="K29" s="283">
        <f t="shared" si="7"/>
        <v>381814.57707368711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ProForma'!R780+'Allocation ProForma'!R781</f>
        <v>86292.27130037373</v>
      </c>
      <c r="E30" s="231">
        <f>'Allocation ProForma'!R417+'Allocation ProForma'!R474+'Allocation ProForma'!R359+'Allocation ProForma'!R531+'Allocation ProForma'!R589</f>
        <v>59846.821278978823</v>
      </c>
      <c r="F30" s="231">
        <f>'Allocation ProForma'!R356+'Allocation ProForma'!R357+'Allocation ProForma'!R358+'Allocation ProForma'!R414+'Allocation ProForma'!R415+'Allocation ProForma'!R416+'Allocation ProForma'!R471+'Allocation ProForma'!R472+'Allocation ProForma'!R473+'Allocation ProForma'!R528+'Allocation ProForma'!R529+'Allocation ProForma'!R530+'Allocation ProForma'!R586+'Allocation ProForma'!R587+'Allocation ProForma'!R588</f>
        <v>0</v>
      </c>
      <c r="G30" s="231">
        <f>'Allocation ProForma'!R365+'Allocation ProForma'!R423+'Allocation ProForma'!R480+'Allocation ProForma'!R537+'Allocation ProForma'!R595</f>
        <v>13076.673260994557</v>
      </c>
      <c r="H30" s="231">
        <f>'Allocation ProForma'!R371+'Allocation ProForma'!R375+'Allocation ProForma'!R377+'Allocation ProForma'!R382+'Allocation ProForma'!R429+'Allocation ProForma'!R433+'Allocation ProForma'!R435+'Allocation ProForma'!R440+'Allocation ProForma'!R486+'Allocation ProForma'!R490+'Allocation ProForma'!R492+'Allocation ProForma'!R497+'Allocation ProForma'!R543+'Allocation ProForma'!R547+'Allocation ProForma'!R549+'Allocation ProForma'!R554+'Allocation ProForma'!R601+'Allocation ProForma'!R605+'Allocation ProForma'!R607+'Allocation ProForma'!R612</f>
        <v>13324.838232432732</v>
      </c>
      <c r="I30" s="231">
        <f>'Allocation ProForma'!R376+'Allocation ProForma'!R378+'Allocation ProForma'!R383+'Allocation ProForma'!R387+'Allocation ProForma'!R391+'Allocation ProForma'!R434+'Allocation ProForma'!R436+'Allocation ProForma'!R441+'Allocation ProForma'!R445+'Allocation ProForma'!R448+'Allocation ProForma'!R491+'Allocation ProForma'!R493+'Allocation ProForma'!R498+'Allocation ProForma'!R502+'Allocation ProForma'!R505+'Allocation ProForma'!R548+'Allocation ProForma'!R550+'Allocation ProForma'!R555+'Allocation ProForma'!R559+'Allocation ProForma'!R562+'Allocation ProForma'!R606+'Allocation ProForma'!R608+'Allocation ProForma'!R613+'Allocation ProForma'!R617+'Allocation ProForma'!R620</f>
        <v>43.93852796763781</v>
      </c>
      <c r="J30" s="231">
        <v>0</v>
      </c>
      <c r="K30" s="283">
        <f t="shared" si="7"/>
        <v>86292.271300373744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ProForma'!R717+'Allocation ProForma'!R718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ProForma'!R801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ProForma'!R788+'Allocation ProForma'!R791+'Allocation ProForma'!R792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ProForma'!R799+'Allocation ProForma'!R802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ProForma'!R793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ProForma'!R800+'Allocation ProForma'!R813+'Allocation ProForma'!R976+'Allocation ProForma'!R977-'Allocation ProForma'!R966</f>
        <v>-5480.8992653823279</v>
      </c>
      <c r="E36" s="231">
        <f t="shared" ref="E36:J36" si="10">(E14/($D$14)*$D$36)</f>
        <v>-3647.8814090173901</v>
      </c>
      <c r="F36" s="231">
        <f t="shared" si="10"/>
        <v>-208.85770199657873</v>
      </c>
      <c r="G36" s="231">
        <f t="shared" si="10"/>
        <v>-811.1535559928534</v>
      </c>
      <c r="H36" s="231">
        <f t="shared" si="10"/>
        <v>-810.11931889467814</v>
      </c>
      <c r="I36" s="231">
        <f t="shared" si="10"/>
        <v>-2.8653100669796903</v>
      </c>
      <c r="J36" s="231">
        <f t="shared" si="10"/>
        <v>-2.1969413848762456E-2</v>
      </c>
      <c r="K36" s="283">
        <f t="shared" si="7"/>
        <v>-5480.8992653823288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ProForma'!R767-'Allocation ProForma'!R965</f>
        <v>16635.503536232773</v>
      </c>
      <c r="E37" s="231">
        <f>D37</f>
        <v>16635.503536232773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16635.503536232773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11154.604270850445</v>
      </c>
      <c r="E39" s="360">
        <f t="shared" si="11"/>
        <v>12987.622127215382</v>
      </c>
      <c r="F39" s="360">
        <f t="shared" si="11"/>
        <v>-208.85770199657873</v>
      </c>
      <c r="G39" s="360">
        <f t="shared" si="11"/>
        <v>-811.1535559928534</v>
      </c>
      <c r="H39" s="360">
        <f t="shared" si="11"/>
        <v>-810.11931889467814</v>
      </c>
      <c r="I39" s="360">
        <f t="shared" si="11"/>
        <v>-2.8653100669796903</v>
      </c>
      <c r="J39" s="360">
        <f t="shared" si="11"/>
        <v>-2.1969413848762456E-2</v>
      </c>
      <c r="K39" s="283">
        <f t="shared" si="7"/>
        <v>11154.604270850445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3820740.695986161</v>
      </c>
      <c r="E41" s="231">
        <f t="shared" si="12"/>
        <v>1039792.8849035462</v>
      </c>
      <c r="F41" s="231">
        <f t="shared" si="12"/>
        <v>2309587.6368301138</v>
      </c>
      <c r="G41" s="231">
        <f t="shared" si="12"/>
        <v>224774.02074984548</v>
      </c>
      <c r="H41" s="231">
        <f t="shared" si="12"/>
        <v>243723.36692974216</v>
      </c>
      <c r="I41" s="231">
        <f t="shared" si="12"/>
        <v>2603.9922497977136</v>
      </c>
      <c r="J41" s="231">
        <f t="shared" si="12"/>
        <v>258.79432311582372</v>
      </c>
      <c r="K41" s="283">
        <f>SUM(E41:J41)</f>
        <v>3820740.695986161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ProForma'!R703</f>
        <v>14630.211977254525</v>
      </c>
      <c r="E43" s="311">
        <f>D43</f>
        <v>14630.211977254525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14630.211977254525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ProForma'!R699+'Allocation ProForma'!R700+'Allocation ProForma'!R701+'Allocation ProForma'!R702)</f>
        <v>-211291.05228267645</v>
      </c>
      <c r="E44" s="375">
        <v>0</v>
      </c>
      <c r="F44" s="375">
        <f>D44</f>
        <v>-211291.05228267645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-211291.05228267645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ProForma'!R698+'Allocation ProForma'!R704+'Allocation ProForma'!R705+'Allocation ProForma'!R706+'Allocation ProForma'!R707)</f>
        <v>-42827.855680740089</v>
      </c>
      <c r="E45" s="375">
        <f>-('Allocation ProForma'!R698)-(E14/($D$14)*('Allocation ProForma'!R704+'Allocation ProForma'!R705+'Allocation ProForma'!R706+'Allocation ProForma'!R707))</f>
        <v>-28504.617757274817</v>
      </c>
      <c r="F45" s="375">
        <f>(F14/($D$14)*-('Allocation ProForma'!R704+'Allocation ProForma'!R705+'Allocation ProForma'!R706+'Allocation ProForma'!R707))</f>
        <v>-1632.0182301866348</v>
      </c>
      <c r="G45" s="375">
        <f>(G14/($D$14)*-('Allocation ProForma'!R704+'Allocation ProForma'!R705+'Allocation ProForma'!R706+'Allocation ProForma'!R707))</f>
        <v>-6338.3699916545929</v>
      </c>
      <c r="H45" s="375">
        <f>(H14/($D$14)*-('Allocation ProForma'!R704+'Allocation ProForma'!R705+'Allocation ProForma'!R706+'Allocation ProForma'!R707))</f>
        <v>-6330.2884424350914</v>
      </c>
      <c r="I45" s="375">
        <f>(I14/($D$14)*-('Allocation ProForma'!R704+'Allocation ProForma'!R705+'Allocation ProForma'!R706+'Allocation ProForma'!R707))</f>
        <v>-22.389589752954112</v>
      </c>
      <c r="J45" s="375">
        <f>(J14/($D$14)*-('Allocation ProForma'!R704+'Allocation ProForma'!R705+'Allocation ProForma'!R706+'Allocation ProForma'!R707))</f>
        <v>-0.17166943600807397</v>
      </c>
      <c r="K45" s="283">
        <f>SUM(E45:J45)</f>
        <v>-42827.855680740096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-239488.69598616203</v>
      </c>
      <c r="E46" s="147">
        <f t="shared" ref="E46:J46" si="13">SUM(E43:E45)</f>
        <v>-13874.405780020292</v>
      </c>
      <c r="F46" s="147">
        <f t="shared" si="13"/>
        <v>-212923.07051286308</v>
      </c>
      <c r="G46" s="147">
        <f t="shared" si="13"/>
        <v>-6338.3699916545929</v>
      </c>
      <c r="H46" s="147">
        <f t="shared" si="13"/>
        <v>-6330.2884424350914</v>
      </c>
      <c r="I46" s="147">
        <f t="shared" si="13"/>
        <v>-22.389589752954112</v>
      </c>
      <c r="J46" s="147">
        <f t="shared" si="13"/>
        <v>-0.17166943600807397</v>
      </c>
      <c r="K46" s="283">
        <f>SUM(E46:J46)</f>
        <v>-239488.695986162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ProForma'!R968-SUM('Allocation ProForma'!R698:R707)-'Allocation ProForma'!R767-'Allocation ProForma'!R965-'Allocation ProForma'!R966</f>
        <v>3581252</v>
      </c>
      <c r="D48" s="272">
        <f t="shared" ref="D48:J48" si="14">D41+D46</f>
        <v>3581251.9999999991</v>
      </c>
      <c r="E48" s="231">
        <f t="shared" si="14"/>
        <v>1025918.4791235259</v>
      </c>
      <c r="F48" s="231">
        <f t="shared" si="14"/>
        <v>2096664.5663172507</v>
      </c>
      <c r="G48" s="231">
        <f t="shared" si="14"/>
        <v>218435.6507581909</v>
      </c>
      <c r="H48" s="231">
        <f t="shared" si="14"/>
        <v>237393.07848730707</v>
      </c>
      <c r="I48" s="231">
        <f t="shared" si="14"/>
        <v>2581.6026600447594</v>
      </c>
      <c r="J48" s="231">
        <f t="shared" si="14"/>
        <v>258.62265367981564</v>
      </c>
      <c r="K48" s="283">
        <f>SUM(E48:J48)</f>
        <v>3581251.9999999995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114480</v>
      </c>
      <c r="F50" s="277">
        <f>'Allocation ProForma'!R1006</f>
        <v>58046500</v>
      </c>
      <c r="G50" s="277">
        <f>E50</f>
        <v>114480</v>
      </c>
      <c r="H50" s="277">
        <f>G50</f>
        <v>114480</v>
      </c>
      <c r="I50" s="277">
        <f>'Allocation ProForma'!$R$1022*12</f>
        <v>12</v>
      </c>
      <c r="J50" s="277">
        <f>'Allocation ProForma'!$R$1022*12</f>
        <v>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8.9615520538393252</v>
      </c>
      <c r="F52" s="279">
        <f t="shared" si="15"/>
        <v>3.6120430453468355E-2</v>
      </c>
      <c r="G52" s="280">
        <f t="shared" si="15"/>
        <v>1.9080682281463215</v>
      </c>
      <c r="H52" s="280">
        <f t="shared" si="15"/>
        <v>2.0736642076109981</v>
      </c>
      <c r="I52" s="280">
        <f t="shared" si="15"/>
        <v>215.13355500372995</v>
      </c>
      <c r="J52" s="280">
        <f t="shared" si="15"/>
        <v>21.551887806651305</v>
      </c>
      <c r="K52" s="265">
        <f>I52+J52</f>
        <v>236.68544281038126</v>
      </c>
    </row>
    <row r="54" spans="1:12">
      <c r="D54" s="259"/>
      <c r="F54" s="308"/>
      <c r="J54" s="372" t="s">
        <v>1376</v>
      </c>
      <c r="K54" s="221">
        <f>I52+J52</f>
        <v>236.68544281038126</v>
      </c>
    </row>
    <row r="55" spans="1:12">
      <c r="D55" s="259"/>
      <c r="I55" s="20"/>
      <c r="J55" s="372" t="s">
        <v>1394</v>
      </c>
      <c r="K55" s="3">
        <f>E52+G52+H52</f>
        <v>12.943284489596644</v>
      </c>
    </row>
    <row r="56" spans="1:12">
      <c r="J56" s="372" t="s">
        <v>1395</v>
      </c>
      <c r="K56" s="9">
        <f>F52</f>
        <v>3.6120430453468355E-2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1186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ProForma'!T176</f>
        <v>189911.6367086453</v>
      </c>
      <c r="E14" s="360">
        <f>'Allocation ProForma'!T125+'Allocation ProForma'!T126+'Allocation ProForma'!T127</f>
        <v>10186.509400768666</v>
      </c>
      <c r="F14" s="360">
        <f>'Allocation ProForma'!T128</f>
        <v>14747.764428638089</v>
      </c>
      <c r="G14" s="360">
        <f>'Allocation ProForma'!T137</f>
        <v>61802.642298603241</v>
      </c>
      <c r="H14" s="360">
        <f>'Allocation ProForma'!T147+'Allocation ProForma'!T149+'Allocation ProForma'!T154+'Allocation ProForma'!T143</f>
        <v>80810.660467110021</v>
      </c>
      <c r="I14" s="360">
        <f>'Allocation ProForma'!T148+'Allocation ProForma'!T150+'Allocation ProForma'!T155+'Allocation ProForma'!T159+'Allocation ProForma'!T162+'Allocation ProForma'!T165</f>
        <v>22247.899372195359</v>
      </c>
      <c r="J14" s="360">
        <f>'Allocation ProForma'!T168+'Allocation ProForma'!T171</f>
        <v>116.16074132989489</v>
      </c>
      <c r="K14" s="282">
        <f>SUM(E14:J14)</f>
        <v>189911.63670864527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ProForma'!T831+'Allocation ProForma'!T832+'Allocation ProForma'!T833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189911.6367086453</v>
      </c>
      <c r="E16" s="360">
        <f t="shared" ref="E16:K16" si="1">E14+E15</f>
        <v>10186.509400768666</v>
      </c>
      <c r="F16" s="360">
        <f t="shared" si="1"/>
        <v>14747.764428638089</v>
      </c>
      <c r="G16" s="360">
        <f t="shared" si="1"/>
        <v>61802.642298603241</v>
      </c>
      <c r="H16" s="360">
        <f t="shared" si="1"/>
        <v>80810.660467110021</v>
      </c>
      <c r="I16" s="360">
        <f t="shared" si="1"/>
        <v>22247.899372195359</v>
      </c>
      <c r="J16" s="360">
        <f t="shared" si="1"/>
        <v>116.16074132989489</v>
      </c>
      <c r="K16" s="282">
        <f t="shared" si="1"/>
        <v>189911.63670864527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ProForma'!T988</f>
        <v>0.17499044976493658</v>
      </c>
      <c r="E18" s="362">
        <f t="shared" ref="E18:J18" si="2">D18</f>
        <v>0.17499044976493658</v>
      </c>
      <c r="F18" s="362">
        <f t="shared" si="2"/>
        <v>0.17499044976493658</v>
      </c>
      <c r="G18" s="362">
        <f t="shared" si="2"/>
        <v>0.17499044976493658</v>
      </c>
      <c r="H18" s="362">
        <f t="shared" si="2"/>
        <v>0.17499044976493658</v>
      </c>
      <c r="I18" s="362">
        <f t="shared" si="2"/>
        <v>0.17499044976493658</v>
      </c>
      <c r="J18" s="362">
        <f t="shared" si="2"/>
        <v>0.17499044976493658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33232.722723241081</v>
      </c>
      <c r="E20" s="231">
        <f t="shared" ref="E20:J20" si="3">E18*E16</f>
        <v>1782.5418615752635</v>
      </c>
      <c r="F20" s="231">
        <f t="shared" si="3"/>
        <v>2580.7179303947123</v>
      </c>
      <c r="G20" s="231">
        <f t="shared" si="3"/>
        <v>10814.872172494075</v>
      </c>
      <c r="H20" s="231">
        <f t="shared" si="3"/>
        <v>14141.093820941163</v>
      </c>
      <c r="I20" s="231">
        <f t="shared" si="3"/>
        <v>3893.1699174655159</v>
      </c>
      <c r="J20" s="231">
        <f t="shared" si="3"/>
        <v>20.327020370346762</v>
      </c>
      <c r="K20" s="283">
        <f>SUM(E20:J20)</f>
        <v>33232.722723241073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ProForma'!T743</f>
        <v>4648.0685284378324</v>
      </c>
      <c r="E22" s="231">
        <f t="shared" ref="E22:J22" si="4">(E14/$D$14)*$D$22</f>
        <v>249.31381025896644</v>
      </c>
      <c r="F22" s="231">
        <f t="shared" si="4"/>
        <v>360.95007601209903</v>
      </c>
      <c r="G22" s="231">
        <f t="shared" si="4"/>
        <v>1512.6135587107049</v>
      </c>
      <c r="H22" s="231">
        <f t="shared" si="4"/>
        <v>1977.8329237175724</v>
      </c>
      <c r="I22" s="231">
        <f t="shared" si="4"/>
        <v>544.51513708135803</v>
      </c>
      <c r="J22" s="231">
        <f t="shared" si="4"/>
        <v>2.843022657130907</v>
      </c>
      <c r="K22" s="283">
        <f>SUM(E22:J22)</f>
        <v>4648.0685284378314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28584.654194803246</v>
      </c>
      <c r="E24" s="231">
        <f t="shared" ref="E24:J24" si="5">E20-E22</f>
        <v>1533.2280513162971</v>
      </c>
      <c r="F24" s="231">
        <f t="shared" si="5"/>
        <v>2219.7678543826132</v>
      </c>
      <c r="G24" s="231">
        <f t="shared" si="5"/>
        <v>9302.2586137833696</v>
      </c>
      <c r="H24" s="231">
        <f t="shared" si="5"/>
        <v>12163.26089722359</v>
      </c>
      <c r="I24" s="231">
        <f t="shared" si="5"/>
        <v>3348.6547803841577</v>
      </c>
      <c r="J24" s="231">
        <f t="shared" si="5"/>
        <v>17.483997713215857</v>
      </c>
      <c r="K24" s="283">
        <f>SUM(E24:J24)</f>
        <v>28584.654194803243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ProForma'!T783+'Allocation ProForma'!T979</f>
        <v>23841.822859738804</v>
      </c>
      <c r="E26" s="231">
        <f t="shared" ref="E26:J26" si="6">$D$26*(E24/$K$24)</f>
        <v>1278.8313391495024</v>
      </c>
      <c r="F26" s="231">
        <f t="shared" si="6"/>
        <v>1851.4588846610684</v>
      </c>
      <c r="G26" s="231">
        <f t="shared" si="6"/>
        <v>7758.8065454233547</v>
      </c>
      <c r="H26" s="231">
        <f t="shared" si="6"/>
        <v>10145.104773074854</v>
      </c>
      <c r="I26" s="231">
        <f t="shared" si="6"/>
        <v>2793.0383046876732</v>
      </c>
      <c r="J26" s="231">
        <f t="shared" si="6"/>
        <v>14.583012742353032</v>
      </c>
      <c r="K26" s="283">
        <f>SUM(E26:J26)</f>
        <v>23841.822859738808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ProForma'!T774</f>
        <v>154702.79649543783</v>
      </c>
      <c r="E28" s="231">
        <f>'Allocation ProForma'!T182+'Allocation ProForma'!T183+'Allocation ProForma'!T184</f>
        <v>753.18361419355927</v>
      </c>
      <c r="F28" s="231">
        <f>'Allocation ProForma'!T185</f>
        <v>133662.33427003646</v>
      </c>
      <c r="G28" s="231">
        <f>'Allocation ProForma'!T194</f>
        <v>5434.7361067974307</v>
      </c>
      <c r="H28" s="231">
        <f>'Allocation ProForma'!T200+'Allocation ProForma'!T204+'Allocation ProForma'!T206+'Allocation ProForma'!T211</f>
        <v>7199.0334920654141</v>
      </c>
      <c r="I28" s="231">
        <f>'Allocation ProForma'!T205+'Allocation ProForma'!T207+'Allocation ProForma'!T212+'Allocation ProForma'!T216+'Allocation ProForma'!T219</f>
        <v>6712.5017384773237</v>
      </c>
      <c r="J28" s="231">
        <f>'Allocation ProForma'!T225+'Allocation ProForma'!T228</f>
        <v>941.00727386763765</v>
      </c>
      <c r="K28" s="283">
        <f t="shared" ref="K28:K40" si="7">SUM(E28:J28)</f>
        <v>154702.79649543783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ProForma'!T775</f>
        <v>9459.4743480613561</v>
      </c>
      <c r="E29" s="231">
        <f>'Allocation ProForma'!T302</f>
        <v>644.61036586095577</v>
      </c>
      <c r="F29" s="231">
        <v>0</v>
      </c>
      <c r="G29" s="231">
        <f>'Allocation ProForma'!T308</f>
        <v>2887.8636738089626</v>
      </c>
      <c r="H29" s="231">
        <f>'Allocation ProForma'!T314+'Allocation ProForma'!T318+'Allocation ProForma'!T320+'Allocation ProForma'!T325</f>
        <v>4673.5326633847271</v>
      </c>
      <c r="I29" s="231">
        <f>'Allocation ProForma'!T319+'Allocation ProForma'!T321+'Allocation ProForma'!T326+'Allocation ProForma'!T330+'Allocation ProForma'!T333</f>
        <v>1253.467645006712</v>
      </c>
      <c r="J29" s="231">
        <v>0</v>
      </c>
      <c r="K29" s="283">
        <f t="shared" si="7"/>
        <v>9459.4743480613579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ProForma'!T780+'Allocation ProForma'!T781</f>
        <v>2356.4659473047718</v>
      </c>
      <c r="E30" s="231">
        <f>'Allocation ProForma'!T417+'Allocation ProForma'!T474+'Allocation ProForma'!T359+'Allocation ProForma'!T531+'Allocation ProForma'!T589</f>
        <v>138.19616584256821</v>
      </c>
      <c r="F30" s="231">
        <f>'Allocation ProForma'!T356+'Allocation ProForma'!T357+'Allocation ProForma'!T358+'Allocation ProForma'!T414+'Allocation ProForma'!T415+'Allocation ProForma'!T416+'Allocation ProForma'!T471+'Allocation ProForma'!T472+'Allocation ProForma'!T473+'Allocation ProForma'!T528+'Allocation ProForma'!T529+'Allocation ProForma'!T530+'Allocation ProForma'!T586+'Allocation ProForma'!T587+'Allocation ProForma'!T588</f>
        <v>0</v>
      </c>
      <c r="G30" s="231">
        <f>'Allocation ProForma'!T365+'Allocation ProForma'!T423+'Allocation ProForma'!T480+'Allocation ProForma'!T537+'Allocation ProForma'!T595</f>
        <v>823.89423874350985</v>
      </c>
      <c r="H30" s="231">
        <f>'Allocation ProForma'!T371+'Allocation ProForma'!T375+'Allocation ProForma'!T377+'Allocation ProForma'!T382+'Allocation ProForma'!T429+'Allocation ProForma'!T433+'Allocation ProForma'!T435+'Allocation ProForma'!T440+'Allocation ProForma'!T486+'Allocation ProForma'!T490+'Allocation ProForma'!T492+'Allocation ProForma'!T497+'Allocation ProForma'!T543+'Allocation ProForma'!T547+'Allocation ProForma'!T549+'Allocation ProForma'!T554+'Allocation ProForma'!T601+'Allocation ProForma'!T605+'Allocation ProForma'!T607+'Allocation ProForma'!T612</f>
        <v>1099.4869756788009</v>
      </c>
      <c r="I30" s="231">
        <f>'Allocation ProForma'!T376+'Allocation ProForma'!T378+'Allocation ProForma'!T383+'Allocation ProForma'!T387+'Allocation ProForma'!T391+'Allocation ProForma'!T434+'Allocation ProForma'!T436+'Allocation ProForma'!T441+'Allocation ProForma'!T445+'Allocation ProForma'!T448+'Allocation ProForma'!T491+'Allocation ProForma'!T493+'Allocation ProForma'!T498+'Allocation ProForma'!T502+'Allocation ProForma'!T505+'Allocation ProForma'!T548+'Allocation ProForma'!T550+'Allocation ProForma'!T555+'Allocation ProForma'!T559+'Allocation ProForma'!T562+'Allocation ProForma'!T606+'Allocation ProForma'!T608+'Allocation ProForma'!T613+'Allocation ProForma'!T617+'Allocation ProForma'!T620</f>
        <v>294.88856703989336</v>
      </c>
      <c r="J30" s="231">
        <v>0</v>
      </c>
      <c r="K30" s="283">
        <f t="shared" si="7"/>
        <v>2356.4659473047723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ProForma'!T717+'Allocation ProForma'!T718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ProForma'!T724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ProForma'!T801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ProForma'!T788+'Allocation ProForma'!T791+'Allocation ProForma'!T792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ProForma'!T799+'Allocation ProForma'!T802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ProForma'!T793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ProForma'!T800+'Allocation ProForma'!T813+'Allocation ProForma'!T976+'Allocation ProForma'!T977-'Allocation ProForma'!T966</f>
        <v>-1627.4084201906182</v>
      </c>
      <c r="E37" s="231">
        <f t="shared" ref="E37:J37" si="10">(E14/($D$14)*$D$37)</f>
        <v>-87.291181617240824</v>
      </c>
      <c r="F37" s="231">
        <f t="shared" si="10"/>
        <v>-126.3779114650784</v>
      </c>
      <c r="G37" s="231">
        <f t="shared" si="10"/>
        <v>-529.60493737979141</v>
      </c>
      <c r="H37" s="231">
        <f t="shared" si="10"/>
        <v>-692.49021052406727</v>
      </c>
      <c r="I37" s="231">
        <f t="shared" si="10"/>
        <v>-190.64876380066542</v>
      </c>
      <c r="J37" s="231">
        <f t="shared" si="10"/>
        <v>-0.99541540377472626</v>
      </c>
      <c r="K37" s="283">
        <f t="shared" si="7"/>
        <v>-1627.408420190618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ProForma'!T767-'Allocation ProForma'!T965</f>
        <v>2383.9848237187953</v>
      </c>
      <c r="E38" s="231">
        <f>D38</f>
        <v>2383.9848237187953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2383.9848237187953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756.57640352817702</v>
      </c>
      <c r="E40" s="360">
        <f t="shared" si="11"/>
        <v>2296.6936421015544</v>
      </c>
      <c r="F40" s="360">
        <f t="shared" si="11"/>
        <v>-126.3779114650784</v>
      </c>
      <c r="G40" s="360">
        <f t="shared" si="11"/>
        <v>-529.60493737979141</v>
      </c>
      <c r="H40" s="360">
        <f t="shared" si="11"/>
        <v>-692.49021052406727</v>
      </c>
      <c r="I40" s="360">
        <f t="shared" si="11"/>
        <v>-190.64876380066542</v>
      </c>
      <c r="J40" s="360">
        <f t="shared" si="11"/>
        <v>-0.99541540377472626</v>
      </c>
      <c r="K40" s="283">
        <f t="shared" si="7"/>
        <v>756.57640352817725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224349.85877731204</v>
      </c>
      <c r="E42" s="231">
        <f t="shared" si="12"/>
        <v>6894.0569887234033</v>
      </c>
      <c r="F42" s="231">
        <f t="shared" si="12"/>
        <v>137968.13317362714</v>
      </c>
      <c r="G42" s="231">
        <f t="shared" si="12"/>
        <v>27190.56779988754</v>
      </c>
      <c r="H42" s="231">
        <f t="shared" si="12"/>
        <v>36565.761514620892</v>
      </c>
      <c r="I42" s="231">
        <f t="shared" si="12"/>
        <v>14756.417408876452</v>
      </c>
      <c r="J42" s="231">
        <f>SUM(J28:J32)+J22+J26+J40+J24</f>
        <v>974.92189157656276</v>
      </c>
      <c r="K42" s="283">
        <f>SUM(E42:J42)</f>
        <v>224349.85877731195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ProForma'!T699+'Allocation ProForma'!T700+'Allocation ProForma'!T701+'Allocation ProForma'!T702)</f>
        <v>-12337.496126540351</v>
      </c>
      <c r="E44" s="231">
        <v>0</v>
      </c>
      <c r="F44" s="231">
        <f>D44</f>
        <v>-12337.496126540351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-12337.496126540351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ProForma'!T698+'Allocation ProForma'!T703+'Allocation ProForma'!T704+'Allocation ProForma'!T705+'Allocation ProForma'!T706+'Allocation ProForma'!T707)</f>
        <v>-1193.3626507716435</v>
      </c>
      <c r="E45" s="231">
        <f>-('Allocation ProForma'!T698+'Allocation ProForma'!T703)-(E14/($D$14)*('Allocation ProForma'!T704+'Allocation ProForma'!T705+'Allocation ProForma'!T706+'Allocation ProForma'!T707))</f>
        <v>-32.038287768113328</v>
      </c>
      <c r="F45" s="231">
        <f>(F14/($D$14)*-('Allocation ProForma'!T704+'Allocation ProForma'!T705+'Allocation ProForma'!T706+'Allocation ProForma'!T707))</f>
        <v>-95.295178739671115</v>
      </c>
      <c r="G45" s="231">
        <f>(G14/($D$14)*-('Allocation ProForma'!T704+'Allocation ProForma'!T705+'Allocation ProForma'!T706+'Allocation ProForma'!T707))</f>
        <v>-399.34824514777193</v>
      </c>
      <c r="H45" s="231">
        <f>(H14/($D$14)*-('Allocation ProForma'!T704+'Allocation ProForma'!T705+'Allocation ProForma'!T706+'Allocation ProForma'!T707))</f>
        <v>-522.17177529159073</v>
      </c>
      <c r="I45" s="231">
        <f>(I14/($D$14)*-('Allocation ProForma'!T704+'Allocation ProForma'!T705+'Allocation ProForma'!T706+'Allocation ProForma'!T707))</f>
        <v>-143.75857151193728</v>
      </c>
      <c r="J45" s="231">
        <f>(J14/($D$14)*-('Allocation ProForma'!T704+'Allocation ProForma'!T705+'Allocation ProForma'!T706+'Allocation ProForma'!T707))</f>
        <v>-0.7505923125588787</v>
      </c>
      <c r="K45" s="283">
        <f>SUM(E45:J45)</f>
        <v>-1193.3626507716433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-13530.858777311994</v>
      </c>
      <c r="E46" s="231">
        <f t="shared" si="13"/>
        <v>-32.038287768113328</v>
      </c>
      <c r="F46" s="231">
        <f t="shared" si="13"/>
        <v>-12432.791305280021</v>
      </c>
      <c r="G46" s="231">
        <f t="shared" si="13"/>
        <v>-399.34824514777193</v>
      </c>
      <c r="H46" s="231">
        <f t="shared" si="13"/>
        <v>-522.17177529159073</v>
      </c>
      <c r="I46" s="231">
        <f t="shared" si="13"/>
        <v>-143.75857151193728</v>
      </c>
      <c r="J46" s="231">
        <f t="shared" si="13"/>
        <v>-0.7505923125588787</v>
      </c>
      <c r="K46" s="283">
        <f>SUM(E46:J46)</f>
        <v>-13530.858777311993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ProForma'!T968-SUM('Allocation ProForma'!T698:T707)-'Allocation ProForma'!T767-'Allocation ProForma'!T965-'Allocation ProForma'!T966</f>
        <v>210819.00000000003</v>
      </c>
      <c r="D48" s="272">
        <f t="shared" ref="D48:J48" si="14">D42+D46</f>
        <v>210819.00000000006</v>
      </c>
      <c r="E48" s="231">
        <f t="shared" si="14"/>
        <v>6862.0187009552901</v>
      </c>
      <c r="F48" s="231">
        <f t="shared" si="14"/>
        <v>125535.34186834711</v>
      </c>
      <c r="G48" s="231">
        <f t="shared" si="14"/>
        <v>26791.219554739768</v>
      </c>
      <c r="H48" s="231">
        <f t="shared" si="14"/>
        <v>36043.589739329298</v>
      </c>
      <c r="I48" s="231">
        <f t="shared" si="14"/>
        <v>14612.658837364515</v>
      </c>
      <c r="J48" s="231">
        <f t="shared" si="14"/>
        <v>974.17129926400389</v>
      </c>
      <c r="K48" s="283">
        <f>SUM(E48:J48)</f>
        <v>210819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ProForma'!T1006</f>
        <v>3317374</v>
      </c>
      <c r="F50" s="277">
        <f>'Allocation ProForma'!T1006</f>
        <v>3317374</v>
      </c>
      <c r="G50" s="277">
        <f>'Allocation ProForma'!T1006</f>
        <v>3317374</v>
      </c>
      <c r="H50" s="277">
        <f>'Allocation ProForma'!T1006</f>
        <v>3317374</v>
      </c>
      <c r="I50" s="277">
        <f>'Allocation ProForma'!$T$1022*12</f>
        <v>1980</v>
      </c>
      <c r="J50" s="277">
        <f>'Allocation ProForma'!$T$1022*12</f>
        <v>1980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2.0685092187239938E-3</v>
      </c>
      <c r="F52" s="279">
        <f t="shared" si="15"/>
        <v>3.7841781441690661E-2</v>
      </c>
      <c r="G52" s="279">
        <f t="shared" si="15"/>
        <v>8.0760322938383689E-3</v>
      </c>
      <c r="H52" s="279">
        <f t="shared" si="15"/>
        <v>1.0865096832413016E-2</v>
      </c>
      <c r="I52" s="280">
        <f t="shared" si="15"/>
        <v>7.3801307259416742</v>
      </c>
      <c r="J52" s="280">
        <f t="shared" si="15"/>
        <v>0.49200570669899185</v>
      </c>
      <c r="K52" s="265">
        <f>I52+J52</f>
        <v>7.8721364326406658</v>
      </c>
      <c r="L52" s="219"/>
    </row>
    <row r="54" spans="1:12">
      <c r="D54" s="259"/>
      <c r="F54" s="308"/>
      <c r="J54" s="220" t="s">
        <v>1376</v>
      </c>
      <c r="K54" s="221">
        <f>K52</f>
        <v>7.8721364326406658</v>
      </c>
    </row>
    <row r="55" spans="1:12">
      <c r="D55" s="259"/>
      <c r="I55" s="20"/>
      <c r="J55" s="220" t="s">
        <v>1390</v>
      </c>
      <c r="K55" s="9">
        <f>E52+G52+H52</f>
        <v>2.1009638344975379E-2</v>
      </c>
    </row>
    <row r="56" spans="1:12">
      <c r="J56" s="220" t="s">
        <v>1375</v>
      </c>
      <c r="K56" s="9">
        <f>F52</f>
        <v>3.7841781441690661E-2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0</v>
      </c>
    </row>
    <row r="59" spans="1:12">
      <c r="J59" s="365" t="s">
        <v>1385</v>
      </c>
      <c r="K59" s="36">
        <f>(K54-K58)*I50</f>
        <v>15586.830136628518</v>
      </c>
    </row>
    <row r="60" spans="1:12">
      <c r="J60" s="365" t="s">
        <v>1386</v>
      </c>
      <c r="K60" s="371">
        <f>K59/H50</f>
        <v>4.6985447334634313E-3</v>
      </c>
    </row>
    <row r="61" spans="1:12">
      <c r="J61" s="365" t="s">
        <v>1392</v>
      </c>
      <c r="K61">
        <v>5.79E-3</v>
      </c>
    </row>
    <row r="62" spans="1:12">
      <c r="J62" s="365" t="s">
        <v>1393</v>
      </c>
      <c r="K62" s="370">
        <f>K60+K61+K55</f>
        <v>3.149818307843881E-2</v>
      </c>
      <c r="L62" s="374">
        <f>K62+K56</f>
        <v>6.9339964520129471E-2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705</v>
      </c>
    </row>
    <row r="6" spans="1:20" ht="12.75">
      <c r="C6" s="93" t="s">
        <v>145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145</v>
      </c>
      <c r="F7" s="105" t="s">
        <v>933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63.927524839999997</v>
      </c>
      <c r="D10" s="108">
        <f>'Billing Det'!B8</f>
        <v>364109.16666666669</v>
      </c>
      <c r="E10" s="100">
        <f>C10*D10</f>
        <v>23276597.796555035</v>
      </c>
      <c r="F10" s="99">
        <f>E10/$E$34</f>
        <v>0.69991996222812491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151.28</v>
      </c>
      <c r="D12" s="108">
        <f>'Billing Det'!B10</f>
        <v>45237</v>
      </c>
      <c r="E12" s="100">
        <f>C12*D12</f>
        <v>6843453.3600000003</v>
      </c>
      <c r="F12" s="99">
        <f>E12/$E$34</f>
        <v>0.20578048643990582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3700.0623955676192</v>
      </c>
      <c r="D14" s="108">
        <f>'Billing Det'!B12</f>
        <v>72</v>
      </c>
      <c r="E14" s="100">
        <f>C14*D14</f>
        <v>266404.49248086859</v>
      </c>
      <c r="F14" s="99">
        <f>E14/$E$34</f>
        <v>8.0106991556218293E-3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651.85749037777498</v>
      </c>
      <c r="D16" s="108">
        <f>'Billing Det'!B14</f>
        <v>2824.1666666666665</v>
      </c>
      <c r="E16" s="100">
        <f>C16*D16</f>
        <v>1840954.1957418993</v>
      </c>
      <c r="F16" s="99">
        <f>E16/$E$34</f>
        <v>5.535691265576969E-2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3954.1624985837757</v>
      </c>
      <c r="D18" s="108">
        <f>'Billing Det'!B16</f>
        <v>105.5</v>
      </c>
      <c r="E18" s="100">
        <f>C18*D18</f>
        <v>417164.14360058832</v>
      </c>
      <c r="F18" s="99">
        <f>E18/$E$34</f>
        <v>1.2543994366524883E-2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702.69269631831526</v>
      </c>
      <c r="D20" s="108">
        <f>'Billing Det'!B18</f>
        <v>276</v>
      </c>
      <c r="E20" s="100">
        <f>C20*D20</f>
        <v>193943.18418385502</v>
      </c>
      <c r="F20" s="99">
        <f>E20/$E$34</f>
        <v>5.8318104447573722E-3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26250.546715109092</v>
      </c>
      <c r="D22" s="250">
        <f>'Billing Det'!B20</f>
        <v>13</v>
      </c>
      <c r="E22" s="100">
        <f>C22*D22</f>
        <v>341257.10729641822</v>
      </c>
      <c r="F22" s="99">
        <f>E22/$E$34</f>
        <v>1.0261493700094724E-2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f>C18</f>
        <v>3954.1624985837757</v>
      </c>
      <c r="D24" s="108">
        <f>'Billing Det'!B22</f>
        <v>1</v>
      </c>
      <c r="E24" s="100">
        <f>C24*D24</f>
        <v>3954.1624985837757</v>
      </c>
      <c r="F24" s="99">
        <f>E24/$E$34</f>
        <v>1.1890042053578088E-4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f>C24</f>
        <v>3954.1624985837757</v>
      </c>
      <c r="D26" s="108">
        <f>'Billing Det'!B24</f>
        <v>1</v>
      </c>
      <c r="E26" s="100">
        <f>C26*D26</f>
        <v>3954.1624985837757</v>
      </c>
      <c r="F26" s="99">
        <f>E26/$E$34</f>
        <v>1.1890042053578088E-4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f>C10</f>
        <v>63.927524839999997</v>
      </c>
      <c r="D30" s="108">
        <f>'Billing Det'!B28</f>
        <v>165</v>
      </c>
      <c r="E30" s="100">
        <f>C30*D30</f>
        <v>10548.041598599999</v>
      </c>
      <c r="F30" s="99">
        <f>E30/$E$34</f>
        <v>3.1717628760872705E-4</v>
      </c>
    </row>
    <row r="31" spans="1:6">
      <c r="C31" s="246"/>
      <c r="D31" s="108"/>
      <c r="E31" s="100"/>
      <c r="F31" s="99"/>
    </row>
    <row r="32" spans="1:6">
      <c r="A32" s="185" t="s">
        <v>635</v>
      </c>
      <c r="C32" s="246">
        <f>C10</f>
        <v>63.927524839999997</v>
      </c>
      <c r="D32" s="108">
        <f>'Billing Det'!B30</f>
        <v>905</v>
      </c>
      <c r="E32" s="100">
        <f>C32*D32</f>
        <v>57854.409980199998</v>
      </c>
      <c r="F32" s="99">
        <f>E32/$E$34</f>
        <v>1.739663880520594E-3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33256085.056434628</v>
      </c>
      <c r="F34" s="99">
        <f>SUM(F10:F33)</f>
        <v>1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Assignment'!F43</f>
        <v>39970580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707</v>
      </c>
    </row>
    <row r="6" spans="1:20" ht="12.75">
      <c r="C6" s="93" t="s">
        <v>181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181</v>
      </c>
      <c r="F7" s="105" t="s">
        <v>1094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280.66427755499996</v>
      </c>
      <c r="D10" s="108">
        <f>'Billing Det'!B8</f>
        <v>364109.16666666669</v>
      </c>
      <c r="E10" s="100">
        <f>C10*D10</f>
        <v>102192436.21365307</v>
      </c>
      <c r="F10" s="99">
        <f>E10/$E$34</f>
        <v>0.76861640064540004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568.53002703000004</v>
      </c>
      <c r="D12" s="108">
        <f>'Billing Det'!B10</f>
        <v>45237</v>
      </c>
      <c r="E12" s="100">
        <f>C12*D12</f>
        <v>25718592.832756113</v>
      </c>
      <c r="F12" s="99">
        <f>E12/$E$34</f>
        <v>0.19343635385547825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0</v>
      </c>
      <c r="D14" s="108">
        <f>'Billing Det'!B12</f>
        <v>72</v>
      </c>
      <c r="E14" s="100">
        <f>C14*D14</f>
        <v>0</v>
      </c>
      <c r="F14" s="99">
        <f>E14/$E$34</f>
        <v>0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1588.7069839999999</v>
      </c>
      <c r="D16" s="108">
        <f>'Billing Det'!B14</f>
        <v>2824.1666666666665</v>
      </c>
      <c r="E16" s="100">
        <f>C16*D16</f>
        <v>4486773.3073133333</v>
      </c>
      <c r="F16" s="99">
        <f>E16/$E$34</f>
        <v>3.3746211341601155E-2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0</v>
      </c>
      <c r="D18" s="108">
        <f>'Billing Det'!B16</f>
        <v>105.5</v>
      </c>
      <c r="E18" s="100">
        <f>C18*D18</f>
        <v>0</v>
      </c>
      <c r="F18" s="99">
        <f>E18/$E$34</f>
        <v>0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2023.7470845</v>
      </c>
      <c r="D20" s="108">
        <f>'Billing Det'!B18</f>
        <v>276</v>
      </c>
      <c r="E20" s="100">
        <f>C20*D20</f>
        <v>558554.19532199996</v>
      </c>
      <c r="F20" s="99">
        <f>E20/$E$34</f>
        <v>4.2010341575204205E-3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0</v>
      </c>
      <c r="D22" s="108">
        <f>'Billing Det'!B20</f>
        <v>13</v>
      </c>
      <c r="E22" s="100">
        <f>C22*D22</f>
        <v>0</v>
      </c>
      <c r="F22" s="99">
        <f>E22/$E$34</f>
        <v>0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v>0</v>
      </c>
      <c r="D24" s="108">
        <f>'Billing Det'!B22</f>
        <v>1</v>
      </c>
      <c r="E24" s="100">
        <f>C24*D24</f>
        <v>0</v>
      </c>
      <c r="F24" s="99">
        <f>E24/$E$34</f>
        <v>0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v>0</v>
      </c>
      <c r="D26" s="108">
        <f>'Billing Det'!B24</f>
        <v>1</v>
      </c>
      <c r="E26" s="100">
        <f>C26*D26</f>
        <v>0</v>
      </c>
      <c r="F26" s="99">
        <f>E26/$E$34</f>
        <v>0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v>0</v>
      </c>
      <c r="D30" s="108">
        <f>'Billing Det'!B28</f>
        <v>165</v>
      </c>
      <c r="E30" s="100">
        <f>C30*D30</f>
        <v>0</v>
      </c>
      <c r="F30" s="99">
        <f>E30/$E$34</f>
        <v>0</v>
      </c>
    </row>
    <row r="31" spans="1:6">
      <c r="C31" s="247"/>
      <c r="D31" s="108"/>
      <c r="E31" s="100"/>
      <c r="F31" s="99"/>
    </row>
    <row r="32" spans="1:6">
      <c r="A32" s="185" t="s">
        <v>635</v>
      </c>
      <c r="C32" s="246">
        <v>0</v>
      </c>
      <c r="D32" s="108">
        <f>'Billing Det'!B30</f>
        <v>905</v>
      </c>
      <c r="E32" s="100">
        <f>C32*D32</f>
        <v>0</v>
      </c>
      <c r="F32" s="99">
        <f>E32/$E$34</f>
        <v>0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132956356.54904453</v>
      </c>
      <c r="F34" s="99">
        <f>SUM(F10:F33)</f>
        <v>0.99999999999999989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Assignment'!F42</f>
        <v>34458226.280000001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884</v>
      </c>
      <c r="O2" s="3"/>
    </row>
    <row r="3" spans="1:15">
      <c r="A3" t="s">
        <v>877</v>
      </c>
      <c r="D3" s="4">
        <f>'Allocation ProForma'!S1006</f>
        <v>101770582.1238485</v>
      </c>
      <c r="O3" s="3"/>
    </row>
    <row r="4" spans="1:15">
      <c r="O4" s="3"/>
    </row>
    <row r="5" spans="1:15">
      <c r="A5" t="s">
        <v>878</v>
      </c>
      <c r="D5" s="4">
        <f>'Allocation ProForma'!G1006</f>
        <v>4180088831</v>
      </c>
    </row>
    <row r="6" spans="1:15">
      <c r="A6" t="s">
        <v>879</v>
      </c>
      <c r="D6" s="34">
        <f>'Billing Det'!B8</f>
        <v>364109.16666666669</v>
      </c>
      <c r="O6" s="3"/>
    </row>
    <row r="7" spans="1:15">
      <c r="A7" t="s">
        <v>880</v>
      </c>
      <c r="D7" s="3">
        <f>D5/D6</f>
        <v>11480.31748079216</v>
      </c>
      <c r="O7" s="20"/>
    </row>
    <row r="8" spans="1:15">
      <c r="O8" s="20"/>
    </row>
    <row r="9" spans="1:15">
      <c r="A9" t="s">
        <v>881</v>
      </c>
      <c r="D9" s="3">
        <f>D3/D7</f>
        <v>8864.7881292587881</v>
      </c>
    </row>
    <row r="10" spans="1:15">
      <c r="A10" t="s">
        <v>882</v>
      </c>
      <c r="D10" s="34">
        <f>'Billing Det'!B26</f>
        <v>86402</v>
      </c>
    </row>
    <row r="11" spans="1:15">
      <c r="A11" t="s">
        <v>883</v>
      </c>
      <c r="D11" s="3">
        <f>ROUND(D10/D9,0)</f>
        <v>10</v>
      </c>
    </row>
    <row r="14" spans="1:15">
      <c r="A14" s="7" t="s">
        <v>1362</v>
      </c>
    </row>
    <row r="15" spans="1:15">
      <c r="A15" t="s">
        <v>877</v>
      </c>
      <c r="D15" s="4">
        <f>'Allocation ProForma'!T1006</f>
        <v>3317374</v>
      </c>
    </row>
    <row r="17" spans="1:4">
      <c r="A17" t="s">
        <v>878</v>
      </c>
      <c r="D17" s="4">
        <f>D5</f>
        <v>4180088831</v>
      </c>
    </row>
    <row r="18" spans="1:4">
      <c r="A18" t="s">
        <v>879</v>
      </c>
      <c r="D18" s="34">
        <f>D6</f>
        <v>364109.16666666669</v>
      </c>
    </row>
    <row r="19" spans="1:4">
      <c r="A19" t="s">
        <v>880</v>
      </c>
      <c r="D19" s="3">
        <f>D17/D18</f>
        <v>11480.31748079216</v>
      </c>
    </row>
    <row r="21" spans="1:4">
      <c r="A21" t="s">
        <v>881</v>
      </c>
      <c r="D21" s="3">
        <f>ROUND(D15/D19,0)</f>
        <v>289</v>
      </c>
    </row>
    <row r="24" spans="1:4">
      <c r="A24" s="7" t="s">
        <v>885</v>
      </c>
    </row>
    <row r="25" spans="1:4">
      <c r="A25" t="s">
        <v>877</v>
      </c>
      <c r="D25" s="4">
        <f>'Allocation ProForma'!U1006</f>
        <v>3108713</v>
      </c>
    </row>
    <row r="27" spans="1:4">
      <c r="A27" t="s">
        <v>878</v>
      </c>
      <c r="D27" s="4">
        <f>D17</f>
        <v>4180088831</v>
      </c>
    </row>
    <row r="28" spans="1:4">
      <c r="A28" t="s">
        <v>879</v>
      </c>
      <c r="D28" s="34">
        <f>D18</f>
        <v>364109.16666666669</v>
      </c>
    </row>
    <row r="29" spans="1:4">
      <c r="A29" t="s">
        <v>880</v>
      </c>
      <c r="D29" s="3">
        <f>D27/D28</f>
        <v>11480.31748079216</v>
      </c>
    </row>
    <row r="31" spans="1:4">
      <c r="A31" t="s">
        <v>881</v>
      </c>
      <c r="D31" s="3">
        <f>ROUND(D25/D29,0)</f>
        <v>271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G962" activePane="bottomRight" state="frozen"/>
      <selection pane="topRight" activeCell="G1" sqref="G1"/>
      <selection pane="bottomLeft" activeCell="A5" sqref="A5"/>
      <selection pane="bottomRight" activeCell="G964" sqref="G964"/>
    </sheetView>
  </sheetViews>
  <sheetFormatPr defaultColWidth="9.140625" defaultRowHeight="14.25"/>
  <cols>
    <col min="1" max="1" width="7.7109375" style="61" customWidth="1"/>
    <col min="2" max="2" width="33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9" width="18.28515625" style="61" hidden="1" customWidth="1"/>
    <col min="10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38" t="s">
        <v>1098</v>
      </c>
      <c r="F3" s="139" t="s">
        <v>931</v>
      </c>
      <c r="G3" s="72" t="s">
        <v>204</v>
      </c>
      <c r="H3" s="72" t="s">
        <v>1355</v>
      </c>
      <c r="I3" s="72" t="s">
        <v>185</v>
      </c>
      <c r="J3" s="73" t="s">
        <v>1184</v>
      </c>
      <c r="K3" s="73" t="s">
        <v>1184</v>
      </c>
      <c r="L3" s="72" t="s">
        <v>185</v>
      </c>
      <c r="M3" s="73" t="s">
        <v>185</v>
      </c>
      <c r="N3" s="72" t="s">
        <v>1336</v>
      </c>
      <c r="O3" s="73" t="s">
        <v>1336</v>
      </c>
      <c r="P3" s="73" t="s">
        <v>1185</v>
      </c>
      <c r="Q3" s="72" t="s">
        <v>592</v>
      </c>
      <c r="R3" s="72" t="s">
        <v>592</v>
      </c>
      <c r="S3" s="72" t="s">
        <v>1095</v>
      </c>
      <c r="T3" s="73" t="s">
        <v>1095</v>
      </c>
      <c r="U3" s="72" t="s">
        <v>927</v>
      </c>
      <c r="V3" s="72" t="s">
        <v>185</v>
      </c>
      <c r="W3" s="72" t="s">
        <v>185</v>
      </c>
      <c r="X3" s="73" t="s">
        <v>185</v>
      </c>
      <c r="Y3" s="73" t="s">
        <v>185</v>
      </c>
      <c r="Z3" s="73" t="s">
        <v>185</v>
      </c>
      <c r="AA3" s="140"/>
      <c r="AB3" s="66"/>
    </row>
    <row r="4" spans="1:28" s="61" customFormat="1" ht="15.75" thickBot="1">
      <c r="A4" s="141" t="s">
        <v>934</v>
      </c>
      <c r="B4" s="141"/>
      <c r="C4" s="142" t="s">
        <v>344</v>
      </c>
      <c r="D4" s="143" t="s">
        <v>935</v>
      </c>
      <c r="E4" s="143" t="s">
        <v>936</v>
      </c>
      <c r="F4" s="74" t="s">
        <v>937</v>
      </c>
      <c r="G4" s="74" t="s">
        <v>1198</v>
      </c>
      <c r="H4" s="74" t="s">
        <v>589</v>
      </c>
      <c r="I4" s="74"/>
      <c r="J4" s="74" t="s">
        <v>590</v>
      </c>
      <c r="K4" s="74" t="s">
        <v>591</v>
      </c>
      <c r="L4" s="74"/>
      <c r="M4" s="74"/>
      <c r="N4" s="74" t="s">
        <v>590</v>
      </c>
      <c r="O4" s="74" t="s">
        <v>591</v>
      </c>
      <c r="P4" s="74" t="s">
        <v>1139</v>
      </c>
      <c r="Q4" s="74" t="s">
        <v>1359</v>
      </c>
      <c r="R4" s="74" t="s">
        <v>1360</v>
      </c>
      <c r="S4" s="74" t="s">
        <v>1303</v>
      </c>
      <c r="T4" s="74" t="s">
        <v>1186</v>
      </c>
      <c r="U4" s="74" t="s">
        <v>593</v>
      </c>
      <c r="V4" s="74"/>
      <c r="W4" s="74"/>
      <c r="X4" s="74"/>
      <c r="Y4" s="74"/>
      <c r="Z4" s="74"/>
      <c r="AA4" s="74" t="s">
        <v>941</v>
      </c>
      <c r="AB4" s="74" t="s">
        <v>942</v>
      </c>
    </row>
    <row r="6" spans="1:28" ht="15">
      <c r="A6" s="66" t="s">
        <v>943</v>
      </c>
    </row>
    <row r="8" spans="1:28" ht="15">
      <c r="A8" s="66" t="s">
        <v>364</v>
      </c>
    </row>
    <row r="9" spans="1:28">
      <c r="A9" s="69" t="s">
        <v>359</v>
      </c>
      <c r="C9" s="61" t="s">
        <v>969</v>
      </c>
      <c r="D9" s="61" t="s">
        <v>365</v>
      </c>
      <c r="E9" s="61" t="s">
        <v>869</v>
      </c>
      <c r="F9" s="77">
        <f>VLOOKUP(C9,'Functional Assignment'!$C$2:$AP$780,'Functional Assignment'!$H$2,)</f>
        <v>834776532.70339584</v>
      </c>
      <c r="G9" s="77">
        <f t="shared" ref="G9:P14" si="1">IF(VLOOKUP($E9,$D$6:$AN$1131,3,)=0,0,(VLOOKUP($E9,$D$6:$AN$1131,G$2,)/VLOOKUP($E9,$D$6:$AN$1131,3,))*$F9)</f>
        <v>376560086.73815799</v>
      </c>
      <c r="H9" s="77">
        <f t="shared" si="1"/>
        <v>95141309.793971404</v>
      </c>
      <c r="I9" s="77">
        <f t="shared" si="1"/>
        <v>0</v>
      </c>
      <c r="J9" s="77">
        <f t="shared" si="1"/>
        <v>9625542.5964844134</v>
      </c>
      <c r="K9" s="77">
        <f t="shared" si="1"/>
        <v>121881820.59111732</v>
      </c>
      <c r="L9" s="77">
        <f t="shared" si="1"/>
        <v>0</v>
      </c>
      <c r="M9" s="77">
        <f t="shared" si="1"/>
        <v>0</v>
      </c>
      <c r="N9" s="77">
        <f t="shared" si="1"/>
        <v>100680854.93567176</v>
      </c>
      <c r="O9" s="77">
        <f t="shared" si="1"/>
        <v>64149423.669699021</v>
      </c>
      <c r="P9" s="77">
        <f t="shared" si="1"/>
        <v>57063017.061948262</v>
      </c>
      <c r="Q9" s="77">
        <f t="shared" ref="Q9:Z14" si="2">IF(VLOOKUP($E9,$D$6:$AN$1131,3,)=0,0,(VLOOKUP($E9,$D$6:$AN$1131,Q$2,)/VLOOKUP($E9,$D$6:$AN$1131,3,))*$F9)</f>
        <v>6522289.5315178232</v>
      </c>
      <c r="R9" s="77">
        <f t="shared" si="2"/>
        <v>2817601.9471323993</v>
      </c>
      <c r="S9" s="77">
        <f t="shared" si="2"/>
        <v>201109.69144815434</v>
      </c>
      <c r="T9" s="77">
        <f t="shared" si="2"/>
        <v>6506.3068955514009</v>
      </c>
      <c r="U9" s="77">
        <f t="shared" si="2"/>
        <v>126969.83935173854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834776532.70339596</v>
      </c>
      <c r="AB9" s="59" t="str">
        <f t="shared" ref="AB9:AB15" si="4">IF(ABS(F9-AA9)&lt;0.01,"ok","err")</f>
        <v>ok</v>
      </c>
    </row>
    <row r="10" spans="1:28">
      <c r="A10" s="69" t="s">
        <v>1265</v>
      </c>
      <c r="C10" s="61" t="s">
        <v>969</v>
      </c>
      <c r="D10" s="61" t="s">
        <v>366</v>
      </c>
      <c r="E10" s="61" t="s">
        <v>188</v>
      </c>
      <c r="F10" s="80">
        <f>VLOOKUP(C10,'Functional Assignment'!$C$2:$AP$780,'Functional Assignment'!$I$2,)</f>
        <v>874481254.62203681</v>
      </c>
      <c r="G10" s="80">
        <f t="shared" si="1"/>
        <v>394470524.97386026</v>
      </c>
      <c r="H10" s="80">
        <f t="shared" si="1"/>
        <v>99666543.913947687</v>
      </c>
      <c r="I10" s="80">
        <f t="shared" si="1"/>
        <v>0</v>
      </c>
      <c r="J10" s="80">
        <f t="shared" si="1"/>
        <v>10083365.112016531</v>
      </c>
      <c r="K10" s="80">
        <f t="shared" si="1"/>
        <v>127678921.49647716</v>
      </c>
      <c r="L10" s="80">
        <f t="shared" si="1"/>
        <v>0</v>
      </c>
      <c r="M10" s="80">
        <f t="shared" si="1"/>
        <v>0</v>
      </c>
      <c r="N10" s="80">
        <f t="shared" si="1"/>
        <v>105469568.07163654</v>
      </c>
      <c r="O10" s="80">
        <f t="shared" si="1"/>
        <v>67200581.588331446</v>
      </c>
      <c r="P10" s="80">
        <f t="shared" si="1"/>
        <v>59777122.137406021</v>
      </c>
      <c r="Q10" s="80">
        <f t="shared" si="2"/>
        <v>6832511.108163164</v>
      </c>
      <c r="R10" s="80">
        <f t="shared" si="2"/>
        <v>2951616.3778280243</v>
      </c>
      <c r="S10" s="80">
        <f t="shared" si="2"/>
        <v>210675.13089364697</v>
      </c>
      <c r="T10" s="80">
        <f t="shared" si="2"/>
        <v>6815.768285378218</v>
      </c>
      <c r="U10" s="80">
        <f t="shared" si="2"/>
        <v>133008.94319092913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874481254.6220367</v>
      </c>
      <c r="AB10" s="59" t="str">
        <f t="shared" si="4"/>
        <v>ok</v>
      </c>
    </row>
    <row r="11" spans="1:28">
      <c r="A11" s="69" t="s">
        <v>1266</v>
      </c>
      <c r="C11" s="61" t="s">
        <v>969</v>
      </c>
      <c r="D11" s="61" t="s">
        <v>367</v>
      </c>
      <c r="E11" s="61" t="s">
        <v>191</v>
      </c>
      <c r="F11" s="80">
        <f>VLOOKUP(C11,'Functional Assignment'!$C$2:$AP$780,'Functional Assignment'!$J$2,)</f>
        <v>718820642.53047872</v>
      </c>
      <c r="G11" s="80">
        <f t="shared" si="1"/>
        <v>324253441.36576301</v>
      </c>
      <c r="H11" s="80">
        <f t="shared" si="1"/>
        <v>81925563.019622296</v>
      </c>
      <c r="I11" s="80">
        <f t="shared" si="1"/>
        <v>0</v>
      </c>
      <c r="J11" s="80">
        <f t="shared" si="1"/>
        <v>8288492.1207623594</v>
      </c>
      <c r="K11" s="80">
        <f t="shared" si="1"/>
        <v>104951642.93414629</v>
      </c>
      <c r="L11" s="80">
        <f t="shared" si="1"/>
        <v>0</v>
      </c>
      <c r="M11" s="80">
        <f t="shared" si="1"/>
        <v>0</v>
      </c>
      <c r="N11" s="80">
        <f t="shared" si="1"/>
        <v>86695629.309325323</v>
      </c>
      <c r="O11" s="80">
        <f t="shared" si="1"/>
        <v>55238651.463860638</v>
      </c>
      <c r="P11" s="80">
        <f t="shared" si="1"/>
        <v>49136592.827258401</v>
      </c>
      <c r="Q11" s="80">
        <f t="shared" si="2"/>
        <v>5616301.0915416749</v>
      </c>
      <c r="R11" s="80">
        <f t="shared" si="2"/>
        <v>2426218.7096633031</v>
      </c>
      <c r="S11" s="80">
        <f t="shared" si="2"/>
        <v>173174.24719368917</v>
      </c>
      <c r="T11" s="80">
        <f t="shared" si="2"/>
        <v>5602.5385476695938</v>
      </c>
      <c r="U11" s="80">
        <f t="shared" si="2"/>
        <v>109332.90279404266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718820642.53047848</v>
      </c>
      <c r="AB11" s="59" t="str">
        <f t="shared" si="4"/>
        <v>ok</v>
      </c>
    </row>
    <row r="12" spans="1:28">
      <c r="A12" s="69" t="s">
        <v>1267</v>
      </c>
      <c r="C12" s="61" t="s">
        <v>969</v>
      </c>
      <c r="D12" s="61" t="s">
        <v>368</v>
      </c>
      <c r="E12" s="61" t="s">
        <v>1100</v>
      </c>
      <c r="F12" s="80">
        <f>VLOOKUP(C12,'Functional Assignment'!$C$2:$AP$780,'Functional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hidden="1">
      <c r="A13" s="69" t="s">
        <v>1268</v>
      </c>
      <c r="C13" s="61" t="s">
        <v>969</v>
      </c>
      <c r="D13" s="61" t="s">
        <v>369</v>
      </c>
      <c r="E13" s="61" t="s">
        <v>1100</v>
      </c>
      <c r="F13" s="80">
        <f>VLOOKUP(C13,'Functional Assignment'!$C$2:$AP$780,'Functional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hidden="1">
      <c r="A14" s="69" t="s">
        <v>1268</v>
      </c>
      <c r="C14" s="61" t="s">
        <v>969</v>
      </c>
      <c r="D14" s="61" t="s">
        <v>370</v>
      </c>
      <c r="E14" s="61" t="s">
        <v>1100</v>
      </c>
      <c r="F14" s="80">
        <f>VLOOKUP(C14,'Functional Assignment'!$C$2:$AP$780,'Functional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>
      <c r="A15" s="61" t="s">
        <v>387</v>
      </c>
      <c r="D15" s="61" t="s">
        <v>1101</v>
      </c>
      <c r="F15" s="77">
        <f>SUM(F9:F14)</f>
        <v>2428078429.8559113</v>
      </c>
      <c r="G15" s="77">
        <f t="shared" ref="G15:P15" si="5">SUM(G9:G14)</f>
        <v>1095284053.0777812</v>
      </c>
      <c r="H15" s="77">
        <f t="shared" si="5"/>
        <v>276733416.72754139</v>
      </c>
      <c r="I15" s="77">
        <f t="shared" si="5"/>
        <v>0</v>
      </c>
      <c r="J15" s="77">
        <f t="shared" si="5"/>
        <v>27997399.829263303</v>
      </c>
      <c r="K15" s="77">
        <f t="shared" si="5"/>
        <v>354512385.02174079</v>
      </c>
      <c r="L15" s="77">
        <f t="shared" si="5"/>
        <v>0</v>
      </c>
      <c r="M15" s="77">
        <f t="shared" si="5"/>
        <v>0</v>
      </c>
      <c r="N15" s="77">
        <f t="shared" si="5"/>
        <v>292846052.31663364</v>
      </c>
      <c r="O15" s="77">
        <f>SUM(O9:O14)</f>
        <v>186588656.72189111</v>
      </c>
      <c r="P15" s="77">
        <f t="shared" si="5"/>
        <v>165976732.0266127</v>
      </c>
      <c r="Q15" s="77">
        <f t="shared" ref="Q15:Z15" si="6">SUM(Q9:Q14)</f>
        <v>18971101.731222663</v>
      </c>
      <c r="R15" s="77">
        <f t="shared" si="6"/>
        <v>8195437.0346237272</v>
      </c>
      <c r="S15" s="77">
        <f t="shared" si="6"/>
        <v>584959.06953549047</v>
      </c>
      <c r="T15" s="77">
        <f t="shared" si="6"/>
        <v>18924.613728599215</v>
      </c>
      <c r="U15" s="77">
        <f t="shared" si="6"/>
        <v>369311.6853367103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2428078429.8559108</v>
      </c>
      <c r="AB15" s="59" t="str">
        <f t="shared" si="4"/>
        <v>ok</v>
      </c>
    </row>
    <row r="16" spans="1:28">
      <c r="F16" s="80"/>
      <c r="G16" s="80"/>
    </row>
    <row r="17" spans="1:28" ht="15">
      <c r="A17" s="66" t="s">
        <v>1140</v>
      </c>
      <c r="F17" s="80"/>
      <c r="G17" s="80"/>
    </row>
    <row r="18" spans="1:28">
      <c r="A18" s="69" t="s">
        <v>1377</v>
      </c>
      <c r="C18" s="61" t="s">
        <v>969</v>
      </c>
      <c r="D18" s="61" t="s">
        <v>360</v>
      </c>
      <c r="E18" s="61" t="s">
        <v>1381</v>
      </c>
      <c r="F18" s="77">
        <f>VLOOKUP(C18,'Functional Assignment'!$C$2:$AP$780,'Functional Assignment'!$N$2,)</f>
        <v>465684635.2936042</v>
      </c>
      <c r="G18" s="77">
        <f t="shared" ref="G18:P20" si="7">IF(VLOOKUP($E18,$D$6:$AN$1131,3,)=0,0,(VLOOKUP($E18,$D$6:$AN$1131,G$2,)/VLOOKUP($E18,$D$6:$AN$1131,3,))*$F18)</f>
        <v>206944618.61384949</v>
      </c>
      <c r="H18" s="77">
        <f t="shared" si="7"/>
        <v>59568432.414921001</v>
      </c>
      <c r="I18" s="77">
        <f t="shared" si="7"/>
        <v>0</v>
      </c>
      <c r="J18" s="77">
        <f t="shared" si="7"/>
        <v>5292707.3815755583</v>
      </c>
      <c r="K18" s="77">
        <f t="shared" si="7"/>
        <v>61430380.790279523</v>
      </c>
      <c r="L18" s="77">
        <f t="shared" si="7"/>
        <v>0</v>
      </c>
      <c r="M18" s="77">
        <f t="shared" si="7"/>
        <v>0</v>
      </c>
      <c r="N18" s="77">
        <f t="shared" si="7"/>
        <v>55882901.121297717</v>
      </c>
      <c r="O18" s="77">
        <f t="shared" si="7"/>
        <v>33180333.805065773</v>
      </c>
      <c r="P18" s="77">
        <f t="shared" si="7"/>
        <v>34368775.929895379</v>
      </c>
      <c r="Q18" s="77">
        <f t="shared" ref="Q18:Z20" si="8">IF(VLOOKUP($E18,$D$6:$AN$1131,3,)=0,0,(VLOOKUP($E18,$D$6:$AN$1131,Q$2,)/VLOOKUP($E18,$D$6:$AN$1131,3,))*$F18)</f>
        <v>3464523.9369553626</v>
      </c>
      <c r="R18" s="77">
        <f t="shared" si="8"/>
        <v>1813381.6732500023</v>
      </c>
      <c r="S18" s="77">
        <f t="shared" si="8"/>
        <v>3572282.1783979638</v>
      </c>
      <c r="T18" s="77">
        <f t="shared" si="8"/>
        <v>114251.89598414062</v>
      </c>
      <c r="U18" s="77">
        <f t="shared" si="8"/>
        <v>52045.552132363286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465684635.29360431</v>
      </c>
      <c r="AB18" s="59" t="str">
        <f>IF(ABS(F18-AA18)&lt;0.01,"ok","err")</f>
        <v>ok</v>
      </c>
    </row>
    <row r="19" spans="1:28" hidden="1">
      <c r="A19" s="69" t="s">
        <v>1378</v>
      </c>
      <c r="C19" s="61" t="s">
        <v>969</v>
      </c>
      <c r="D19" s="61" t="s">
        <v>361</v>
      </c>
      <c r="E19" s="61" t="s">
        <v>188</v>
      </c>
      <c r="F19" s="80">
        <f>VLOOKUP(C19,'Functional Assignment'!$C$2:$AP$780,'Functional Assignment'!$O$2,)</f>
        <v>0</v>
      </c>
      <c r="G19" s="80">
        <f t="shared" si="7"/>
        <v>0</v>
      </c>
      <c r="H19" s="80">
        <f t="shared" si="7"/>
        <v>0</v>
      </c>
      <c r="I19" s="80">
        <f t="shared" si="7"/>
        <v>0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7"/>
        <v>0</v>
      </c>
      <c r="O19" s="80">
        <f t="shared" si="7"/>
        <v>0</v>
      </c>
      <c r="P19" s="80">
        <f t="shared" si="7"/>
        <v>0</v>
      </c>
      <c r="Q19" s="80">
        <f t="shared" si="8"/>
        <v>0</v>
      </c>
      <c r="R19" s="80">
        <f t="shared" si="8"/>
        <v>0</v>
      </c>
      <c r="S19" s="80">
        <f t="shared" si="8"/>
        <v>0</v>
      </c>
      <c r="T19" s="80">
        <f t="shared" si="8"/>
        <v>0</v>
      </c>
      <c r="U19" s="80">
        <f t="shared" si="8"/>
        <v>0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0</v>
      </c>
      <c r="AB19" s="59" t="str">
        <f>IF(ABS(F19-AA19)&lt;0.01,"ok","err")</f>
        <v>ok</v>
      </c>
    </row>
    <row r="20" spans="1:28" hidden="1">
      <c r="A20" s="69" t="s">
        <v>1378</v>
      </c>
      <c r="C20" s="61" t="s">
        <v>969</v>
      </c>
      <c r="D20" s="61" t="s">
        <v>362</v>
      </c>
      <c r="E20" s="61" t="s">
        <v>191</v>
      </c>
      <c r="F20" s="80">
        <f>VLOOKUP(C20,'Functional Assignment'!$C$2:$AP$780,'Functional Assignment'!$P$2,)</f>
        <v>0</v>
      </c>
      <c r="G20" s="80">
        <f t="shared" si="7"/>
        <v>0</v>
      </c>
      <c r="H20" s="80">
        <f t="shared" si="7"/>
        <v>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0</v>
      </c>
      <c r="Q20" s="80">
        <f t="shared" si="8"/>
        <v>0</v>
      </c>
      <c r="R20" s="80">
        <f t="shared" si="8"/>
        <v>0</v>
      </c>
      <c r="S20" s="80">
        <f t="shared" si="8"/>
        <v>0</v>
      </c>
      <c r="T20" s="80">
        <f t="shared" si="8"/>
        <v>0</v>
      </c>
      <c r="U20" s="80">
        <f t="shared" si="8"/>
        <v>0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0</v>
      </c>
      <c r="AB20" s="59" t="str">
        <f>IF(ABS(F20-AA20)&lt;0.01,"ok","err")</f>
        <v>ok</v>
      </c>
    </row>
    <row r="21" spans="1:28" ht="14.25" hidden="1" customHeight="1">
      <c r="A21" s="61" t="s">
        <v>1142</v>
      </c>
      <c r="D21" s="61" t="s">
        <v>363</v>
      </c>
      <c r="F21" s="77">
        <f t="shared" ref="F21:Y21" si="9">SUM(F18:F20)</f>
        <v>465684635.2936042</v>
      </c>
      <c r="G21" s="77">
        <f t="shared" si="9"/>
        <v>206944618.61384949</v>
      </c>
      <c r="H21" s="77">
        <f t="shared" si="9"/>
        <v>59568432.414921001</v>
      </c>
      <c r="I21" s="77">
        <f t="shared" si="9"/>
        <v>0</v>
      </c>
      <c r="J21" s="77">
        <f t="shared" si="9"/>
        <v>5292707.3815755583</v>
      </c>
      <c r="K21" s="77">
        <f t="shared" si="9"/>
        <v>61430380.790279523</v>
      </c>
      <c r="L21" s="77">
        <f t="shared" si="9"/>
        <v>0</v>
      </c>
      <c r="M21" s="77">
        <f t="shared" si="9"/>
        <v>0</v>
      </c>
      <c r="N21" s="77">
        <f t="shared" si="9"/>
        <v>55882901.121297717</v>
      </c>
      <c r="O21" s="77">
        <f>SUM(O18:O20)</f>
        <v>33180333.805065773</v>
      </c>
      <c r="P21" s="77">
        <f t="shared" si="9"/>
        <v>34368775.929895379</v>
      </c>
      <c r="Q21" s="77">
        <f t="shared" si="9"/>
        <v>3464523.9369553626</v>
      </c>
      <c r="R21" s="77">
        <f t="shared" si="9"/>
        <v>1813381.6732500023</v>
      </c>
      <c r="S21" s="77">
        <f t="shared" si="9"/>
        <v>3572282.1783979638</v>
      </c>
      <c r="T21" s="77">
        <f t="shared" si="9"/>
        <v>114251.89598414062</v>
      </c>
      <c r="U21" s="77">
        <f t="shared" si="9"/>
        <v>52045.552132363286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465684635.29360431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348</v>
      </c>
      <c r="F23" s="80"/>
      <c r="G23" s="80"/>
    </row>
    <row r="24" spans="1:28">
      <c r="A24" s="69" t="s">
        <v>372</v>
      </c>
      <c r="C24" s="61" t="s">
        <v>969</v>
      </c>
      <c r="D24" s="61" t="s">
        <v>375</v>
      </c>
      <c r="E24" s="61" t="s">
        <v>1382</v>
      </c>
      <c r="F24" s="77">
        <f>VLOOKUP(C24,'Functional Assignment'!$C$2:$AP$780,'Functional Assignment'!$Q$2,)</f>
        <v>0</v>
      </c>
      <c r="G24" s="77">
        <f t="shared" ref="G24:Z24" si="10">IF(VLOOKUP($E24,$D$6:$AN$1131,3,)=0,0,(VLOOKUP($E24,$D$6:$AN$1131,G$2,)/VLOOKUP($E24,$D$6:$AN$1131,3,))*$F24)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349</v>
      </c>
      <c r="F26" s="80"/>
      <c r="G26" s="80"/>
    </row>
    <row r="27" spans="1:28">
      <c r="A27" s="69" t="s">
        <v>374</v>
      </c>
      <c r="C27" s="61" t="s">
        <v>969</v>
      </c>
      <c r="D27" s="61" t="s">
        <v>376</v>
      </c>
      <c r="E27" s="61" t="s">
        <v>1382</v>
      </c>
      <c r="F27" s="77">
        <f>VLOOKUP(C27,'Functional Assignment'!$C$2:$AP$780,'Functional Assignment'!$R$2,)</f>
        <v>161101605.49619821</v>
      </c>
      <c r="G27" s="77">
        <f t="shared" ref="G27:Z27" si="11">IF(VLOOKUP($E27,$D$6:$AN$1131,3,)=0,0,(VLOOKUP($E27,$D$6:$AN$1131,G$2,)/VLOOKUP($E27,$D$6:$AN$1131,3,))*$F27)</f>
        <v>77296277.388623074</v>
      </c>
      <c r="H27" s="77">
        <f t="shared" si="11"/>
        <v>22249518.283637244</v>
      </c>
      <c r="I27" s="77">
        <f t="shared" si="11"/>
        <v>0</v>
      </c>
      <c r="J27" s="77">
        <f t="shared" si="11"/>
        <v>1976889.1824457345</v>
      </c>
      <c r="K27" s="77">
        <f t="shared" si="11"/>
        <v>22944978.156278629</v>
      </c>
      <c r="L27" s="77">
        <f t="shared" si="11"/>
        <v>0</v>
      </c>
      <c r="M27" s="77">
        <f t="shared" si="11"/>
        <v>0</v>
      </c>
      <c r="N27" s="77">
        <f t="shared" si="11"/>
        <v>20872928.493071448</v>
      </c>
      <c r="O27" s="77">
        <f t="shared" si="11"/>
        <v>12393249.473324699</v>
      </c>
      <c r="P27" s="77">
        <f t="shared" si="11"/>
        <v>0</v>
      </c>
      <c r="Q27" s="77">
        <f t="shared" si="11"/>
        <v>1294040.9131880871</v>
      </c>
      <c r="R27" s="77">
        <f t="shared" si="11"/>
        <v>677319.63153158838</v>
      </c>
      <c r="S27" s="77">
        <f t="shared" si="11"/>
        <v>1334289.8985313573</v>
      </c>
      <c r="T27" s="77">
        <f t="shared" si="11"/>
        <v>42674.442579466158</v>
      </c>
      <c r="U27" s="77">
        <f t="shared" si="11"/>
        <v>19439.63298689984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161101605.49619824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373</v>
      </c>
      <c r="F29" s="80"/>
    </row>
    <row r="30" spans="1:28">
      <c r="A30" s="69" t="s">
        <v>623</v>
      </c>
      <c r="C30" s="61" t="s">
        <v>969</v>
      </c>
      <c r="D30" s="61" t="s">
        <v>379</v>
      </c>
      <c r="E30" s="61" t="s">
        <v>1382</v>
      </c>
      <c r="F30" s="77">
        <f>VLOOKUP(C30,'Functional Assignment'!$C$2:$AP$780,'Functional Assignment'!$S$2,)</f>
        <v>0</v>
      </c>
      <c r="G30" s="77">
        <f t="shared" ref="G30:P34" si="12">IF(VLOOKUP($E30,$D$6:$AN$1131,3,)=0,0,(VLOOKUP($E30,$D$6:$AN$1131,G$2,)/VLOOKUP($E30,$D$6:$AN$1131,3,))*$F30)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IF(VLOOKUP($E30,$D$6:$AN$1131,3,)=0,0,(VLOOKUP($E30,$D$6:$AN$1131,Q$2,)/VLOOKUP($E30,$D$6:$AN$1131,3,))*$F30)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>
      <c r="A31" s="69" t="s">
        <v>624</v>
      </c>
      <c r="C31" s="61" t="s">
        <v>969</v>
      </c>
      <c r="D31" s="61" t="s">
        <v>380</v>
      </c>
      <c r="E31" s="61" t="s">
        <v>1382</v>
      </c>
      <c r="F31" s="80">
        <f>VLOOKUP(C31,'Functional Assignment'!$C$2:$AP$780,'Functional Assignment'!$T$2,)</f>
        <v>275500316.31922829</v>
      </c>
      <c r="G31" s="80">
        <f t="shared" si="12"/>
        <v>132184585.03423795</v>
      </c>
      <c r="H31" s="80">
        <f t="shared" si="12"/>
        <v>38048964.851794526</v>
      </c>
      <c r="I31" s="80">
        <f t="shared" si="12"/>
        <v>0</v>
      </c>
      <c r="J31" s="80">
        <f t="shared" si="12"/>
        <v>3380683.8449211679</v>
      </c>
      <c r="K31" s="80">
        <f t="shared" si="12"/>
        <v>39238272.769055188</v>
      </c>
      <c r="L31" s="80">
        <f t="shared" si="12"/>
        <v>0</v>
      </c>
      <c r="M31" s="80">
        <f t="shared" si="12"/>
        <v>0</v>
      </c>
      <c r="N31" s="80">
        <f t="shared" si="12"/>
        <v>35694854.713819236</v>
      </c>
      <c r="O31" s="80">
        <f t="shared" si="12"/>
        <v>21193731.36976365</v>
      </c>
      <c r="P31" s="80">
        <f t="shared" si="12"/>
        <v>0</v>
      </c>
      <c r="Q31" s="80">
        <f t="shared" si="13"/>
        <v>2212943.0666769748</v>
      </c>
      <c r="R31" s="80">
        <f t="shared" si="13"/>
        <v>1158286.2390566263</v>
      </c>
      <c r="S31" s="80">
        <f t="shared" si="13"/>
        <v>2281772.9716269947</v>
      </c>
      <c r="T31" s="80">
        <f t="shared" si="13"/>
        <v>72977.686306590636</v>
      </c>
      <c r="U31" s="80">
        <f t="shared" si="13"/>
        <v>33243.771969404719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275500316.31922829</v>
      </c>
      <c r="AB31" s="59" t="str">
        <f t="shared" si="15"/>
        <v>ok</v>
      </c>
    </row>
    <row r="32" spans="1:28">
      <c r="A32" s="69" t="s">
        <v>625</v>
      </c>
      <c r="C32" s="61" t="s">
        <v>969</v>
      </c>
      <c r="D32" s="61" t="s">
        <v>381</v>
      </c>
      <c r="E32" s="61" t="s">
        <v>698</v>
      </c>
      <c r="F32" s="80">
        <f>VLOOKUP(C32,'Functional Assignment'!$C$2:$AP$780,'Functional Assignment'!$U$2,)</f>
        <v>438423397.80823392</v>
      </c>
      <c r="G32" s="80">
        <f t="shared" si="12"/>
        <v>377970614.12232178</v>
      </c>
      <c r="H32" s="80">
        <f t="shared" si="12"/>
        <v>46959149.168316647</v>
      </c>
      <c r="I32" s="80">
        <f t="shared" si="12"/>
        <v>0</v>
      </c>
      <c r="J32" s="80">
        <f t="shared" si="12"/>
        <v>74741.002721639336</v>
      </c>
      <c r="K32" s="80">
        <f t="shared" si="12"/>
        <v>2931681.2294402281</v>
      </c>
      <c r="L32" s="80">
        <f t="shared" si="12"/>
        <v>0</v>
      </c>
      <c r="M32" s="80">
        <f t="shared" si="12"/>
        <v>0</v>
      </c>
      <c r="N32" s="80">
        <f t="shared" si="12"/>
        <v>109516.33037684654</v>
      </c>
      <c r="O32" s="80">
        <f t="shared" si="12"/>
        <v>286507.17709961749</v>
      </c>
      <c r="P32" s="80">
        <f t="shared" si="12"/>
        <v>0</v>
      </c>
      <c r="Q32" s="80">
        <f t="shared" si="13"/>
        <v>1038.0694822449909</v>
      </c>
      <c r="R32" s="80">
        <f t="shared" si="13"/>
        <v>1038.0694822449909</v>
      </c>
      <c r="S32" s="80">
        <f t="shared" si="13"/>
        <v>9965697.7116590776</v>
      </c>
      <c r="T32" s="80">
        <f t="shared" si="13"/>
        <v>19031.273841158163</v>
      </c>
      <c r="U32" s="80">
        <f t="shared" si="13"/>
        <v>104383.65349241297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438423397.80823398</v>
      </c>
      <c r="AB32" s="59" t="str">
        <f t="shared" si="15"/>
        <v>ok</v>
      </c>
    </row>
    <row r="33" spans="1:28">
      <c r="A33" s="69" t="s">
        <v>626</v>
      </c>
      <c r="C33" s="61" t="s">
        <v>969</v>
      </c>
      <c r="D33" s="61" t="s">
        <v>382</v>
      </c>
      <c r="E33" s="61" t="s">
        <v>678</v>
      </c>
      <c r="F33" s="80">
        <f>VLOOKUP(C33,'Functional Assignment'!$C$2:$AP$780,'Functional Assignment'!$V$2,)</f>
        <v>75736072.29061836</v>
      </c>
      <c r="G33" s="80">
        <f t="shared" si="12"/>
        <v>63558319.173293732</v>
      </c>
      <c r="H33" s="80">
        <f t="shared" si="12"/>
        <v>11630885.740016388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522541.92261963681</v>
      </c>
      <c r="T33" s="80">
        <f t="shared" si="13"/>
        <v>16712.399079645347</v>
      </c>
      <c r="U33" s="80">
        <f t="shared" si="13"/>
        <v>7613.0556089614511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75736072.290618375</v>
      </c>
      <c r="AB33" s="59" t="str">
        <f t="shared" si="15"/>
        <v>ok</v>
      </c>
    </row>
    <row r="34" spans="1:28">
      <c r="A34" s="69" t="s">
        <v>627</v>
      </c>
      <c r="C34" s="61" t="s">
        <v>969</v>
      </c>
      <c r="D34" s="61" t="s">
        <v>383</v>
      </c>
      <c r="E34" s="61" t="s">
        <v>697</v>
      </c>
      <c r="F34" s="80">
        <f>VLOOKUP(C34,'Functional Assignment'!$C$2:$AP$780,'Functional Assignment'!$W$2,)</f>
        <v>115092781.63131401</v>
      </c>
      <c r="G34" s="80">
        <f t="shared" si="12"/>
        <v>99999544.298557967</v>
      </c>
      <c r="H34" s="80">
        <f t="shared" si="12"/>
        <v>12423964.567679197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2636620.923817568</v>
      </c>
      <c r="T34" s="80">
        <f t="shared" si="13"/>
        <v>5035.0970166188135</v>
      </c>
      <c r="U34" s="80">
        <f t="shared" si="13"/>
        <v>27616.744242666828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115092781.63131402</v>
      </c>
      <c r="AB34" s="59" t="str">
        <f t="shared" si="15"/>
        <v>ok</v>
      </c>
    </row>
    <row r="35" spans="1:28">
      <c r="A35" s="61" t="s">
        <v>378</v>
      </c>
      <c r="D35" s="61" t="s">
        <v>384</v>
      </c>
      <c r="F35" s="77">
        <f>SUM(F30:F34)</f>
        <v>904752568.04939461</v>
      </c>
      <c r="G35" s="77">
        <f t="shared" ref="G35:Z35" si="16">SUM(G30:G34)</f>
        <v>673713062.62841141</v>
      </c>
      <c r="H35" s="77">
        <f t="shared" si="16"/>
        <v>109062964.32780676</v>
      </c>
      <c r="I35" s="77">
        <f t="shared" si="16"/>
        <v>0</v>
      </c>
      <c r="J35" s="77">
        <f t="shared" si="16"/>
        <v>3455424.8476428073</v>
      </c>
      <c r="K35" s="77">
        <f t="shared" si="16"/>
        <v>42169953.998495415</v>
      </c>
      <c r="L35" s="77">
        <f t="shared" si="16"/>
        <v>0</v>
      </c>
      <c r="M35" s="77">
        <f t="shared" si="16"/>
        <v>0</v>
      </c>
      <c r="N35" s="77">
        <f t="shared" si="16"/>
        <v>35804371.044196084</v>
      </c>
      <c r="O35" s="77">
        <f>SUM(O30:O34)</f>
        <v>21480238.546863269</v>
      </c>
      <c r="P35" s="77">
        <f t="shared" si="16"/>
        <v>0</v>
      </c>
      <c r="Q35" s="77">
        <f t="shared" si="16"/>
        <v>2213981.1361592198</v>
      </c>
      <c r="R35" s="77">
        <f t="shared" si="16"/>
        <v>1159324.3085388714</v>
      </c>
      <c r="S35" s="77">
        <f t="shared" si="16"/>
        <v>15406633.529723277</v>
      </c>
      <c r="T35" s="77">
        <f t="shared" si="16"/>
        <v>113756.45624401297</v>
      </c>
      <c r="U35" s="77">
        <f t="shared" si="16"/>
        <v>172857.22531344596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904752568.04939461</v>
      </c>
      <c r="AB35" s="59" t="str">
        <f t="shared" si="15"/>
        <v>ok</v>
      </c>
    </row>
    <row r="36" spans="1:28">
      <c r="F36" s="80"/>
    </row>
    <row r="37" spans="1:28" ht="15">
      <c r="A37" s="66" t="s">
        <v>634</v>
      </c>
      <c r="F37" s="80"/>
    </row>
    <row r="38" spans="1:28">
      <c r="A38" s="69" t="s">
        <v>1099</v>
      </c>
      <c r="C38" s="61" t="s">
        <v>969</v>
      </c>
      <c r="D38" s="61" t="s">
        <v>385</v>
      </c>
      <c r="E38" s="61" t="s">
        <v>1346</v>
      </c>
      <c r="F38" s="77">
        <f>VLOOKUP(C38,'Functional Assignment'!$C$2:$AP$780,'Functional Assignment'!$X$2,)</f>
        <v>104690101.93262604</v>
      </c>
      <c r="G38" s="77">
        <f t="shared" ref="G38:P39" si="17">IF(VLOOKUP($E38,$D$6:$AN$1131,3,)=0,0,(VLOOKUP($E38,$D$6:$AN$1131,G$2,)/VLOOKUP($E38,$D$6:$AN$1131,3,))*$F38)</f>
        <v>72634069.293179259</v>
      </c>
      <c r="H38" s="77">
        <f t="shared" si="17"/>
        <v>13291707.077369861</v>
      </c>
      <c r="I38" s="77">
        <f t="shared" si="17"/>
        <v>0</v>
      </c>
      <c r="J38" s="77">
        <f t="shared" si="17"/>
        <v>0</v>
      </c>
      <c r="K38" s="77">
        <f t="shared" si="17"/>
        <v>11706100.559042342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6433268.2154064439</v>
      </c>
      <c r="P38" s="77">
        <f t="shared" si="17"/>
        <v>0</v>
      </c>
      <c r="Q38" s="77">
        <f t="shared" ref="Q38:Z39" si="18">IF(VLOOKUP($E38,$D$6:$AN$1131,3,)=0,0,(VLOOKUP($E38,$D$6:$AN$1131,Q$2,)/VLOOKUP($E38,$D$6:$AN$1131,3,))*$F38)</f>
        <v>0</v>
      </c>
      <c r="R38" s="77">
        <f t="shared" si="18"/>
        <v>0</v>
      </c>
      <c r="S38" s="77">
        <f t="shared" si="18"/>
        <v>597157.80262631096</v>
      </c>
      <c r="T38" s="77">
        <f t="shared" si="18"/>
        <v>19098.830311992955</v>
      </c>
      <c r="U38" s="77">
        <f t="shared" si="18"/>
        <v>8700.1546898439956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104690101.93262605</v>
      </c>
      <c r="AB38" s="59" t="str">
        <f>IF(ABS(F38-AA38)&lt;0.01,"ok","err")</f>
        <v>ok</v>
      </c>
    </row>
    <row r="39" spans="1:28">
      <c r="A39" s="69" t="s">
        <v>1102</v>
      </c>
      <c r="C39" s="61" t="s">
        <v>969</v>
      </c>
      <c r="D39" s="61" t="s">
        <v>386</v>
      </c>
      <c r="E39" s="61" t="s">
        <v>1344</v>
      </c>
      <c r="F39" s="80">
        <f>VLOOKUP(C39,'Functional Assignment'!$C$2:$AP$780,'Functional Assignment'!$Y$2,)</f>
        <v>73215269.23630555</v>
      </c>
      <c r="G39" s="80">
        <f t="shared" si="17"/>
        <v>63146690.520794146</v>
      </c>
      <c r="H39" s="80">
        <f t="shared" si="17"/>
        <v>7845358.2073759874</v>
      </c>
      <c r="I39" s="80">
        <f t="shared" si="17"/>
        <v>0</v>
      </c>
      <c r="J39" s="80">
        <f t="shared" si="17"/>
        <v>0</v>
      </c>
      <c r="K39" s="80">
        <f t="shared" si="17"/>
        <v>489789.31267172925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47866.10220031772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1664946.4421545297</v>
      </c>
      <c r="T39" s="80">
        <f t="shared" si="18"/>
        <v>3179.5116195863216</v>
      </c>
      <c r="U39" s="80">
        <f t="shared" si="18"/>
        <v>17439.13948924619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73215269.236305535</v>
      </c>
      <c r="AB39" s="59" t="str">
        <f>IF(ABS(F39-AA39)&lt;0.01,"ok","err")</f>
        <v>ok</v>
      </c>
    </row>
    <row r="40" spans="1:28">
      <c r="A40" s="61" t="s">
        <v>712</v>
      </c>
      <c r="D40" s="61" t="s">
        <v>389</v>
      </c>
      <c r="F40" s="77">
        <f t="shared" ref="F40:Q40" si="19">F38+F39</f>
        <v>177905371.1689316</v>
      </c>
      <c r="G40" s="77">
        <f t="shared" si="19"/>
        <v>135780759.8139734</v>
      </c>
      <c r="H40" s="77">
        <f t="shared" si="19"/>
        <v>21137065.28474585</v>
      </c>
      <c r="I40" s="77">
        <f t="shared" si="19"/>
        <v>0</v>
      </c>
      <c r="J40" s="77">
        <f t="shared" si="19"/>
        <v>0</v>
      </c>
      <c r="K40" s="77">
        <f t="shared" si="19"/>
        <v>12195889.87171407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6481134.3176067621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2262104.2447808408</v>
      </c>
      <c r="T40" s="77">
        <f t="shared" si="20"/>
        <v>22278.341931579278</v>
      </c>
      <c r="U40" s="77">
        <f t="shared" si="20"/>
        <v>26139.294179090186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177905371.16893154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354</v>
      </c>
      <c r="F42" s="80"/>
    </row>
    <row r="43" spans="1:28">
      <c r="A43" s="69" t="s">
        <v>1102</v>
      </c>
      <c r="C43" s="61" t="s">
        <v>969</v>
      </c>
      <c r="D43" s="61" t="s">
        <v>377</v>
      </c>
      <c r="E43" s="61" t="s">
        <v>1104</v>
      </c>
      <c r="F43" s="77">
        <f>VLOOKUP(C43,'Functional Assignment'!$C$2:$AP$780,'Functional Assignment'!$Z$2,)</f>
        <v>36360071.655844547</v>
      </c>
      <c r="G43" s="77">
        <f t="shared" ref="G43:Z43" si="21">IF(VLOOKUP($E43,$D$6:$AN$1131,3,)=0,0,(VLOOKUP($E43,$D$6:$AN$1131,G$2,)/VLOOKUP($E43,$D$6:$AN$1131,3,))*$F43)</f>
        <v>27946947.403324068</v>
      </c>
      <c r="H43" s="77">
        <f t="shared" si="21"/>
        <v>7033359.6870304905</v>
      </c>
      <c r="I43" s="77">
        <f t="shared" si="21"/>
        <v>0</v>
      </c>
      <c r="J43" s="77">
        <f t="shared" si="21"/>
        <v>0</v>
      </c>
      <c r="K43" s="77">
        <f t="shared" si="21"/>
        <v>1227014.662493892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152749.90299609301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36360071.655844547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353</v>
      </c>
      <c r="F45" s="80"/>
    </row>
    <row r="46" spans="1:28">
      <c r="A46" s="69" t="s">
        <v>1102</v>
      </c>
      <c r="C46" s="61" t="s">
        <v>969</v>
      </c>
      <c r="D46" s="61" t="s">
        <v>388</v>
      </c>
      <c r="E46" s="61" t="s">
        <v>1105</v>
      </c>
      <c r="F46" s="77">
        <f>VLOOKUP(C46,'Functional Assignment'!$C$2:$AP$780,'Functional Assignment'!$AA$2,)</f>
        <v>42176667.513765797</v>
      </c>
      <c r="G46" s="77">
        <f t="shared" ref="G46:Z46" si="22">IF(VLOOKUP($E46,$D$6:$AN$1131,3,)=0,0,(VLOOKUP($E46,$D$6:$AN$1131,G$2,)/VLOOKUP($E46,$D$6:$AN$1131,3,))*$F46)</f>
        <v>29520291.53314314</v>
      </c>
      <c r="H46" s="77">
        <f t="shared" si="22"/>
        <v>8679135.1573968995</v>
      </c>
      <c r="I46" s="77">
        <f t="shared" si="22"/>
        <v>0</v>
      </c>
      <c r="J46" s="77">
        <f t="shared" si="22"/>
        <v>337864.59483946633</v>
      </c>
      <c r="K46" s="77">
        <f t="shared" si="22"/>
        <v>2334770.0996709722</v>
      </c>
      <c r="L46" s="77">
        <f t="shared" si="22"/>
        <v>0</v>
      </c>
      <c r="M46" s="77">
        <f t="shared" si="22"/>
        <v>0</v>
      </c>
      <c r="N46" s="77">
        <f t="shared" si="22"/>
        <v>529063.87969147123</v>
      </c>
      <c r="O46" s="77">
        <f t="shared" si="22"/>
        <v>245966.33013183833</v>
      </c>
      <c r="P46" s="77">
        <f t="shared" si="22"/>
        <v>432795.6079834975</v>
      </c>
      <c r="Q46" s="77">
        <f t="shared" si="22"/>
        <v>5014.823504184561</v>
      </c>
      <c r="R46" s="77">
        <f t="shared" si="22"/>
        <v>5014.823504184561</v>
      </c>
      <c r="S46" s="77">
        <f t="shared" si="22"/>
        <v>0</v>
      </c>
      <c r="T46" s="77">
        <f t="shared" si="22"/>
        <v>13377.438825723835</v>
      </c>
      <c r="U46" s="77">
        <f t="shared" si="22"/>
        <v>73373.225074424685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42176667.513765812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371</v>
      </c>
      <c r="F48" s="80"/>
    </row>
    <row r="49" spans="1:28">
      <c r="A49" s="69" t="s">
        <v>1102</v>
      </c>
      <c r="C49" s="61" t="s">
        <v>969</v>
      </c>
      <c r="D49" s="61" t="s">
        <v>390</v>
      </c>
      <c r="E49" s="61" t="s">
        <v>1106</v>
      </c>
      <c r="F49" s="77">
        <f>VLOOKUP(C49,'Functional Assignment'!$C$2:$AP$780,'Functional Assignment'!$AB$2,)</f>
        <v>115567184.76096536</v>
      </c>
      <c r="G49" s="77">
        <f t="shared" ref="G49:Z49" si="23">IF(VLOOKUP($E49,$D$6:$AN$1131,3,)=0,0,(VLOOKUP($E49,$D$6:$AN$1131,G$2,)/VLOOKUP($E49,$D$6:$AN$1131,3,))*$F49)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115567184.76096536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115567184.76096536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1034</v>
      </c>
      <c r="F51" s="80"/>
    </row>
    <row r="52" spans="1:28">
      <c r="A52" s="69" t="s">
        <v>1102</v>
      </c>
      <c r="C52" s="61" t="s">
        <v>969</v>
      </c>
      <c r="D52" s="61" t="s">
        <v>391</v>
      </c>
      <c r="E52" s="61" t="s">
        <v>1107</v>
      </c>
      <c r="F52" s="77">
        <f>VLOOKUP(C52,'Functional Assignment'!$C$2:$AP$780,'Functional Assignment'!$AC$2,)</f>
        <v>0</v>
      </c>
      <c r="G52" s="77">
        <f t="shared" ref="G52:Z52" si="24">IF(VLOOKUP($E52,$D$6:$AN$1131,3,)=0,0,(VLOOKUP($E52,$D$6:$AN$1131,G$2,)/VLOOKUP($E52,$D$6:$AN$1131,3,))*$F52)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351</v>
      </c>
      <c r="F54" s="80"/>
    </row>
    <row r="55" spans="1:28">
      <c r="A55" s="69" t="s">
        <v>1102</v>
      </c>
      <c r="C55" s="61" t="s">
        <v>969</v>
      </c>
      <c r="D55" s="61" t="s">
        <v>392</v>
      </c>
      <c r="E55" s="61" t="s">
        <v>1108</v>
      </c>
      <c r="F55" s="77">
        <f>VLOOKUP(C55,'Functional Assignment'!$C$2:$AP$780,'Functional Assignment'!$AD$2,)</f>
        <v>0</v>
      </c>
      <c r="G55" s="77">
        <f t="shared" ref="G55:Z55" si="25">IF(VLOOKUP($E55,$D$6:$AN$1131,3,)=0,0,(VLOOKUP($E55,$D$6:$AN$1131,G$2,)/VLOOKUP($E55,$D$6:$AN$1131,3,))*$F55)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350</v>
      </c>
      <c r="F57" s="80"/>
    </row>
    <row r="58" spans="1:28">
      <c r="A58" s="69" t="s">
        <v>1102</v>
      </c>
      <c r="C58" s="61" t="s">
        <v>969</v>
      </c>
      <c r="D58" s="61" t="s">
        <v>393</v>
      </c>
      <c r="E58" s="61" t="s">
        <v>1108</v>
      </c>
      <c r="F58" s="77">
        <f>VLOOKUP(C58,'Functional Assignment'!$C$2:$AP$780,'Functional Assignment'!$AE$2,)</f>
        <v>0</v>
      </c>
      <c r="G58" s="77">
        <f t="shared" ref="G58:Z58" si="26">IF(VLOOKUP($E58,$D$6:$AN$1131,3,)=0,0,(VLOOKUP($E58,$D$6:$AN$1131,G$2,)/VLOOKUP($E58,$D$6:$AN$1131,3,))*$F58)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931</v>
      </c>
      <c r="D60" s="61" t="s">
        <v>1109</v>
      </c>
      <c r="F60" s="77">
        <f t="shared" ref="F60:Z60" si="27">F15+F21+F24+F27+F35+F40+F43+F46+F49+F52+F55+F58</f>
        <v>4331626533.7946157</v>
      </c>
      <c r="G60" s="77">
        <f t="shared" si="27"/>
        <v>2246486010.4591055</v>
      </c>
      <c r="H60" s="77">
        <f t="shared" si="27"/>
        <v>504463891.88307965</v>
      </c>
      <c r="I60" s="77">
        <f t="shared" si="27"/>
        <v>0</v>
      </c>
      <c r="J60" s="77">
        <f t="shared" si="27"/>
        <v>39060285.835766874</v>
      </c>
      <c r="K60" s="77">
        <f t="shared" si="27"/>
        <v>496815372.6006732</v>
      </c>
      <c r="L60" s="77">
        <f t="shared" si="27"/>
        <v>0</v>
      </c>
      <c r="M60" s="77">
        <f t="shared" si="27"/>
        <v>0</v>
      </c>
      <c r="N60" s="77">
        <f t="shared" si="27"/>
        <v>405935316.85489035</v>
      </c>
      <c r="O60" s="77">
        <f t="shared" si="27"/>
        <v>260522329.0978795</v>
      </c>
      <c r="P60" s="77">
        <f t="shared" si="27"/>
        <v>200778303.56449157</v>
      </c>
      <c r="Q60" s="77">
        <f t="shared" si="27"/>
        <v>25948662.541029517</v>
      </c>
      <c r="R60" s="77">
        <f t="shared" si="27"/>
        <v>11850477.471448375</v>
      </c>
      <c r="S60" s="77">
        <f t="shared" si="27"/>
        <v>138727453.6819343</v>
      </c>
      <c r="T60" s="77">
        <f t="shared" si="27"/>
        <v>325263.1892935221</v>
      </c>
      <c r="U60" s="77">
        <f t="shared" si="27"/>
        <v>713166.61502293416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4331626533.7946148</v>
      </c>
      <c r="AB60" s="59" t="str">
        <f>IF(ABS(F60-AA60)&lt;0.01,"ok","err")</f>
        <v>ok</v>
      </c>
    </row>
    <row r="65" spans="1:28" ht="15">
      <c r="A65" s="66" t="s">
        <v>981</v>
      </c>
    </row>
    <row r="67" spans="1:28" ht="15">
      <c r="A67" s="66" t="s">
        <v>364</v>
      </c>
    </row>
    <row r="68" spans="1:28">
      <c r="A68" s="69" t="s">
        <v>359</v>
      </c>
      <c r="C68" s="61" t="s">
        <v>982</v>
      </c>
      <c r="D68" s="61" t="s">
        <v>394</v>
      </c>
      <c r="E68" s="61" t="s">
        <v>869</v>
      </c>
      <c r="F68" s="77">
        <f>VLOOKUP(C68,'Functional Assignment'!$C$2:$AP$780,'Functional Assignment'!$H$2,)</f>
        <v>529045728.57886356</v>
      </c>
      <c r="G68" s="77">
        <f t="shared" ref="G68:P73" si="28">IF(VLOOKUP($E68,$D$6:$AN$1131,3,)=0,0,(VLOOKUP($E68,$D$6:$AN$1131,G$2,)/VLOOKUP($E68,$D$6:$AN$1131,3,))*$F68)</f>
        <v>238647707.06592533</v>
      </c>
      <c r="H68" s="77">
        <f t="shared" si="28"/>
        <v>60296500.423764504</v>
      </c>
      <c r="I68" s="77">
        <f t="shared" si="28"/>
        <v>0</v>
      </c>
      <c r="J68" s="77">
        <f t="shared" si="28"/>
        <v>6100257.9689591546</v>
      </c>
      <c r="K68" s="77">
        <f t="shared" si="28"/>
        <v>77243494.574920863</v>
      </c>
      <c r="L68" s="77">
        <f t="shared" si="28"/>
        <v>0</v>
      </c>
      <c r="M68" s="77">
        <f t="shared" si="28"/>
        <v>0</v>
      </c>
      <c r="N68" s="77">
        <f t="shared" si="28"/>
        <v>63807227.643174328</v>
      </c>
      <c r="O68" s="77">
        <f t="shared" si="28"/>
        <v>40655166.087794907</v>
      </c>
      <c r="P68" s="77">
        <f t="shared" si="28"/>
        <v>36164104.109013043</v>
      </c>
      <c r="Q68" s="77">
        <f t="shared" ref="Q68:Z73" si="29">IF(VLOOKUP($E68,$D$6:$AN$1131,3,)=0,0,(VLOOKUP($E68,$D$6:$AN$1131,Q$2,)/VLOOKUP($E68,$D$6:$AN$1131,3,))*$F68)</f>
        <v>4133548.658860262</v>
      </c>
      <c r="R68" s="77">
        <f t="shared" si="29"/>
        <v>1785675.8264855579</v>
      </c>
      <c r="S68" s="77">
        <f t="shared" si="29"/>
        <v>127454.73676877171</v>
      </c>
      <c r="T68" s="77">
        <f t="shared" si="29"/>
        <v>4123.4195465071825</v>
      </c>
      <c r="U68" s="77">
        <f t="shared" si="29"/>
        <v>80468.063650333759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529045728.5788635</v>
      </c>
      <c r="AB68" s="59" t="str">
        <f t="shared" ref="AB68:AB74" si="31">IF(ABS(F68-AA68)&lt;0.01,"ok","err")</f>
        <v>ok</v>
      </c>
    </row>
    <row r="69" spans="1:28">
      <c r="A69" s="69" t="s">
        <v>1265</v>
      </c>
      <c r="C69" s="61" t="s">
        <v>982</v>
      </c>
      <c r="D69" s="61" t="s">
        <v>395</v>
      </c>
      <c r="E69" s="61" t="s">
        <v>188</v>
      </c>
      <c r="F69" s="80">
        <f>VLOOKUP(C69,'Functional Assignment'!$C$2:$AP$780,'Functional Assignment'!$I$2,)</f>
        <v>554208886.27741861</v>
      </c>
      <c r="G69" s="80">
        <f t="shared" si="28"/>
        <v>249998578.1965355</v>
      </c>
      <c r="H69" s="80">
        <f t="shared" si="28"/>
        <v>63164400.62004783</v>
      </c>
      <c r="I69" s="80">
        <f t="shared" si="28"/>
        <v>0</v>
      </c>
      <c r="J69" s="80">
        <f t="shared" si="28"/>
        <v>6390406.3341810545</v>
      </c>
      <c r="K69" s="80">
        <f t="shared" si="28"/>
        <v>80917449.641900435</v>
      </c>
      <c r="L69" s="80">
        <f t="shared" si="28"/>
        <v>0</v>
      </c>
      <c r="M69" s="80">
        <f t="shared" si="28"/>
        <v>0</v>
      </c>
      <c r="N69" s="80">
        <f t="shared" si="28"/>
        <v>66842109.591481104</v>
      </c>
      <c r="O69" s="80">
        <f t="shared" si="28"/>
        <v>42588859.718166277</v>
      </c>
      <c r="P69" s="80">
        <f t="shared" si="28"/>
        <v>37884188.0366662</v>
      </c>
      <c r="Q69" s="80">
        <f t="shared" si="29"/>
        <v>4330153.8503187671</v>
      </c>
      <c r="R69" s="80">
        <f t="shared" si="29"/>
        <v>1870608.4513855919</v>
      </c>
      <c r="S69" s="80">
        <f t="shared" si="29"/>
        <v>133516.90392652494</v>
      </c>
      <c r="T69" s="80">
        <f t="shared" si="29"/>
        <v>4319.5429640136099</v>
      </c>
      <c r="U69" s="80">
        <f t="shared" si="29"/>
        <v>84295.389845311016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554208886.27741849</v>
      </c>
      <c r="AB69" s="59" t="str">
        <f t="shared" si="31"/>
        <v>ok</v>
      </c>
    </row>
    <row r="70" spans="1:28">
      <c r="A70" s="69" t="s">
        <v>1266</v>
      </c>
      <c r="C70" s="61" t="s">
        <v>982</v>
      </c>
      <c r="D70" s="61" t="s">
        <v>396</v>
      </c>
      <c r="E70" s="61" t="s">
        <v>191</v>
      </c>
      <c r="F70" s="80">
        <f>VLOOKUP(C70,'Functional Assignment'!$C$2:$AP$780,'Functional Assignment'!$J$2,)</f>
        <v>455557835.71623755</v>
      </c>
      <c r="G70" s="80">
        <f t="shared" si="28"/>
        <v>205497988.27718782</v>
      </c>
      <c r="H70" s="80">
        <f t="shared" si="28"/>
        <v>51920924.318017028</v>
      </c>
      <c r="I70" s="80">
        <f t="shared" si="28"/>
        <v>0</v>
      </c>
      <c r="J70" s="80">
        <f t="shared" si="28"/>
        <v>5252892.4581148028</v>
      </c>
      <c r="K70" s="80">
        <f t="shared" si="28"/>
        <v>66513870.750332236</v>
      </c>
      <c r="L70" s="80">
        <f t="shared" si="28"/>
        <v>0</v>
      </c>
      <c r="M70" s="80">
        <f t="shared" si="28"/>
        <v>0</v>
      </c>
      <c r="N70" s="80">
        <f t="shared" si="28"/>
        <v>54943988.691224642</v>
      </c>
      <c r="O70" s="80">
        <f t="shared" si="28"/>
        <v>35007899.077818893</v>
      </c>
      <c r="P70" s="80">
        <f t="shared" si="28"/>
        <v>31140674.819875821</v>
      </c>
      <c r="Q70" s="80">
        <f t="shared" si="29"/>
        <v>3559371.8635938908</v>
      </c>
      <c r="R70" s="80">
        <f t="shared" si="29"/>
        <v>1537633.8393086586</v>
      </c>
      <c r="S70" s="80">
        <f t="shared" si="29"/>
        <v>109750.44480584837</v>
      </c>
      <c r="T70" s="80">
        <f t="shared" si="29"/>
        <v>3550.6497508311795</v>
      </c>
      <c r="U70" s="80">
        <f t="shared" si="29"/>
        <v>69290.526207051676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455557835.71623755</v>
      </c>
      <c r="AB70" s="59" t="str">
        <f t="shared" si="31"/>
        <v>ok</v>
      </c>
    </row>
    <row r="71" spans="1:28">
      <c r="A71" s="69" t="s">
        <v>1267</v>
      </c>
      <c r="C71" s="61" t="s">
        <v>982</v>
      </c>
      <c r="D71" s="61" t="s">
        <v>397</v>
      </c>
      <c r="E71" s="61" t="s">
        <v>1100</v>
      </c>
      <c r="F71" s="80">
        <f>VLOOKUP(C71,'Functional Assignment'!$C$2:$AP$780,'Functional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hidden="1">
      <c r="A72" s="69" t="s">
        <v>1268</v>
      </c>
      <c r="C72" s="61" t="s">
        <v>982</v>
      </c>
      <c r="D72" s="61" t="s">
        <v>398</v>
      </c>
      <c r="E72" s="61" t="s">
        <v>1100</v>
      </c>
      <c r="F72" s="80">
        <f>VLOOKUP(C72,'Functional Assignment'!$C$2:$AP$780,'Functional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hidden="1">
      <c r="A73" s="69" t="s">
        <v>1268</v>
      </c>
      <c r="C73" s="61" t="s">
        <v>982</v>
      </c>
      <c r="D73" s="61" t="s">
        <v>399</v>
      </c>
      <c r="E73" s="61" t="s">
        <v>1100</v>
      </c>
      <c r="F73" s="80">
        <f>VLOOKUP(C73,'Functional Assignment'!$C$2:$AP$780,'Functional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>
      <c r="A74" s="61" t="s">
        <v>387</v>
      </c>
      <c r="D74" s="61" t="s">
        <v>400</v>
      </c>
      <c r="F74" s="77">
        <f>SUM(F68:F73)</f>
        <v>1538812450.5725198</v>
      </c>
      <c r="G74" s="77">
        <f t="shared" ref="G74:P74" si="32">SUM(G68:G73)</f>
        <v>694144273.53964865</v>
      </c>
      <c r="H74" s="77">
        <f t="shared" si="32"/>
        <v>175381825.36182937</v>
      </c>
      <c r="I74" s="77">
        <f t="shared" si="32"/>
        <v>0</v>
      </c>
      <c r="J74" s="77">
        <f t="shared" si="32"/>
        <v>17743556.761255011</v>
      </c>
      <c r="K74" s="77">
        <f t="shared" si="32"/>
        <v>224674814.96715355</v>
      </c>
      <c r="L74" s="77">
        <f t="shared" si="32"/>
        <v>0</v>
      </c>
      <c r="M74" s="77">
        <f t="shared" si="32"/>
        <v>0</v>
      </c>
      <c r="N74" s="77">
        <f t="shared" si="32"/>
        <v>185593325.92588007</v>
      </c>
      <c r="O74" s="77">
        <f>SUM(O68:O73)</f>
        <v>118251924.88378009</v>
      </c>
      <c r="P74" s="77">
        <f t="shared" si="32"/>
        <v>105188966.96555506</v>
      </c>
      <c r="Q74" s="77">
        <f t="shared" ref="Q74:W74" si="33">SUM(Q68:Q73)</f>
        <v>12023074.372772921</v>
      </c>
      <c r="R74" s="77">
        <f t="shared" si="33"/>
        <v>5193918.1171798082</v>
      </c>
      <c r="S74" s="77">
        <f t="shared" si="33"/>
        <v>370722.08550114499</v>
      </c>
      <c r="T74" s="77">
        <f t="shared" si="33"/>
        <v>11993.612261351973</v>
      </c>
      <c r="U74" s="77">
        <f t="shared" si="33"/>
        <v>234053.97970269647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1538812450.5725195</v>
      </c>
      <c r="AB74" s="59" t="str">
        <f t="shared" si="31"/>
        <v>ok</v>
      </c>
    </row>
    <row r="75" spans="1:28">
      <c r="F75" s="80"/>
      <c r="G75" s="80"/>
    </row>
    <row r="76" spans="1:28" ht="15">
      <c r="A76" s="66" t="s">
        <v>1140</v>
      </c>
      <c r="F76" s="80"/>
      <c r="G76" s="80"/>
    </row>
    <row r="77" spans="1:28">
      <c r="A77" s="69" t="s">
        <v>1377</v>
      </c>
      <c r="C77" s="61" t="s">
        <v>982</v>
      </c>
      <c r="D77" s="61" t="s">
        <v>401</v>
      </c>
      <c r="E77" s="61" t="s">
        <v>1381</v>
      </c>
      <c r="F77" s="77">
        <f>VLOOKUP(C77,'Functional Assignment'!$C$2:$AP$780,'Functional Assignment'!$N$2,)</f>
        <v>302524467.33177245</v>
      </c>
      <c r="G77" s="77">
        <f t="shared" ref="G77:P79" si="34">IF(VLOOKUP($E77,$D$6:$AN$1131,3,)=0,0,(VLOOKUP($E77,$D$6:$AN$1131,G$2,)/VLOOKUP($E77,$D$6:$AN$1131,3,))*$F77)</f>
        <v>134438213.69339359</v>
      </c>
      <c r="H77" s="77">
        <f t="shared" si="34"/>
        <v>38697665.588109575</v>
      </c>
      <c r="I77" s="77">
        <f t="shared" si="34"/>
        <v>0</v>
      </c>
      <c r="J77" s="77">
        <f t="shared" si="34"/>
        <v>3438321.473382046</v>
      </c>
      <c r="K77" s="77">
        <f t="shared" si="34"/>
        <v>39907250.139035232</v>
      </c>
      <c r="L77" s="77">
        <f t="shared" si="34"/>
        <v>0</v>
      </c>
      <c r="M77" s="77">
        <f t="shared" si="34"/>
        <v>0</v>
      </c>
      <c r="N77" s="77">
        <f t="shared" si="34"/>
        <v>36303419.982958779</v>
      </c>
      <c r="O77" s="77">
        <f t="shared" si="34"/>
        <v>21555065.48748225</v>
      </c>
      <c r="P77" s="77">
        <f t="shared" si="34"/>
        <v>22327117.630757362</v>
      </c>
      <c r="Q77" s="77">
        <f t="shared" ref="Q77:Z79" si="35">IF(VLOOKUP($E77,$D$6:$AN$1131,3,)=0,0,(VLOOKUP($E77,$D$6:$AN$1131,Q$2,)/VLOOKUP($E77,$D$6:$AN$1131,3,))*$F77)</f>
        <v>2250671.7618561531</v>
      </c>
      <c r="R77" s="77">
        <f t="shared" si="35"/>
        <v>1178033.980922045</v>
      </c>
      <c r="S77" s="77">
        <f t="shared" si="35"/>
        <v>2320675.1549732098</v>
      </c>
      <c r="T77" s="77">
        <f t="shared" si="35"/>
        <v>74221.890426888043</v>
      </c>
      <c r="U77" s="77">
        <f t="shared" si="35"/>
        <v>33810.548475373849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302524467.33177251</v>
      </c>
      <c r="AB77" s="59" t="str">
        <f>IF(ABS(F77-AA77)&lt;0.01,"ok","err")</f>
        <v>ok</v>
      </c>
    </row>
    <row r="78" spans="1:28" hidden="1">
      <c r="A78" s="69" t="s">
        <v>1378</v>
      </c>
      <c r="C78" s="61" t="s">
        <v>982</v>
      </c>
      <c r="D78" s="61" t="s">
        <v>402</v>
      </c>
      <c r="E78" s="61" t="s">
        <v>188</v>
      </c>
      <c r="F78" s="80">
        <f>VLOOKUP(C78,'Functional Assignment'!$C$2:$AP$780,'Functional Assignment'!$O$2,)</f>
        <v>0</v>
      </c>
      <c r="G78" s="80">
        <f t="shared" si="34"/>
        <v>0</v>
      </c>
      <c r="H78" s="80">
        <f t="shared" si="34"/>
        <v>0</v>
      </c>
      <c r="I78" s="80">
        <f t="shared" si="34"/>
        <v>0</v>
      </c>
      <c r="J78" s="80">
        <f t="shared" si="34"/>
        <v>0</v>
      </c>
      <c r="K78" s="80">
        <f t="shared" si="34"/>
        <v>0</v>
      </c>
      <c r="L78" s="80">
        <f t="shared" si="34"/>
        <v>0</v>
      </c>
      <c r="M78" s="80">
        <f t="shared" si="34"/>
        <v>0</v>
      </c>
      <c r="N78" s="80">
        <f t="shared" si="34"/>
        <v>0</v>
      </c>
      <c r="O78" s="80">
        <f t="shared" si="34"/>
        <v>0</v>
      </c>
      <c r="P78" s="80">
        <f t="shared" si="34"/>
        <v>0</v>
      </c>
      <c r="Q78" s="80">
        <f t="shared" si="35"/>
        <v>0</v>
      </c>
      <c r="R78" s="80">
        <f t="shared" si="35"/>
        <v>0</v>
      </c>
      <c r="S78" s="80">
        <f t="shared" si="35"/>
        <v>0</v>
      </c>
      <c r="T78" s="80">
        <f t="shared" si="35"/>
        <v>0</v>
      </c>
      <c r="U78" s="80">
        <f t="shared" si="35"/>
        <v>0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0</v>
      </c>
      <c r="AB78" s="59" t="str">
        <f>IF(ABS(F78-AA78)&lt;0.01,"ok","err")</f>
        <v>ok</v>
      </c>
    </row>
    <row r="79" spans="1:28" hidden="1">
      <c r="A79" s="69" t="s">
        <v>1378</v>
      </c>
      <c r="C79" s="61" t="s">
        <v>982</v>
      </c>
      <c r="D79" s="61" t="s">
        <v>403</v>
      </c>
      <c r="E79" s="61" t="s">
        <v>191</v>
      </c>
      <c r="F79" s="80">
        <f>VLOOKUP(C79,'Functional Assignment'!$C$2:$AP$780,'Functional Assignment'!$P$2,)</f>
        <v>0</v>
      </c>
      <c r="G79" s="80">
        <f t="shared" si="34"/>
        <v>0</v>
      </c>
      <c r="H79" s="80">
        <f t="shared" si="34"/>
        <v>0</v>
      </c>
      <c r="I79" s="80">
        <f t="shared" si="34"/>
        <v>0</v>
      </c>
      <c r="J79" s="80">
        <f t="shared" si="34"/>
        <v>0</v>
      </c>
      <c r="K79" s="80">
        <f t="shared" si="34"/>
        <v>0</v>
      </c>
      <c r="L79" s="80">
        <f t="shared" si="34"/>
        <v>0</v>
      </c>
      <c r="M79" s="80">
        <f t="shared" si="34"/>
        <v>0</v>
      </c>
      <c r="N79" s="80">
        <f t="shared" si="34"/>
        <v>0</v>
      </c>
      <c r="O79" s="80">
        <f t="shared" si="34"/>
        <v>0</v>
      </c>
      <c r="P79" s="80">
        <f t="shared" si="34"/>
        <v>0</v>
      </c>
      <c r="Q79" s="80">
        <f t="shared" si="35"/>
        <v>0</v>
      </c>
      <c r="R79" s="80">
        <f t="shared" si="35"/>
        <v>0</v>
      </c>
      <c r="S79" s="80">
        <f t="shared" si="35"/>
        <v>0</v>
      </c>
      <c r="T79" s="80">
        <f t="shared" si="35"/>
        <v>0</v>
      </c>
      <c r="U79" s="80">
        <f t="shared" si="35"/>
        <v>0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0</v>
      </c>
      <c r="AB79" s="59" t="str">
        <f>IF(ABS(F79-AA79)&lt;0.01,"ok","err")</f>
        <v>ok</v>
      </c>
    </row>
    <row r="80" spans="1:28" hidden="1">
      <c r="A80" s="61" t="s">
        <v>1142</v>
      </c>
      <c r="D80" s="61" t="s">
        <v>404</v>
      </c>
      <c r="F80" s="77">
        <f>SUM(F77:F79)</f>
        <v>302524467.33177245</v>
      </c>
      <c r="G80" s="77">
        <f t="shared" ref="G80:W80" si="36">SUM(G77:G79)</f>
        <v>134438213.69339359</v>
      </c>
      <c r="H80" s="77">
        <f t="shared" si="36"/>
        <v>38697665.588109575</v>
      </c>
      <c r="I80" s="77">
        <f t="shared" si="36"/>
        <v>0</v>
      </c>
      <c r="J80" s="77">
        <f t="shared" si="36"/>
        <v>3438321.473382046</v>
      </c>
      <c r="K80" s="77">
        <f t="shared" si="36"/>
        <v>39907250.139035232</v>
      </c>
      <c r="L80" s="77">
        <f t="shared" si="36"/>
        <v>0</v>
      </c>
      <c r="M80" s="77">
        <f t="shared" si="36"/>
        <v>0</v>
      </c>
      <c r="N80" s="77">
        <f t="shared" si="36"/>
        <v>36303419.982958779</v>
      </c>
      <c r="O80" s="77">
        <f>SUM(O77:O79)</f>
        <v>21555065.48748225</v>
      </c>
      <c r="P80" s="77">
        <f t="shared" si="36"/>
        <v>22327117.630757362</v>
      </c>
      <c r="Q80" s="77">
        <f t="shared" si="36"/>
        <v>2250671.7618561531</v>
      </c>
      <c r="R80" s="77">
        <f t="shared" si="36"/>
        <v>1178033.980922045</v>
      </c>
      <c r="S80" s="77">
        <f t="shared" si="36"/>
        <v>2320675.1549732098</v>
      </c>
      <c r="T80" s="77">
        <f t="shared" si="36"/>
        <v>74221.890426888043</v>
      </c>
      <c r="U80" s="77">
        <f t="shared" si="36"/>
        <v>33810.548475373849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302524467.33177251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348</v>
      </c>
      <c r="F82" s="80"/>
      <c r="G82" s="80"/>
    </row>
    <row r="83" spans="1:28">
      <c r="A83" s="69" t="s">
        <v>372</v>
      </c>
      <c r="C83" s="61" t="s">
        <v>982</v>
      </c>
      <c r="D83" s="61" t="s">
        <v>405</v>
      </c>
      <c r="E83" s="61" t="s">
        <v>1382</v>
      </c>
      <c r="F83" s="77">
        <f>VLOOKUP(C83,'Functional Assignment'!$C$2:$AP$780,'Functional Assignment'!$Q$2,)</f>
        <v>0</v>
      </c>
      <c r="G83" s="77">
        <f t="shared" ref="G83:Z83" si="37">IF(VLOOKUP($E83,$D$6:$AN$1131,3,)=0,0,(VLOOKUP($E83,$D$6:$AN$1131,G$2,)/VLOOKUP($E83,$D$6:$AN$1131,3,))*$F83)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349</v>
      </c>
      <c r="F85" s="80"/>
      <c r="G85" s="80"/>
    </row>
    <row r="86" spans="1:28">
      <c r="A86" s="69" t="s">
        <v>374</v>
      </c>
      <c r="C86" s="61" t="s">
        <v>982</v>
      </c>
      <c r="D86" s="61" t="s">
        <v>406</v>
      </c>
      <c r="E86" s="61" t="s">
        <v>1382</v>
      </c>
      <c r="F86" s="77">
        <f>VLOOKUP(C86,'Functional Assignment'!$C$2:$AP$780,'Functional Assignment'!$R$2,)</f>
        <v>104174581.44635636</v>
      </c>
      <c r="G86" s="77">
        <f t="shared" ref="G86:Z86" si="38">IF(VLOOKUP($E86,$D$6:$AN$1131,3,)=0,0,(VLOOKUP($E86,$D$6:$AN$1131,G$2,)/VLOOKUP($E86,$D$6:$AN$1131,3,))*$F86)</f>
        <v>49982787.691779345</v>
      </c>
      <c r="H86" s="77">
        <f t="shared" si="38"/>
        <v>14387406.304499311</v>
      </c>
      <c r="I86" s="77">
        <f t="shared" si="38"/>
        <v>0</v>
      </c>
      <c r="J86" s="77">
        <f t="shared" si="38"/>
        <v>1278333.6485865994</v>
      </c>
      <c r="K86" s="77">
        <f t="shared" si="38"/>
        <v>14837117.782681087</v>
      </c>
      <c r="L86" s="77">
        <f t="shared" si="38"/>
        <v>0</v>
      </c>
      <c r="M86" s="77">
        <f t="shared" si="38"/>
        <v>0</v>
      </c>
      <c r="N86" s="77">
        <f t="shared" si="38"/>
        <v>13497249.655756893</v>
      </c>
      <c r="O86" s="77">
        <f t="shared" si="38"/>
        <v>8013958.4746369543</v>
      </c>
      <c r="P86" s="77">
        <f t="shared" si="38"/>
        <v>0</v>
      </c>
      <c r="Q86" s="77">
        <f t="shared" si="38"/>
        <v>836777.32503423735</v>
      </c>
      <c r="R86" s="77">
        <f t="shared" si="38"/>
        <v>437981.29076912673</v>
      </c>
      <c r="S86" s="77">
        <f t="shared" si="38"/>
        <v>862803.88876003877</v>
      </c>
      <c r="T86" s="77">
        <f t="shared" si="38"/>
        <v>27594.958973126839</v>
      </c>
      <c r="U86" s="77">
        <f t="shared" si="38"/>
        <v>12570.424879650645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104174581.44635639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373</v>
      </c>
      <c r="F88" s="80"/>
    </row>
    <row r="89" spans="1:28">
      <c r="A89" s="69" t="s">
        <v>623</v>
      </c>
      <c r="C89" s="61" t="s">
        <v>982</v>
      </c>
      <c r="D89" s="61" t="s">
        <v>407</v>
      </c>
      <c r="E89" s="61" t="s">
        <v>1382</v>
      </c>
      <c r="F89" s="77">
        <f>VLOOKUP(C89,'Functional Assignment'!$C$2:$AP$780,'Functional Assignment'!$S$2,)</f>
        <v>0</v>
      </c>
      <c r="G89" s="77">
        <f t="shared" ref="G89:P93" si="39">IF(VLOOKUP($E89,$D$6:$AN$1131,3,)=0,0,(VLOOKUP($E89,$D$6:$AN$1131,G$2,)/VLOOKUP($E89,$D$6:$AN$1131,3,))*$F89)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IF(VLOOKUP($E89,$D$6:$AN$1131,3,)=0,0,(VLOOKUP($E89,$D$6:$AN$1131,Q$2,)/VLOOKUP($E89,$D$6:$AN$1131,3,))*$F89)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>
      <c r="A90" s="69" t="s">
        <v>624</v>
      </c>
      <c r="C90" s="61" t="s">
        <v>982</v>
      </c>
      <c r="D90" s="61" t="s">
        <v>408</v>
      </c>
      <c r="E90" s="61" t="s">
        <v>1382</v>
      </c>
      <c r="F90" s="80">
        <f>VLOOKUP(C90,'Functional Assignment'!$C$2:$AP$780,'Functional Assignment'!$T$2,)</f>
        <v>178149249.67691696</v>
      </c>
      <c r="G90" s="80">
        <f t="shared" si="39"/>
        <v>85475708.185459405</v>
      </c>
      <c r="H90" s="80">
        <f t="shared" si="39"/>
        <v>24603944.670162577</v>
      </c>
      <c r="I90" s="80">
        <f t="shared" si="39"/>
        <v>0</v>
      </c>
      <c r="J90" s="80">
        <f t="shared" si="39"/>
        <v>2186082.0285582594</v>
      </c>
      <c r="K90" s="80">
        <f t="shared" si="39"/>
        <v>25372997.555202827</v>
      </c>
      <c r="L90" s="80">
        <f t="shared" si="39"/>
        <v>0</v>
      </c>
      <c r="M90" s="80">
        <f t="shared" si="39"/>
        <v>0</v>
      </c>
      <c r="N90" s="80">
        <f t="shared" si="39"/>
        <v>23081685.239247173</v>
      </c>
      <c r="O90" s="80">
        <f t="shared" si="39"/>
        <v>13704693.307874849</v>
      </c>
      <c r="P90" s="80">
        <f t="shared" si="39"/>
        <v>0</v>
      </c>
      <c r="Q90" s="80">
        <f t="shared" si="40"/>
        <v>1430975.2967740002</v>
      </c>
      <c r="R90" s="80">
        <f t="shared" si="40"/>
        <v>748993.05799684196</v>
      </c>
      <c r="S90" s="80">
        <f t="shared" si="40"/>
        <v>1475483.3978390144</v>
      </c>
      <c r="T90" s="80">
        <f t="shared" si="40"/>
        <v>47190.218263169205</v>
      </c>
      <c r="U90" s="80">
        <f t="shared" si="40"/>
        <v>21496.71953885386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178149249.67691699</v>
      </c>
      <c r="AB90" s="59" t="str">
        <f t="shared" si="42"/>
        <v>ok</v>
      </c>
    </row>
    <row r="91" spans="1:28">
      <c r="A91" s="69" t="s">
        <v>625</v>
      </c>
      <c r="C91" s="61" t="s">
        <v>982</v>
      </c>
      <c r="D91" s="61" t="s">
        <v>409</v>
      </c>
      <c r="E91" s="61" t="s">
        <v>698</v>
      </c>
      <c r="F91" s="80">
        <f>VLOOKUP(C91,'Functional Assignment'!$C$2:$AP$780,'Functional Assignment'!$U$2,)</f>
        <v>283501668.54196858</v>
      </c>
      <c r="G91" s="80">
        <f t="shared" si="39"/>
        <v>244410540.81329033</v>
      </c>
      <c r="H91" s="80">
        <f t="shared" si="39"/>
        <v>30365617.366872516</v>
      </c>
      <c r="I91" s="80">
        <f t="shared" si="39"/>
        <v>0</v>
      </c>
      <c r="J91" s="80">
        <f t="shared" si="39"/>
        <v>48330.447430528577</v>
      </c>
      <c r="K91" s="80">
        <f t="shared" si="39"/>
        <v>1895739.4252553396</v>
      </c>
      <c r="L91" s="80">
        <f t="shared" si="39"/>
        <v>0</v>
      </c>
      <c r="M91" s="80">
        <f t="shared" si="39"/>
        <v>0</v>
      </c>
      <c r="N91" s="80">
        <f t="shared" si="39"/>
        <v>70817.530610010625</v>
      </c>
      <c r="O91" s="80">
        <f t="shared" si="39"/>
        <v>185266.71515035955</v>
      </c>
      <c r="P91" s="80">
        <f t="shared" si="39"/>
        <v>0</v>
      </c>
      <c r="Q91" s="80">
        <f t="shared" si="40"/>
        <v>671.25621431289687</v>
      </c>
      <c r="R91" s="80">
        <f t="shared" si="40"/>
        <v>671.25621431289687</v>
      </c>
      <c r="S91" s="80">
        <f t="shared" si="40"/>
        <v>6444208.8254514355</v>
      </c>
      <c r="T91" s="80">
        <f t="shared" si="40"/>
        <v>12306.363929069776</v>
      </c>
      <c r="U91" s="80">
        <f t="shared" si="40"/>
        <v>67498.541550352413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283501668.54196864</v>
      </c>
      <c r="AB91" s="59" t="str">
        <f t="shared" si="42"/>
        <v>ok</v>
      </c>
    </row>
    <row r="92" spans="1:28">
      <c r="A92" s="69" t="s">
        <v>626</v>
      </c>
      <c r="C92" s="61" t="s">
        <v>982</v>
      </c>
      <c r="D92" s="61" t="s">
        <v>410</v>
      </c>
      <c r="E92" s="61" t="s">
        <v>678</v>
      </c>
      <c r="F92" s="80">
        <f>VLOOKUP(C92,'Functional Assignment'!$C$2:$AP$780,'Functional Assignment'!$V$2,)</f>
        <v>48973898.223828338</v>
      </c>
      <c r="G92" s="80">
        <f t="shared" si="39"/>
        <v>41099288.097833708</v>
      </c>
      <c r="H92" s="80">
        <f t="shared" si="39"/>
        <v>7520984.3507437622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337895.98750063113</v>
      </c>
      <c r="T92" s="80">
        <f t="shared" si="40"/>
        <v>10806.889066835593</v>
      </c>
      <c r="U92" s="80">
        <f t="shared" si="40"/>
        <v>4922.8986834033167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48973898.223828346</v>
      </c>
      <c r="AB92" s="59" t="str">
        <f t="shared" si="42"/>
        <v>ok</v>
      </c>
    </row>
    <row r="93" spans="1:28">
      <c r="A93" s="69" t="s">
        <v>627</v>
      </c>
      <c r="C93" s="61" t="s">
        <v>982</v>
      </c>
      <c r="D93" s="61" t="s">
        <v>411</v>
      </c>
      <c r="E93" s="61" t="s">
        <v>697</v>
      </c>
      <c r="F93" s="80">
        <f>VLOOKUP(C93,'Functional Assignment'!$C$2:$AP$780,'Functional Assignment'!$W$2,)</f>
        <v>74423481.485552132</v>
      </c>
      <c r="G93" s="80">
        <f t="shared" si="39"/>
        <v>64663605.555280991</v>
      </c>
      <c r="H93" s="80">
        <f t="shared" si="39"/>
        <v>8033820.052605778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1704941.9236103299</v>
      </c>
      <c r="T93" s="80">
        <f t="shared" si="40"/>
        <v>3255.890111290299</v>
      </c>
      <c r="U93" s="80">
        <f t="shared" si="40"/>
        <v>17858.06394374376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74423481.485552132</v>
      </c>
      <c r="AB93" s="59" t="str">
        <f t="shared" si="42"/>
        <v>ok</v>
      </c>
    </row>
    <row r="94" spans="1:28">
      <c r="A94" s="61" t="s">
        <v>378</v>
      </c>
      <c r="D94" s="61" t="s">
        <v>412</v>
      </c>
      <c r="F94" s="77">
        <f>SUM(F89:F93)</f>
        <v>585048297.92826605</v>
      </c>
      <c r="G94" s="77">
        <f t="shared" ref="G94:W94" si="43">SUM(G89:G93)</f>
        <v>435649142.65186441</v>
      </c>
      <c r="H94" s="77">
        <f t="shared" si="43"/>
        <v>70524366.440384626</v>
      </c>
      <c r="I94" s="77">
        <f t="shared" si="43"/>
        <v>0</v>
      </c>
      <c r="J94" s="77">
        <f t="shared" si="43"/>
        <v>2234412.4759887881</v>
      </c>
      <c r="K94" s="77">
        <f t="shared" si="43"/>
        <v>27268736.980458166</v>
      </c>
      <c r="L94" s="77">
        <f t="shared" si="43"/>
        <v>0</v>
      </c>
      <c r="M94" s="77">
        <f t="shared" si="43"/>
        <v>0</v>
      </c>
      <c r="N94" s="77">
        <f t="shared" si="43"/>
        <v>23152502.769857183</v>
      </c>
      <c r="O94" s="77">
        <f>SUM(O89:O93)</f>
        <v>13889960.023025209</v>
      </c>
      <c r="P94" s="77">
        <f t="shared" si="43"/>
        <v>0</v>
      </c>
      <c r="Q94" s="77">
        <f t="shared" si="43"/>
        <v>1431646.5529883131</v>
      </c>
      <c r="R94" s="77">
        <f t="shared" si="43"/>
        <v>749664.31421115482</v>
      </c>
      <c r="S94" s="77">
        <f t="shared" si="43"/>
        <v>9962530.1344014108</v>
      </c>
      <c r="T94" s="77">
        <f t="shared" si="43"/>
        <v>73559.361370364873</v>
      </c>
      <c r="U94" s="77">
        <f t="shared" si="43"/>
        <v>111776.22371635334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585048297.92826593</v>
      </c>
      <c r="AB94" s="59" t="str">
        <f t="shared" si="42"/>
        <v>ok</v>
      </c>
    </row>
    <row r="95" spans="1:28">
      <c r="F95" s="80"/>
    </row>
    <row r="96" spans="1:28" ht="15">
      <c r="A96" s="66" t="s">
        <v>634</v>
      </c>
      <c r="F96" s="80"/>
    </row>
    <row r="97" spans="1:28">
      <c r="A97" s="69" t="s">
        <v>1099</v>
      </c>
      <c r="C97" s="61" t="s">
        <v>982</v>
      </c>
      <c r="D97" s="61" t="s">
        <v>413</v>
      </c>
      <c r="E97" s="61" t="s">
        <v>1346</v>
      </c>
      <c r="F97" s="77">
        <f>VLOOKUP(C97,'Functional Assignment'!$C$2:$AP$780,'Functional Assignment'!$X$2,)</f>
        <v>67696703.063986972</v>
      </c>
      <c r="G97" s="77">
        <f t="shared" ref="G97:P98" si="44">IF(VLOOKUP($E97,$D$6:$AN$1131,3,)=0,0,(VLOOKUP($E97,$D$6:$AN$1131,G$2,)/VLOOKUP($E97,$D$6:$AN$1131,3,))*$F97)</f>
        <v>46968022.100444913</v>
      </c>
      <c r="H97" s="77">
        <f t="shared" si="44"/>
        <v>8594936.2033220343</v>
      </c>
      <c r="I97" s="77">
        <f t="shared" si="44"/>
        <v>0</v>
      </c>
      <c r="J97" s="77">
        <f t="shared" si="44"/>
        <v>0</v>
      </c>
      <c r="K97" s="77">
        <f t="shared" si="44"/>
        <v>7569621.1862765858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4160002.1403134293</v>
      </c>
      <c r="P97" s="77">
        <f t="shared" si="44"/>
        <v>0</v>
      </c>
      <c r="Q97" s="77">
        <f t="shared" ref="Q97:Z98" si="45">IF(VLOOKUP($E97,$D$6:$AN$1131,3,)=0,0,(VLOOKUP($E97,$D$6:$AN$1131,Q$2,)/VLOOKUP($E97,$D$6:$AN$1131,3,))*$F97)</f>
        <v>0</v>
      </c>
      <c r="R97" s="77">
        <f t="shared" si="45"/>
        <v>0</v>
      </c>
      <c r="S97" s="77">
        <f t="shared" si="45"/>
        <v>386145.52570359007</v>
      </c>
      <c r="T97" s="77">
        <f t="shared" si="45"/>
        <v>12350.048577969026</v>
      </c>
      <c r="U97" s="77">
        <f t="shared" si="45"/>
        <v>5625.8593484621797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67696703.063986987</v>
      </c>
      <c r="AB97" s="59" t="str">
        <f>IF(ABS(F97-AA97)&lt;0.01,"ok","err")</f>
        <v>ok</v>
      </c>
    </row>
    <row r="98" spans="1:28">
      <c r="A98" s="69" t="s">
        <v>1102</v>
      </c>
      <c r="C98" s="61" t="s">
        <v>982</v>
      </c>
      <c r="D98" s="61" t="s">
        <v>414</v>
      </c>
      <c r="E98" s="61" t="s">
        <v>1344</v>
      </c>
      <c r="F98" s="80">
        <f>VLOOKUP(C98,'Functional Assignment'!$C$2:$AP$780,'Functional Assignment'!$Y$2,)</f>
        <v>47343848.651802614</v>
      </c>
      <c r="G98" s="80">
        <f t="shared" si="44"/>
        <v>40833112.956664898</v>
      </c>
      <c r="H98" s="80">
        <f t="shared" si="44"/>
        <v>5073114.6038728766</v>
      </c>
      <c r="I98" s="80">
        <f t="shared" si="44"/>
        <v>0</v>
      </c>
      <c r="J98" s="80">
        <f t="shared" si="44"/>
        <v>0</v>
      </c>
      <c r="K98" s="80">
        <f t="shared" si="44"/>
        <v>316716.8724813239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30952.088570615073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1076619.306231193</v>
      </c>
      <c r="T98" s="80">
        <f t="shared" si="45"/>
        <v>2055.9962214780539</v>
      </c>
      <c r="U98" s="80">
        <f t="shared" si="45"/>
        <v>11276.827760228116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47343848.651802607</v>
      </c>
      <c r="AB98" s="59" t="str">
        <f>IF(ABS(F98-AA98)&lt;0.01,"ok","err")</f>
        <v>ok</v>
      </c>
    </row>
    <row r="99" spans="1:28">
      <c r="A99" s="61" t="s">
        <v>712</v>
      </c>
      <c r="D99" s="61" t="s">
        <v>415</v>
      </c>
      <c r="F99" s="77">
        <f>F97+F98</f>
        <v>115040551.71578959</v>
      </c>
      <c r="G99" s="77">
        <f t="shared" ref="G99:W99" si="46">G97+G98</f>
        <v>87801135.057109803</v>
      </c>
      <c r="H99" s="77">
        <f t="shared" si="46"/>
        <v>13668050.807194911</v>
      </c>
      <c r="I99" s="77">
        <f t="shared" si="46"/>
        <v>0</v>
      </c>
      <c r="J99" s="77">
        <f t="shared" si="46"/>
        <v>0</v>
      </c>
      <c r="K99" s="77">
        <f t="shared" si="46"/>
        <v>7886338.0587579096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4190954.2288840446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1462764.8319347831</v>
      </c>
      <c r="T99" s="77">
        <f t="shared" si="46"/>
        <v>14406.04479944708</v>
      </c>
      <c r="U99" s="77">
        <f t="shared" si="46"/>
        <v>16902.687108690297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115040551.7157896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354</v>
      </c>
      <c r="F101" s="80"/>
    </row>
    <row r="102" spans="1:28">
      <c r="A102" s="69" t="s">
        <v>1102</v>
      </c>
      <c r="C102" s="61" t="s">
        <v>982</v>
      </c>
      <c r="D102" s="61" t="s">
        <v>416</v>
      </c>
      <c r="E102" s="61" t="s">
        <v>1104</v>
      </c>
      <c r="F102" s="77">
        <f>VLOOKUP(C102,'Functional Assignment'!$C$2:$AP$780,'Functional Assignment'!$Z$2,)</f>
        <v>23511840.458948858</v>
      </c>
      <c r="G102" s="77">
        <f t="shared" ref="G102:Z102" si="47">IF(VLOOKUP($E102,$D$6:$AN$1131,3,)=0,0,(VLOOKUP($E102,$D$6:$AN$1131,G$2,)/VLOOKUP($E102,$D$6:$AN$1131,3,))*$F102)</f>
        <v>18071586.18610616</v>
      </c>
      <c r="H102" s="77">
        <f t="shared" si="47"/>
        <v>4548044.690810781</v>
      </c>
      <c r="I102" s="77">
        <f t="shared" si="47"/>
        <v>0</v>
      </c>
      <c r="J102" s="77">
        <f t="shared" si="47"/>
        <v>0</v>
      </c>
      <c r="K102" s="77">
        <f t="shared" si="47"/>
        <v>793435.5371576969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98774.044874214756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23511840.458948851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353</v>
      </c>
      <c r="F104" s="80"/>
    </row>
    <row r="105" spans="1:28">
      <c r="A105" s="69" t="s">
        <v>1102</v>
      </c>
      <c r="C105" s="61" t="s">
        <v>982</v>
      </c>
      <c r="D105" s="61" t="s">
        <v>417</v>
      </c>
      <c r="E105" s="61" t="s">
        <v>1105</v>
      </c>
      <c r="F105" s="77">
        <f>VLOOKUP(C105,'Functional Assignment'!$C$2:$AP$780,'Functional Assignment'!$AA$2,)</f>
        <v>27273078.201274503</v>
      </c>
      <c r="G105" s="77">
        <f t="shared" ref="G105:Z105" si="48">IF(VLOOKUP($E105,$D$6:$AN$1131,3,)=0,0,(VLOOKUP($E105,$D$6:$AN$1131,G$2,)/VLOOKUP($E105,$D$6:$AN$1131,3,))*$F105)</f>
        <v>19088971.864480749</v>
      </c>
      <c r="H105" s="77">
        <f t="shared" si="48"/>
        <v>5612267.2989718588</v>
      </c>
      <c r="I105" s="77">
        <f t="shared" si="48"/>
        <v>0</v>
      </c>
      <c r="J105" s="77">
        <f t="shared" si="48"/>
        <v>218476.42451815779</v>
      </c>
      <c r="K105" s="77">
        <f t="shared" si="48"/>
        <v>1509753.407841929</v>
      </c>
      <c r="L105" s="77">
        <f t="shared" si="48"/>
        <v>0</v>
      </c>
      <c r="M105" s="77">
        <f t="shared" si="48"/>
        <v>0</v>
      </c>
      <c r="N105" s="77">
        <f t="shared" si="48"/>
        <v>342113.33931457996</v>
      </c>
      <c r="O105" s="77">
        <f t="shared" si="48"/>
        <v>159051.42231487724</v>
      </c>
      <c r="P105" s="77">
        <f t="shared" si="48"/>
        <v>279862.52014456905</v>
      </c>
      <c r="Q105" s="77">
        <f t="shared" si="48"/>
        <v>3242.7804674367767</v>
      </c>
      <c r="R105" s="77">
        <f t="shared" si="48"/>
        <v>3242.7804674367767</v>
      </c>
      <c r="S105" s="77">
        <f t="shared" si="48"/>
        <v>0</v>
      </c>
      <c r="T105" s="77">
        <f t="shared" si="48"/>
        <v>8650.3736955427466</v>
      </c>
      <c r="U105" s="77">
        <f t="shared" si="48"/>
        <v>47445.989057370825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27273078.201274503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371</v>
      </c>
      <c r="F107" s="80"/>
    </row>
    <row r="108" spans="1:28">
      <c r="A108" s="69" t="s">
        <v>1102</v>
      </c>
      <c r="C108" s="61" t="s">
        <v>982</v>
      </c>
      <c r="D108" s="61" t="s">
        <v>418</v>
      </c>
      <c r="E108" s="61" t="s">
        <v>1106</v>
      </c>
      <c r="F108" s="77">
        <f>VLOOKUP(C108,'Functional Assignment'!$C$2:$AP$780,'Functional Assignment'!$AB$2,)</f>
        <v>74730249.051996008</v>
      </c>
      <c r="G108" s="77">
        <f t="shared" ref="G108:Z108" si="49">IF(VLOOKUP($E108,$D$6:$AN$1131,3,)=0,0,(VLOOKUP($E108,$D$6:$AN$1131,G$2,)/VLOOKUP($E108,$D$6:$AN$1131,3,))*$F108)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74730249.051996008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74730249.051996008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1034</v>
      </c>
      <c r="F110" s="80"/>
    </row>
    <row r="111" spans="1:28">
      <c r="A111" s="69" t="s">
        <v>1102</v>
      </c>
      <c r="C111" s="61" t="s">
        <v>982</v>
      </c>
      <c r="D111" s="61" t="s">
        <v>419</v>
      </c>
      <c r="E111" s="61" t="s">
        <v>1107</v>
      </c>
      <c r="F111" s="77">
        <f>VLOOKUP(C111,'Functional Assignment'!$C$2:$AP$780,'Functional Assignment'!$AC$2,)</f>
        <v>0</v>
      </c>
      <c r="G111" s="77">
        <f t="shared" ref="G111:Z111" si="50">IF(VLOOKUP($E111,$D$6:$AN$1131,3,)=0,0,(VLOOKUP($E111,$D$6:$AN$1131,G$2,)/VLOOKUP($E111,$D$6:$AN$1131,3,))*$F111)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351</v>
      </c>
      <c r="F113" s="80"/>
    </row>
    <row r="114" spans="1:28">
      <c r="A114" s="69" t="s">
        <v>1102</v>
      </c>
      <c r="C114" s="61" t="s">
        <v>982</v>
      </c>
      <c r="D114" s="61" t="s">
        <v>420</v>
      </c>
      <c r="E114" s="61" t="s">
        <v>1108</v>
      </c>
      <c r="F114" s="77">
        <f>VLOOKUP(C114,'Functional Assignment'!$C$2:$AP$780,'Functional Assignment'!$AD$2,)</f>
        <v>0</v>
      </c>
      <c r="G114" s="77">
        <f t="shared" ref="G114:Z114" si="51">IF(VLOOKUP($E114,$D$6:$AN$1131,3,)=0,0,(VLOOKUP($E114,$D$6:$AN$1131,G$2,)/VLOOKUP($E114,$D$6:$AN$1131,3,))*$F114)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350</v>
      </c>
      <c r="F116" s="80"/>
    </row>
    <row r="117" spans="1:28">
      <c r="A117" s="69" t="s">
        <v>1102</v>
      </c>
      <c r="C117" s="61" t="s">
        <v>982</v>
      </c>
      <c r="D117" s="61" t="s">
        <v>421</v>
      </c>
      <c r="E117" s="61" t="s">
        <v>1108</v>
      </c>
      <c r="F117" s="77">
        <f>VLOOKUP(C117,'Functional Assignment'!$C$2:$AP$780,'Functional Assignment'!$AE$2,)</f>
        <v>0</v>
      </c>
      <c r="G117" s="77">
        <f t="shared" ref="G117:Z117" si="52">IF(VLOOKUP($E117,$D$6:$AN$1131,3,)=0,0,(VLOOKUP($E117,$D$6:$AN$1131,G$2,)/VLOOKUP($E117,$D$6:$AN$1131,3,))*$F117)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931</v>
      </c>
      <c r="D119" s="61" t="s">
        <v>422</v>
      </c>
      <c r="F119" s="77">
        <f>F74+F80+F83+F86+F94+F99+F102+F105+F108+F111+F114+F117</f>
        <v>2771115516.706924</v>
      </c>
      <c r="G119" s="77">
        <f t="shared" ref="G119:Y119" si="53">G74+G80+G83+G86+G94+G99+G102+G105+G108+G111+G114+G117</f>
        <v>1439176110.6843827</v>
      </c>
      <c r="H119" s="77">
        <f t="shared" si="53"/>
        <v>322819626.49180043</v>
      </c>
      <c r="I119" s="77">
        <f t="shared" si="53"/>
        <v>0</v>
      </c>
      <c r="J119" s="77">
        <f t="shared" si="53"/>
        <v>24913100.7837306</v>
      </c>
      <c r="K119" s="77">
        <f t="shared" si="53"/>
        <v>316877446.87308556</v>
      </c>
      <c r="L119" s="77">
        <f t="shared" si="53"/>
        <v>0</v>
      </c>
      <c r="M119" s="77">
        <f t="shared" si="53"/>
        <v>0</v>
      </c>
      <c r="N119" s="77">
        <f t="shared" si="53"/>
        <v>258888611.67376751</v>
      </c>
      <c r="O119" s="77">
        <f>O74+O80+O83+O86+O94+O99+O102+O105+O108+O111+O114+O117</f>
        <v>166159688.56499764</v>
      </c>
      <c r="P119" s="77">
        <f t="shared" si="53"/>
        <v>127795947.11645699</v>
      </c>
      <c r="Q119" s="77">
        <f t="shared" si="53"/>
        <v>16545412.793119062</v>
      </c>
      <c r="R119" s="77">
        <f t="shared" si="53"/>
        <v>7562840.4835495716</v>
      </c>
      <c r="S119" s="77">
        <f t="shared" si="53"/>
        <v>89709745.147566602</v>
      </c>
      <c r="T119" s="77">
        <f t="shared" si="53"/>
        <v>210426.24152672154</v>
      </c>
      <c r="U119" s="77">
        <f t="shared" si="53"/>
        <v>456559.8529401354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2771115516.7069235</v>
      </c>
      <c r="AB119" s="59" t="str">
        <f>IF(ABS(F119-AA119)&lt;0.01,"ok","err")</f>
        <v>ok</v>
      </c>
    </row>
    <row r="122" spans="1:28" ht="15">
      <c r="A122" s="66" t="s">
        <v>1111</v>
      </c>
    </row>
    <row r="124" spans="1:28" ht="15">
      <c r="A124" s="66" t="s">
        <v>364</v>
      </c>
    </row>
    <row r="125" spans="1:28">
      <c r="A125" s="69" t="s">
        <v>359</v>
      </c>
      <c r="C125" s="61" t="s">
        <v>993</v>
      </c>
      <c r="D125" s="61" t="s">
        <v>423</v>
      </c>
      <c r="E125" s="61" t="s">
        <v>869</v>
      </c>
      <c r="F125" s="77">
        <f>VLOOKUP(C125,'Functional Assignment'!$C$2:$AP$780,'Functional Assignment'!$H$2,)</f>
        <v>449333292.60367596</v>
      </c>
      <c r="G125" s="77">
        <f t="shared" ref="G125:P130" si="54">IF(VLOOKUP($E125,$D$6:$AN$1131,3,)=0,0,(VLOOKUP($E125,$D$6:$AN$1131,G$2,)/VLOOKUP($E125,$D$6:$AN$1131,3,))*$F125)</f>
        <v>202690153.60222289</v>
      </c>
      <c r="H125" s="77">
        <f t="shared" si="54"/>
        <v>51211499.506229028</v>
      </c>
      <c r="I125" s="77">
        <f t="shared" si="54"/>
        <v>0</v>
      </c>
      <c r="J125" s="77">
        <f t="shared" si="54"/>
        <v>5181119.2319561997</v>
      </c>
      <c r="K125" s="77">
        <f t="shared" si="54"/>
        <v>65605054.298041694</v>
      </c>
      <c r="L125" s="77">
        <f t="shared" si="54"/>
        <v>0</v>
      </c>
      <c r="M125" s="77">
        <f t="shared" si="54"/>
        <v>0</v>
      </c>
      <c r="N125" s="77">
        <f t="shared" si="54"/>
        <v>54193258.049423866</v>
      </c>
      <c r="O125" s="77">
        <f t="shared" si="54"/>
        <v>34529566.449103408</v>
      </c>
      <c r="P125" s="77">
        <f t="shared" si="54"/>
        <v>30715182.252799626</v>
      </c>
      <c r="Q125" s="77">
        <f t="shared" ref="Q125:Z130" si="55">IF(VLOOKUP($E125,$D$6:$AN$1131,3,)=0,0,(VLOOKUP($E125,$D$6:$AN$1131,Q$2,)/VLOOKUP($E125,$D$6:$AN$1131,3,))*$F125)</f>
        <v>3510738.1624882002</v>
      </c>
      <c r="R125" s="77">
        <f t="shared" si="55"/>
        <v>1516624.2827304855</v>
      </c>
      <c r="S125" s="77">
        <f t="shared" si="55"/>
        <v>108250.86270724883</v>
      </c>
      <c r="T125" s="77">
        <f t="shared" si="55"/>
        <v>3502.1352248612625</v>
      </c>
      <c r="U125" s="77">
        <f t="shared" si="55"/>
        <v>68343.770748461509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449333292.60367596</v>
      </c>
      <c r="AB125" s="59" t="str">
        <f t="shared" ref="AB125:AB131" si="57">IF(ABS(F125-AA125)&lt;0.01,"ok","err")</f>
        <v>ok</v>
      </c>
    </row>
    <row r="126" spans="1:28">
      <c r="A126" s="69" t="s">
        <v>1265</v>
      </c>
      <c r="C126" s="61" t="s">
        <v>993</v>
      </c>
      <c r="D126" s="61" t="s">
        <v>424</v>
      </c>
      <c r="E126" s="61" t="s">
        <v>188</v>
      </c>
      <c r="F126" s="80">
        <f>VLOOKUP(C126,'Functional Assignment'!$C$2:$AP$780,'Functional Assignment'!$I$2,)</f>
        <v>470705064.24876517</v>
      </c>
      <c r="G126" s="80">
        <f t="shared" si="54"/>
        <v>212330765.03431538</v>
      </c>
      <c r="H126" s="80">
        <f t="shared" si="54"/>
        <v>53647287.129949771</v>
      </c>
      <c r="I126" s="80">
        <f t="shared" si="54"/>
        <v>0</v>
      </c>
      <c r="J126" s="80">
        <f t="shared" si="54"/>
        <v>5427550.3309066501</v>
      </c>
      <c r="K126" s="80">
        <f t="shared" si="54"/>
        <v>68725446.804675087</v>
      </c>
      <c r="L126" s="80">
        <f t="shared" si="54"/>
        <v>0</v>
      </c>
      <c r="M126" s="80">
        <f t="shared" si="54"/>
        <v>0</v>
      </c>
      <c r="N126" s="80">
        <f t="shared" si="54"/>
        <v>56770867.932333767</v>
      </c>
      <c r="O126" s="80">
        <f t="shared" si="54"/>
        <v>36171906.380956776</v>
      </c>
      <c r="P126" s="80">
        <f t="shared" si="54"/>
        <v>32176097.506464407</v>
      </c>
      <c r="Q126" s="80">
        <f t="shared" si="55"/>
        <v>3677720.4350005044</v>
      </c>
      <c r="R126" s="80">
        <f t="shared" si="55"/>
        <v>1588759.9298669249</v>
      </c>
      <c r="S126" s="80">
        <f t="shared" si="55"/>
        <v>113399.63035087813</v>
      </c>
      <c r="T126" s="80">
        <f t="shared" si="55"/>
        <v>3668.7083133191768</v>
      </c>
      <c r="U126" s="80">
        <f t="shared" si="55"/>
        <v>71594.425631692604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470705064.24876517</v>
      </c>
      <c r="AB126" s="59" t="str">
        <f t="shared" si="57"/>
        <v>ok</v>
      </c>
    </row>
    <row r="127" spans="1:28">
      <c r="A127" s="69" t="s">
        <v>1266</v>
      </c>
      <c r="C127" s="61" t="s">
        <v>993</v>
      </c>
      <c r="D127" s="61" t="s">
        <v>425</v>
      </c>
      <c r="E127" s="61" t="s">
        <v>191</v>
      </c>
      <c r="F127" s="80">
        <f>VLOOKUP(C127,'Functional Assignment'!$C$2:$AP$780,'Functional Assignment'!$J$2,)</f>
        <v>386917975.58529532</v>
      </c>
      <c r="G127" s="80">
        <f t="shared" si="54"/>
        <v>174535172.87448609</v>
      </c>
      <c r="H127" s="80">
        <f t="shared" si="54"/>
        <v>44097889.121059492</v>
      </c>
      <c r="I127" s="80">
        <f t="shared" si="54"/>
        <v>0</v>
      </c>
      <c r="J127" s="80">
        <f t="shared" si="54"/>
        <v>4461428.0701935524</v>
      </c>
      <c r="K127" s="80">
        <f t="shared" si="54"/>
        <v>56492085.529818155</v>
      </c>
      <c r="L127" s="80">
        <f t="shared" si="54"/>
        <v>0</v>
      </c>
      <c r="M127" s="80">
        <f t="shared" si="54"/>
        <v>0</v>
      </c>
      <c r="N127" s="80">
        <f t="shared" si="54"/>
        <v>46665462.007840216</v>
      </c>
      <c r="O127" s="80">
        <f t="shared" si="54"/>
        <v>29733185.072731741</v>
      </c>
      <c r="P127" s="80">
        <f t="shared" si="54"/>
        <v>26448643.651848998</v>
      </c>
      <c r="Q127" s="80">
        <f t="shared" si="55"/>
        <v>3023073.7962212181</v>
      </c>
      <c r="R127" s="80">
        <f t="shared" si="55"/>
        <v>1305955.3050193447</v>
      </c>
      <c r="S127" s="80">
        <f t="shared" si="55"/>
        <v>93214.113762528286</v>
      </c>
      <c r="T127" s="80">
        <f t="shared" si="55"/>
        <v>3015.6658625882269</v>
      </c>
      <c r="U127" s="80">
        <f t="shared" si="55"/>
        <v>58850.376451370736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386917975.5852952</v>
      </c>
      <c r="AB127" s="59" t="str">
        <f t="shared" si="57"/>
        <v>ok</v>
      </c>
    </row>
    <row r="128" spans="1:28">
      <c r="A128" s="69" t="s">
        <v>1267</v>
      </c>
      <c r="C128" s="61" t="s">
        <v>993</v>
      </c>
      <c r="D128" s="61" t="s">
        <v>426</v>
      </c>
      <c r="E128" s="61" t="s">
        <v>1100</v>
      </c>
      <c r="F128" s="80">
        <f>VLOOKUP(C128,'Functional Assignment'!$C$2:$AP$780,'Functional Assignment'!$K$2,)</f>
        <v>51365920.441896409</v>
      </c>
      <c r="G128" s="80">
        <f t="shared" si="54"/>
        <v>18583061.593407668</v>
      </c>
      <c r="H128" s="80">
        <f t="shared" si="54"/>
        <v>6038829.7358286763</v>
      </c>
      <c r="I128" s="80">
        <f t="shared" si="54"/>
        <v>0</v>
      </c>
      <c r="J128" s="80">
        <f t="shared" si="54"/>
        <v>719234.73728128499</v>
      </c>
      <c r="K128" s="80">
        <f t="shared" si="54"/>
        <v>8333269.1657637507</v>
      </c>
      <c r="L128" s="80">
        <f t="shared" si="54"/>
        <v>0</v>
      </c>
      <c r="M128" s="80">
        <f t="shared" si="54"/>
        <v>0</v>
      </c>
      <c r="N128" s="80">
        <f t="shared" si="54"/>
        <v>8043918.1569502605</v>
      </c>
      <c r="O128" s="80">
        <f t="shared" si="54"/>
        <v>3537824.6983978343</v>
      </c>
      <c r="P128" s="80">
        <f t="shared" si="54"/>
        <v>4898130.2292325012</v>
      </c>
      <c r="Q128" s="80">
        <f t="shared" si="55"/>
        <v>478082.36359861575</v>
      </c>
      <c r="R128" s="80">
        <f t="shared" si="55"/>
        <v>252569.1301528106</v>
      </c>
      <c r="S128" s="80">
        <f t="shared" si="55"/>
        <v>452432.72869681998</v>
      </c>
      <c r="T128" s="80">
        <f t="shared" si="55"/>
        <v>14747.764428638089</v>
      </c>
      <c r="U128" s="80">
        <f t="shared" si="55"/>
        <v>13820.13815754413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51365920.441896409</v>
      </c>
      <c r="AB128" s="59" t="str">
        <f t="shared" si="57"/>
        <v>ok</v>
      </c>
    </row>
    <row r="129" spans="1:28" hidden="1">
      <c r="A129" s="69" t="s">
        <v>1268</v>
      </c>
      <c r="C129" s="61" t="s">
        <v>993</v>
      </c>
      <c r="D129" s="61" t="s">
        <v>427</v>
      </c>
      <c r="E129" s="61" t="s">
        <v>1100</v>
      </c>
      <c r="F129" s="80">
        <f>VLOOKUP(C129,'Functional Assignment'!$C$2:$AP$780,'Functional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hidden="1">
      <c r="A130" s="69" t="s">
        <v>1268</v>
      </c>
      <c r="C130" s="61" t="s">
        <v>993</v>
      </c>
      <c r="D130" s="61" t="s">
        <v>428</v>
      </c>
      <c r="E130" s="61" t="s">
        <v>1100</v>
      </c>
      <c r="F130" s="80">
        <f>VLOOKUP(C130,'Functional Assignment'!$C$2:$AP$780,'Functional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>
      <c r="A131" s="61" t="s">
        <v>387</v>
      </c>
      <c r="D131" s="61" t="s">
        <v>1112</v>
      </c>
      <c r="F131" s="77">
        <f>SUM(F125:F130)</f>
        <v>1358322252.8796329</v>
      </c>
      <c r="G131" s="77">
        <f t="shared" ref="G131:P131" si="58">SUM(G125:G130)</f>
        <v>608139153.10443199</v>
      </c>
      <c r="H131" s="77">
        <f t="shared" si="58"/>
        <v>154995505.49306694</v>
      </c>
      <c r="I131" s="77">
        <f t="shared" si="58"/>
        <v>0</v>
      </c>
      <c r="J131" s="77">
        <f t="shared" si="58"/>
        <v>15789332.370337687</v>
      </c>
      <c r="K131" s="77">
        <f t="shared" si="58"/>
        <v>199155855.79829866</v>
      </c>
      <c r="L131" s="77">
        <f t="shared" si="58"/>
        <v>0</v>
      </c>
      <c r="M131" s="77">
        <f t="shared" si="58"/>
        <v>0</v>
      </c>
      <c r="N131" s="77">
        <f t="shared" si="58"/>
        <v>165673506.14654812</v>
      </c>
      <c r="O131" s="77">
        <f>SUM(O125:O130)</f>
        <v>103972482.60118975</v>
      </c>
      <c r="P131" s="77">
        <f t="shared" si="58"/>
        <v>94238053.640345544</v>
      </c>
      <c r="Q131" s="77">
        <f t="shared" ref="Q131:W131" si="59">SUM(Q125:Q130)</f>
        <v>10689614.757308539</v>
      </c>
      <c r="R131" s="77">
        <f t="shared" si="59"/>
        <v>4663908.6477695648</v>
      </c>
      <c r="S131" s="77">
        <f t="shared" si="59"/>
        <v>767297.33551747515</v>
      </c>
      <c r="T131" s="77">
        <f t="shared" si="59"/>
        <v>24934.273829406753</v>
      </c>
      <c r="U131" s="77">
        <f t="shared" si="59"/>
        <v>212608.71098906899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1358322252.8796325</v>
      </c>
      <c r="AB131" s="59" t="str">
        <f t="shared" si="57"/>
        <v>ok</v>
      </c>
    </row>
    <row r="132" spans="1:28">
      <c r="F132" s="80"/>
      <c r="G132" s="80"/>
    </row>
    <row r="133" spans="1:28" ht="15">
      <c r="A133" s="66" t="s">
        <v>1140</v>
      </c>
      <c r="F133" s="80"/>
      <c r="G133" s="80"/>
    </row>
    <row r="134" spans="1:28">
      <c r="A134" s="69" t="s">
        <v>1377</v>
      </c>
      <c r="C134" s="61" t="s">
        <v>993</v>
      </c>
      <c r="D134" s="61" t="s">
        <v>429</v>
      </c>
      <c r="E134" s="61" t="s">
        <v>1381</v>
      </c>
      <c r="F134" s="77">
        <f>VLOOKUP(C134,'Functional Assignment'!$C$2:$AP$780,'Functional Assignment'!$N$2,)</f>
        <v>251904274.24505213</v>
      </c>
      <c r="G134" s="77">
        <f t="shared" ref="G134:P136" si="60">IF(VLOOKUP($E134,$D$6:$AN$1131,3,)=0,0,(VLOOKUP($E134,$D$6:$AN$1131,G$2,)/VLOOKUP($E134,$D$6:$AN$1131,3,))*$F134)</f>
        <v>111943212.22982559</v>
      </c>
      <c r="H134" s="77">
        <f t="shared" si="60"/>
        <v>32222542.034128826</v>
      </c>
      <c r="I134" s="77">
        <f t="shared" si="60"/>
        <v>0</v>
      </c>
      <c r="J134" s="77">
        <f t="shared" si="60"/>
        <v>2863001.0756241339</v>
      </c>
      <c r="K134" s="77">
        <f t="shared" si="60"/>
        <v>33229731.704195406</v>
      </c>
      <c r="L134" s="77">
        <f t="shared" si="60"/>
        <v>0</v>
      </c>
      <c r="M134" s="77">
        <f t="shared" si="60"/>
        <v>0</v>
      </c>
      <c r="N134" s="77">
        <f t="shared" si="60"/>
        <v>30228915.843000002</v>
      </c>
      <c r="O134" s="77">
        <f t="shared" si="60"/>
        <v>17948343.735034235</v>
      </c>
      <c r="P134" s="77">
        <f t="shared" si="60"/>
        <v>18591211.522047866</v>
      </c>
      <c r="Q134" s="77">
        <f t="shared" ref="Q134:Z136" si="61">IF(VLOOKUP($E134,$D$6:$AN$1131,3,)=0,0,(VLOOKUP($E134,$D$6:$AN$1131,Q$2,)/VLOOKUP($E134,$D$6:$AN$1131,3,))*$F134)</f>
        <v>1874075.977175229</v>
      </c>
      <c r="R134" s="77">
        <f t="shared" si="61"/>
        <v>980918.32907761366</v>
      </c>
      <c r="S134" s="77">
        <f t="shared" si="61"/>
        <v>1932365.9862226765</v>
      </c>
      <c r="T134" s="77">
        <f t="shared" si="61"/>
        <v>61802.642298603241</v>
      </c>
      <c r="U134" s="77">
        <f t="shared" si="61"/>
        <v>28153.166421993097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251904274.24505216</v>
      </c>
      <c r="AB134" s="59" t="str">
        <f>IF(ABS(F134-AA134)&lt;0.01,"ok","err")</f>
        <v>ok</v>
      </c>
    </row>
    <row r="135" spans="1:28" hidden="1">
      <c r="A135" s="69" t="s">
        <v>1378</v>
      </c>
      <c r="C135" s="61" t="s">
        <v>993</v>
      </c>
      <c r="D135" s="61" t="s">
        <v>430</v>
      </c>
      <c r="E135" s="61" t="s">
        <v>188</v>
      </c>
      <c r="F135" s="80">
        <f>VLOOKUP(C135,'Functional Assignment'!$C$2:$AP$780,'Functional Assignment'!$O$2,)</f>
        <v>0</v>
      </c>
      <c r="G135" s="80">
        <f t="shared" si="60"/>
        <v>0</v>
      </c>
      <c r="H135" s="80">
        <f t="shared" si="60"/>
        <v>0</v>
      </c>
      <c r="I135" s="80">
        <f t="shared" si="60"/>
        <v>0</v>
      </c>
      <c r="J135" s="80">
        <f t="shared" si="60"/>
        <v>0</v>
      </c>
      <c r="K135" s="80">
        <f t="shared" si="60"/>
        <v>0</v>
      </c>
      <c r="L135" s="80">
        <f t="shared" si="60"/>
        <v>0</v>
      </c>
      <c r="M135" s="80">
        <f t="shared" si="60"/>
        <v>0</v>
      </c>
      <c r="N135" s="80">
        <f t="shared" si="60"/>
        <v>0</v>
      </c>
      <c r="O135" s="80">
        <f t="shared" si="60"/>
        <v>0</v>
      </c>
      <c r="P135" s="80">
        <f t="shared" si="60"/>
        <v>0</v>
      </c>
      <c r="Q135" s="80">
        <f t="shared" si="61"/>
        <v>0</v>
      </c>
      <c r="R135" s="80">
        <f t="shared" si="61"/>
        <v>0</v>
      </c>
      <c r="S135" s="80">
        <f t="shared" si="61"/>
        <v>0</v>
      </c>
      <c r="T135" s="80">
        <f t="shared" si="61"/>
        <v>0</v>
      </c>
      <c r="U135" s="80">
        <f t="shared" si="61"/>
        <v>0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0</v>
      </c>
      <c r="AB135" s="59" t="str">
        <f>IF(ABS(F135-AA135)&lt;0.01,"ok","err")</f>
        <v>ok</v>
      </c>
    </row>
    <row r="136" spans="1:28" hidden="1">
      <c r="A136" s="69" t="s">
        <v>1378</v>
      </c>
      <c r="C136" s="61" t="s">
        <v>993</v>
      </c>
      <c r="D136" s="61" t="s">
        <v>431</v>
      </c>
      <c r="E136" s="61" t="s">
        <v>191</v>
      </c>
      <c r="F136" s="80">
        <f>VLOOKUP(C136,'Functional Assignment'!$C$2:$AP$780,'Functional Assignment'!$P$2,)</f>
        <v>0</v>
      </c>
      <c r="G136" s="80">
        <f t="shared" si="60"/>
        <v>0</v>
      </c>
      <c r="H136" s="80">
        <f t="shared" si="60"/>
        <v>0</v>
      </c>
      <c r="I136" s="80">
        <f t="shared" si="60"/>
        <v>0</v>
      </c>
      <c r="J136" s="80">
        <f t="shared" si="60"/>
        <v>0</v>
      </c>
      <c r="K136" s="80">
        <f t="shared" si="60"/>
        <v>0</v>
      </c>
      <c r="L136" s="80">
        <f t="shared" si="60"/>
        <v>0</v>
      </c>
      <c r="M136" s="80">
        <f t="shared" si="60"/>
        <v>0</v>
      </c>
      <c r="N136" s="80">
        <f t="shared" si="60"/>
        <v>0</v>
      </c>
      <c r="O136" s="80">
        <f t="shared" si="60"/>
        <v>0</v>
      </c>
      <c r="P136" s="80">
        <f t="shared" si="60"/>
        <v>0</v>
      </c>
      <c r="Q136" s="80">
        <f t="shared" si="61"/>
        <v>0</v>
      </c>
      <c r="R136" s="80">
        <f t="shared" si="61"/>
        <v>0</v>
      </c>
      <c r="S136" s="80">
        <f t="shared" si="61"/>
        <v>0</v>
      </c>
      <c r="T136" s="80">
        <f t="shared" si="61"/>
        <v>0</v>
      </c>
      <c r="U136" s="80">
        <f t="shared" si="61"/>
        <v>0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0</v>
      </c>
      <c r="AB136" s="59" t="str">
        <f>IF(ABS(F136-AA136)&lt;0.01,"ok","err")</f>
        <v>ok</v>
      </c>
    </row>
    <row r="137" spans="1:28" hidden="1">
      <c r="A137" s="61" t="s">
        <v>1142</v>
      </c>
      <c r="D137" s="61" t="s">
        <v>432</v>
      </c>
      <c r="F137" s="77">
        <f>SUM(F134:F136)</f>
        <v>251904274.24505213</v>
      </c>
      <c r="G137" s="77">
        <f t="shared" ref="G137:W137" si="62">SUM(G134:G136)</f>
        <v>111943212.22982559</v>
      </c>
      <c r="H137" s="77">
        <f t="shared" si="62"/>
        <v>32222542.034128826</v>
      </c>
      <c r="I137" s="77">
        <f t="shared" si="62"/>
        <v>0</v>
      </c>
      <c r="J137" s="77">
        <f t="shared" si="62"/>
        <v>2863001.0756241339</v>
      </c>
      <c r="K137" s="77">
        <f t="shared" si="62"/>
        <v>33229731.704195406</v>
      </c>
      <c r="L137" s="77">
        <f t="shared" si="62"/>
        <v>0</v>
      </c>
      <c r="M137" s="77">
        <f t="shared" si="62"/>
        <v>0</v>
      </c>
      <c r="N137" s="77">
        <f t="shared" si="62"/>
        <v>30228915.843000002</v>
      </c>
      <c r="O137" s="77">
        <f>SUM(O134:O136)</f>
        <v>17948343.735034235</v>
      </c>
      <c r="P137" s="77">
        <f t="shared" si="62"/>
        <v>18591211.522047866</v>
      </c>
      <c r="Q137" s="77">
        <f t="shared" si="62"/>
        <v>1874075.977175229</v>
      </c>
      <c r="R137" s="77">
        <f t="shared" si="62"/>
        <v>980918.32907761366</v>
      </c>
      <c r="S137" s="77">
        <f t="shared" si="62"/>
        <v>1932365.9862226765</v>
      </c>
      <c r="T137" s="77">
        <f t="shared" si="62"/>
        <v>61802.642298603241</v>
      </c>
      <c r="U137" s="77">
        <f t="shared" si="62"/>
        <v>28153.166421993097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251904274.24505216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348</v>
      </c>
      <c r="F139" s="80"/>
      <c r="G139" s="80"/>
    </row>
    <row r="140" spans="1:28">
      <c r="A140" s="69" t="s">
        <v>372</v>
      </c>
      <c r="C140" s="61" t="s">
        <v>993</v>
      </c>
      <c r="D140" s="61" t="s">
        <v>433</v>
      </c>
      <c r="E140" s="61" t="s">
        <v>1382</v>
      </c>
      <c r="F140" s="77">
        <f>VLOOKUP(C140,'Functional Assignment'!$C$2:$AP$780,'Functional Assignment'!$Q$2,)</f>
        <v>0</v>
      </c>
      <c r="G140" s="77">
        <f t="shared" ref="G140:Z140" si="63">IF(VLOOKUP($E140,$D$6:$AN$1131,3,)=0,0,(VLOOKUP($E140,$D$6:$AN$1131,G$2,)/VLOOKUP($E140,$D$6:$AN$1131,3,))*$F140)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349</v>
      </c>
      <c r="F142" s="80"/>
      <c r="G142" s="80"/>
    </row>
    <row r="143" spans="1:28">
      <c r="A143" s="69" t="s">
        <v>374</v>
      </c>
      <c r="C143" s="61" t="s">
        <v>993</v>
      </c>
      <c r="D143" s="61" t="s">
        <v>434</v>
      </c>
      <c r="E143" s="61" t="s">
        <v>1382</v>
      </c>
      <c r="F143" s="77">
        <f>VLOOKUP(C143,'Functional Assignment'!$C$2:$AP$780,'Functional Assignment'!$R$2,)</f>
        <v>86725893.898189053</v>
      </c>
      <c r="G143" s="77">
        <f t="shared" ref="G143:Z143" si="64">IF(VLOOKUP($E143,$D$6:$AN$1131,3,)=0,0,(VLOOKUP($E143,$D$6:$AN$1131,G$2,)/VLOOKUP($E143,$D$6:$AN$1131,3,))*$F143)</f>
        <v>41610936.966664247</v>
      </c>
      <c r="H143" s="77">
        <f t="shared" si="64"/>
        <v>11977592.377240941</v>
      </c>
      <c r="I143" s="77">
        <f t="shared" si="64"/>
        <v>0</v>
      </c>
      <c r="J143" s="77">
        <f t="shared" si="64"/>
        <v>1064219.5709794613</v>
      </c>
      <c r="K143" s="77">
        <f t="shared" si="64"/>
        <v>12351979.578034967</v>
      </c>
      <c r="L143" s="77">
        <f t="shared" si="64"/>
        <v>0</v>
      </c>
      <c r="M143" s="77">
        <f t="shared" si="64"/>
        <v>0</v>
      </c>
      <c r="N143" s="77">
        <f t="shared" si="64"/>
        <v>11236532.226100754</v>
      </c>
      <c r="O143" s="77">
        <f t="shared" si="64"/>
        <v>6671663.1132686604</v>
      </c>
      <c r="P143" s="77">
        <f t="shared" si="64"/>
        <v>0</v>
      </c>
      <c r="Q143" s="77">
        <f t="shared" si="64"/>
        <v>696621.57984958205</v>
      </c>
      <c r="R143" s="77">
        <f t="shared" si="64"/>
        <v>364621.75729685859</v>
      </c>
      <c r="S143" s="77">
        <f t="shared" si="64"/>
        <v>718288.83277135761</v>
      </c>
      <c r="T143" s="77">
        <f t="shared" si="64"/>
        <v>22972.950318601768</v>
      </c>
      <c r="U143" s="77">
        <f t="shared" si="64"/>
        <v>10464.945663632117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86725893.898189068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373</v>
      </c>
      <c r="F145" s="80"/>
    </row>
    <row r="146" spans="1:28">
      <c r="A146" s="69" t="s">
        <v>623</v>
      </c>
      <c r="C146" s="61" t="s">
        <v>993</v>
      </c>
      <c r="D146" s="61" t="s">
        <v>435</v>
      </c>
      <c r="E146" s="61" t="s">
        <v>1382</v>
      </c>
      <c r="F146" s="77">
        <f>VLOOKUP(C146,'Functional Assignment'!$C$2:$AP$780,'Functional Assignment'!$S$2,)</f>
        <v>0</v>
      </c>
      <c r="G146" s="77">
        <f t="shared" ref="G146:P150" si="65">IF(VLOOKUP($E146,$D$6:$AN$1131,3,)=0,0,(VLOOKUP($E146,$D$6:$AN$1131,G$2,)/VLOOKUP($E146,$D$6:$AN$1131,3,))*$F146)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IF(VLOOKUP($E146,$D$6:$AN$1131,3,)=0,0,(VLOOKUP($E146,$D$6:$AN$1131,Q$2,)/VLOOKUP($E146,$D$6:$AN$1131,3,))*$F146)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>
      <c r="A147" s="69" t="s">
        <v>624</v>
      </c>
      <c r="C147" s="61" t="s">
        <v>993</v>
      </c>
      <c r="D147" s="61" t="s">
        <v>436</v>
      </c>
      <c r="E147" s="61" t="s">
        <v>1382</v>
      </c>
      <c r="F147" s="80">
        <f>VLOOKUP(C147,'Functional Assignment'!$C$2:$AP$780,'Functional Assignment'!$T$2,)</f>
        <v>146289689.97734636</v>
      </c>
      <c r="G147" s="80">
        <f t="shared" si="65"/>
        <v>70189545.416116178</v>
      </c>
      <c r="H147" s="80">
        <f t="shared" si="65"/>
        <v>20203865.267720144</v>
      </c>
      <c r="I147" s="80">
        <f t="shared" si="65"/>
        <v>0</v>
      </c>
      <c r="J147" s="80">
        <f t="shared" si="65"/>
        <v>1795131.120691289</v>
      </c>
      <c r="K147" s="80">
        <f t="shared" si="65"/>
        <v>20835383.549906317</v>
      </c>
      <c r="L147" s="80">
        <f t="shared" si="65"/>
        <v>0</v>
      </c>
      <c r="M147" s="80">
        <f t="shared" si="65"/>
        <v>0</v>
      </c>
      <c r="N147" s="80">
        <f t="shared" si="65"/>
        <v>18953841.1412219</v>
      </c>
      <c r="O147" s="80">
        <f t="shared" si="65"/>
        <v>11253796.122518258</v>
      </c>
      <c r="P147" s="80">
        <f t="shared" si="65"/>
        <v>0</v>
      </c>
      <c r="Q147" s="80">
        <f t="shared" si="66"/>
        <v>1175064.9127624913</v>
      </c>
      <c r="R147" s="80">
        <f t="shared" si="66"/>
        <v>615045.88118251134</v>
      </c>
      <c r="S147" s="80">
        <f t="shared" si="66"/>
        <v>1211613.347954273</v>
      </c>
      <c r="T147" s="80">
        <f t="shared" si="66"/>
        <v>38750.892368068278</v>
      </c>
      <c r="U147" s="80">
        <f t="shared" si="66"/>
        <v>17652.324904943816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146289689.97734639</v>
      </c>
      <c r="AB147" s="59" t="str">
        <f t="shared" si="68"/>
        <v>ok</v>
      </c>
    </row>
    <row r="148" spans="1:28">
      <c r="A148" s="69" t="s">
        <v>625</v>
      </c>
      <c r="C148" s="61" t="s">
        <v>993</v>
      </c>
      <c r="D148" s="61" t="s">
        <v>437</v>
      </c>
      <c r="E148" s="61" t="s">
        <v>698</v>
      </c>
      <c r="F148" s="80">
        <f>VLOOKUP(C148,'Functional Assignment'!$C$2:$AP$780,'Functional Assignment'!$U$2,)</f>
        <v>232639811.01835001</v>
      </c>
      <c r="G148" s="80">
        <f t="shared" si="65"/>
        <v>200561860.24626267</v>
      </c>
      <c r="H148" s="80">
        <f t="shared" si="65"/>
        <v>24917848.004266623</v>
      </c>
      <c r="I148" s="80">
        <f t="shared" si="65"/>
        <v>0</v>
      </c>
      <c r="J148" s="80">
        <f t="shared" si="65"/>
        <v>39659.682479103321</v>
      </c>
      <c r="K148" s="80">
        <f t="shared" si="65"/>
        <v>1555632.684278717</v>
      </c>
      <c r="L148" s="80">
        <f t="shared" si="65"/>
        <v>0</v>
      </c>
      <c r="M148" s="80">
        <f t="shared" si="65"/>
        <v>0</v>
      </c>
      <c r="N148" s="80">
        <f t="shared" si="65"/>
        <v>58112.451410352784</v>
      </c>
      <c r="O148" s="80">
        <f t="shared" si="65"/>
        <v>152028.78283656272</v>
      </c>
      <c r="P148" s="80">
        <f t="shared" si="65"/>
        <v>0</v>
      </c>
      <c r="Q148" s="80">
        <f t="shared" si="66"/>
        <v>550.82892332087943</v>
      </c>
      <c r="R148" s="80">
        <f t="shared" si="66"/>
        <v>550.82892332087943</v>
      </c>
      <c r="S148" s="80">
        <f t="shared" si="66"/>
        <v>5288080.0703078471</v>
      </c>
      <c r="T148" s="80">
        <f t="shared" si="66"/>
        <v>10098.530260882788</v>
      </c>
      <c r="U148" s="80">
        <f t="shared" si="66"/>
        <v>55388.908400599546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232639811.01835001</v>
      </c>
      <c r="AB148" s="59" t="str">
        <f t="shared" si="68"/>
        <v>ok</v>
      </c>
    </row>
    <row r="149" spans="1:28">
      <c r="A149" s="69" t="s">
        <v>626</v>
      </c>
      <c r="C149" s="61" t="s">
        <v>993</v>
      </c>
      <c r="D149" s="61" t="s">
        <v>438</v>
      </c>
      <c r="E149" s="61" t="s">
        <v>678</v>
      </c>
      <c r="F149" s="80">
        <f>VLOOKUP(C149,'Functional Assignment'!$C$2:$AP$780,'Functional Assignment'!$V$2,)</f>
        <v>40320469.646722771</v>
      </c>
      <c r="G149" s="80">
        <f t="shared" si="65"/>
        <v>33837261.446431741</v>
      </c>
      <c r="H149" s="80">
        <f t="shared" si="65"/>
        <v>6192066.227639894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278191.55513211264</v>
      </c>
      <c r="T149" s="80">
        <f t="shared" si="66"/>
        <v>8897.3689740473874</v>
      </c>
      <c r="U149" s="80">
        <f t="shared" si="66"/>
        <v>4053.0485449793646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40320469.646722771</v>
      </c>
      <c r="AB149" s="59" t="str">
        <f t="shared" si="68"/>
        <v>ok</v>
      </c>
    </row>
    <row r="150" spans="1:28">
      <c r="A150" s="69" t="s">
        <v>627</v>
      </c>
      <c r="C150" s="61" t="s">
        <v>993</v>
      </c>
      <c r="D150" s="61" t="s">
        <v>439</v>
      </c>
      <c r="E150" s="61" t="s">
        <v>697</v>
      </c>
      <c r="F150" s="80">
        <f>VLOOKUP(C150,'Functional Assignment'!$C$2:$AP$780,'Functional Assignment'!$W$2,)</f>
        <v>61244171.692112058</v>
      </c>
      <c r="G150" s="80">
        <f t="shared" si="65"/>
        <v>53212627.007075034</v>
      </c>
      <c r="H150" s="80">
        <f t="shared" si="65"/>
        <v>6611148.0519873016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1403021.651371436</v>
      </c>
      <c r="T150" s="80">
        <f t="shared" si="66"/>
        <v>2679.319604595807</v>
      </c>
      <c r="U150" s="80">
        <f t="shared" si="66"/>
        <v>14695.662073692154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61244171.692112058</v>
      </c>
      <c r="AB150" s="59" t="str">
        <f t="shared" si="68"/>
        <v>ok</v>
      </c>
    </row>
    <row r="151" spans="1:28">
      <c r="A151" s="61" t="s">
        <v>378</v>
      </c>
      <c r="D151" s="61" t="s">
        <v>440</v>
      </c>
      <c r="F151" s="77">
        <f>SUM(F146:F150)</f>
        <v>480494142.33453119</v>
      </c>
      <c r="G151" s="77">
        <f t="shared" ref="G151:W151" si="69">SUM(G146:G150)</f>
        <v>357801294.11588562</v>
      </c>
      <c r="H151" s="77">
        <f t="shared" si="69"/>
        <v>57924927.551613957</v>
      </c>
      <c r="I151" s="77">
        <f t="shared" si="69"/>
        <v>0</v>
      </c>
      <c r="J151" s="77">
        <f t="shared" si="69"/>
        <v>1834790.8031703923</v>
      </c>
      <c r="K151" s="77">
        <f t="shared" si="69"/>
        <v>22391016.234185033</v>
      </c>
      <c r="L151" s="77">
        <f t="shared" si="69"/>
        <v>0</v>
      </c>
      <c r="M151" s="77">
        <f t="shared" si="69"/>
        <v>0</v>
      </c>
      <c r="N151" s="77">
        <f t="shared" si="69"/>
        <v>19011953.592632253</v>
      </c>
      <c r="O151" s="77">
        <f>SUM(O146:O150)</f>
        <v>11405824.90535482</v>
      </c>
      <c r="P151" s="77">
        <f t="shared" si="69"/>
        <v>0</v>
      </c>
      <c r="Q151" s="77">
        <f t="shared" si="69"/>
        <v>1175615.7416858121</v>
      </c>
      <c r="R151" s="77">
        <f t="shared" si="69"/>
        <v>615596.7101058322</v>
      </c>
      <c r="S151" s="77">
        <f t="shared" si="69"/>
        <v>8180906.624765669</v>
      </c>
      <c r="T151" s="77">
        <f t="shared" si="69"/>
        <v>60426.111207594266</v>
      </c>
      <c r="U151" s="77">
        <f t="shared" si="69"/>
        <v>91789.943924214895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480494142.33453113</v>
      </c>
      <c r="AB151" s="59" t="str">
        <f t="shared" si="68"/>
        <v>ok</v>
      </c>
    </row>
    <row r="152" spans="1:28">
      <c r="F152" s="80"/>
    </row>
    <row r="153" spans="1:28" ht="15">
      <c r="A153" s="66" t="s">
        <v>634</v>
      </c>
      <c r="F153" s="80"/>
    </row>
    <row r="154" spans="1:28">
      <c r="A154" s="69" t="s">
        <v>1099</v>
      </c>
      <c r="C154" s="61" t="s">
        <v>993</v>
      </c>
      <c r="D154" s="61" t="s">
        <v>441</v>
      </c>
      <c r="E154" s="61" t="s">
        <v>1346</v>
      </c>
      <c r="F154" s="77">
        <f>VLOOKUP(C154,'Functional Assignment'!$C$2:$AP$780,'Functional Assignment'!$X$2,)</f>
        <v>55853390.849211715</v>
      </c>
      <c r="G154" s="77">
        <f t="shared" ref="G154:P155" si="70">IF(VLOOKUP($E154,$D$6:$AN$1131,3,)=0,0,(VLOOKUP($E154,$D$6:$AN$1131,G$2,)/VLOOKUP($E154,$D$6:$AN$1131,3,))*$F154)</f>
        <v>38751123.423410982</v>
      </c>
      <c r="H154" s="77">
        <f t="shared" si="70"/>
        <v>7091280.8063109927</v>
      </c>
      <c r="I154" s="77">
        <f t="shared" si="70"/>
        <v>0</v>
      </c>
      <c r="J154" s="77">
        <f t="shared" si="70"/>
        <v>0</v>
      </c>
      <c r="K154" s="77">
        <f t="shared" si="70"/>
        <v>6245341.2287738631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3432223.652854492</v>
      </c>
      <c r="P154" s="77">
        <f t="shared" si="70"/>
        <v>0</v>
      </c>
      <c r="Q154" s="77">
        <f t="shared" ref="Q154:Z155" si="71">IF(VLOOKUP($E154,$D$6:$AN$1131,3,)=0,0,(VLOOKUP($E154,$D$6:$AN$1131,Q$2,)/VLOOKUP($E154,$D$6:$AN$1131,3,))*$F154)</f>
        <v>0</v>
      </c>
      <c r="R154" s="77">
        <f t="shared" si="71"/>
        <v>0</v>
      </c>
      <c r="S154" s="77">
        <f t="shared" si="71"/>
        <v>318590.65501921554</v>
      </c>
      <c r="T154" s="77">
        <f t="shared" si="71"/>
        <v>10189.448806392586</v>
      </c>
      <c r="U154" s="77">
        <f t="shared" si="71"/>
        <v>4641.6340357867293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55853390.84921173</v>
      </c>
      <c r="AB154" s="59" t="str">
        <f>IF(ABS(F154-AA154)&lt;0.01,"ok","err")</f>
        <v>ok</v>
      </c>
    </row>
    <row r="155" spans="1:28">
      <c r="A155" s="69" t="s">
        <v>1102</v>
      </c>
      <c r="C155" s="61" t="s">
        <v>993</v>
      </c>
      <c r="D155" s="61" t="s">
        <v>442</v>
      </c>
      <c r="E155" s="61" t="s">
        <v>1344</v>
      </c>
      <c r="F155" s="80">
        <f>VLOOKUP(C155,'Functional Assignment'!$C$2:$AP$780,'Functional Assignment'!$Y$2,)</f>
        <v>39061200.374199145</v>
      </c>
      <c r="G155" s="80">
        <f t="shared" si="70"/>
        <v>33689496.154678702</v>
      </c>
      <c r="H155" s="80">
        <f t="shared" si="70"/>
        <v>4185590.1390815498</v>
      </c>
      <c r="I155" s="80">
        <f t="shared" si="70"/>
        <v>0</v>
      </c>
      <c r="J155" s="80">
        <f t="shared" si="70"/>
        <v>0</v>
      </c>
      <c r="K155" s="80">
        <f t="shared" si="70"/>
        <v>261308.31291029046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25537.123999967014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888268.35259466583</v>
      </c>
      <c r="T155" s="80">
        <f t="shared" si="71"/>
        <v>1696.3065458915285</v>
      </c>
      <c r="U155" s="80">
        <f t="shared" si="71"/>
        <v>9303.9843880717181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39061200.374199137</v>
      </c>
      <c r="AB155" s="59" t="str">
        <f>IF(ABS(F155-AA155)&lt;0.01,"ok","err")</f>
        <v>ok</v>
      </c>
    </row>
    <row r="156" spans="1:28">
      <c r="A156" s="61" t="s">
        <v>712</v>
      </c>
      <c r="D156" s="61" t="s">
        <v>443</v>
      </c>
      <c r="F156" s="77">
        <f>F154+F155</f>
        <v>94914591.22341086</v>
      </c>
      <c r="G156" s="77">
        <f t="shared" ref="G156:W156" si="72">G154+G155</f>
        <v>72440619.578089684</v>
      </c>
      <c r="H156" s="77">
        <f t="shared" si="72"/>
        <v>11276870.945392542</v>
      </c>
      <c r="I156" s="77">
        <f t="shared" si="72"/>
        <v>0</v>
      </c>
      <c r="J156" s="77">
        <f t="shared" si="72"/>
        <v>0</v>
      </c>
      <c r="K156" s="77">
        <f t="shared" si="72"/>
        <v>6506649.5416841535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3457760.7768544592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1206859.0076138815</v>
      </c>
      <c r="T156" s="77">
        <f t="shared" si="72"/>
        <v>11885.755352284114</v>
      </c>
      <c r="U156" s="77">
        <f t="shared" si="72"/>
        <v>13945.618423858446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94914591.223410875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354</v>
      </c>
      <c r="F158" s="80"/>
    </row>
    <row r="159" spans="1:28">
      <c r="A159" s="69" t="s">
        <v>1102</v>
      </c>
      <c r="C159" s="61" t="s">
        <v>993</v>
      </c>
      <c r="D159" s="61" t="s">
        <v>444</v>
      </c>
      <c r="E159" s="61" t="s">
        <v>1104</v>
      </c>
      <c r="F159" s="77">
        <f>VLOOKUP(C159,'Functional Assignment'!$C$2:$AP$780,'Functional Assignment'!$Z$2,)</f>
        <v>19387335.002084535</v>
      </c>
      <c r="G159" s="77">
        <f t="shared" ref="G159:Z159" si="73">IF(VLOOKUP($E159,$D$6:$AN$1131,3,)=0,0,(VLOOKUP($E159,$D$6:$AN$1131,G$2,)/VLOOKUP($E159,$D$6:$AN$1131,3,))*$F159)</f>
        <v>14901423.647408795</v>
      </c>
      <c r="H159" s="77">
        <f t="shared" si="73"/>
        <v>3750215.3937779232</v>
      </c>
      <c r="I159" s="77">
        <f t="shared" si="73"/>
        <v>0</v>
      </c>
      <c r="J159" s="77">
        <f t="shared" si="73"/>
        <v>0</v>
      </c>
      <c r="K159" s="77">
        <f t="shared" si="73"/>
        <v>654249.10433076613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81446.856567048366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19387335.002084531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353</v>
      </c>
      <c r="F161" s="80"/>
    </row>
    <row r="162" spans="1:28">
      <c r="A162" s="69" t="s">
        <v>1102</v>
      </c>
      <c r="C162" s="61" t="s">
        <v>993</v>
      </c>
      <c r="D162" s="61" t="s">
        <v>445</v>
      </c>
      <c r="E162" s="61" t="s">
        <v>1105</v>
      </c>
      <c r="F162" s="77">
        <f>VLOOKUP(C162,'Functional Assignment'!$C$2:$AP$780,'Functional Assignment'!$AA$2,)</f>
        <v>24509218.578202888</v>
      </c>
      <c r="G162" s="77">
        <f t="shared" ref="G162:Z162" si="74">IF(VLOOKUP($E162,$D$6:$AN$1131,3,)=0,0,(VLOOKUP($E162,$D$6:$AN$1131,G$2,)/VLOOKUP($E162,$D$6:$AN$1131,3,))*$F162)</f>
        <v>17154491.341496624</v>
      </c>
      <c r="H162" s="77">
        <f t="shared" si="74"/>
        <v>5043518.9212845676</v>
      </c>
      <c r="I162" s="77">
        <f t="shared" si="74"/>
        <v>0</v>
      </c>
      <c r="J162" s="77">
        <f t="shared" si="74"/>
        <v>196335.97656936073</v>
      </c>
      <c r="K162" s="77">
        <f t="shared" si="74"/>
        <v>1356754.6720947451</v>
      </c>
      <c r="L162" s="77">
        <f t="shared" si="74"/>
        <v>0</v>
      </c>
      <c r="M162" s="77">
        <f t="shared" si="74"/>
        <v>0</v>
      </c>
      <c r="N162" s="77">
        <f t="shared" si="74"/>
        <v>307443.49977290403</v>
      </c>
      <c r="O162" s="77">
        <f t="shared" si="74"/>
        <v>142933.11689720504</v>
      </c>
      <c r="P162" s="77">
        <f t="shared" si="74"/>
        <v>251501.1920344735</v>
      </c>
      <c r="Q162" s="77">
        <f t="shared" si="74"/>
        <v>2914.156395951697</v>
      </c>
      <c r="R162" s="77">
        <f t="shared" si="74"/>
        <v>2914.156395951697</v>
      </c>
      <c r="S162" s="77">
        <f t="shared" si="74"/>
        <v>0</v>
      </c>
      <c r="T162" s="77">
        <f t="shared" si="74"/>
        <v>7773.742960825236</v>
      </c>
      <c r="U162" s="77">
        <f t="shared" si="74"/>
        <v>42637.802300283875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24509218.578202896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371</v>
      </c>
      <c r="F164" s="80"/>
    </row>
    <row r="165" spans="1:28">
      <c r="A165" s="69" t="s">
        <v>1102</v>
      </c>
      <c r="C165" s="61" t="s">
        <v>993</v>
      </c>
      <c r="D165" s="61" t="s">
        <v>446</v>
      </c>
      <c r="E165" s="61" t="s">
        <v>1106</v>
      </c>
      <c r="F165" s="77">
        <f>VLOOKUP(C165,'Functional Assignment'!$C$2:$AP$780,'Functional Assignment'!$AB$2,)</f>
        <v>61664819.905362248</v>
      </c>
      <c r="G165" s="77">
        <f t="shared" ref="G165:Z165" si="75">IF(VLOOKUP($E165,$D$6:$AN$1131,3,)=0,0,(VLOOKUP($E165,$D$6:$AN$1131,G$2,)/VLOOKUP($E165,$D$6:$AN$1131,3,))*$F165)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61664819.905362248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61664819.905362248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1034</v>
      </c>
      <c r="F167" s="80"/>
    </row>
    <row r="168" spans="1:28">
      <c r="A168" s="69" t="s">
        <v>1102</v>
      </c>
      <c r="C168" s="61" t="s">
        <v>993</v>
      </c>
      <c r="D168" s="61" t="s">
        <v>447</v>
      </c>
      <c r="E168" s="61" t="s">
        <v>1107</v>
      </c>
      <c r="F168" s="77">
        <f>VLOOKUP(C168,'Functional Assignment'!$C$2:$AP$780,'Functional Assignment'!$AC$2,)</f>
        <v>2471535.7794325519</v>
      </c>
      <c r="G168" s="77">
        <f t="shared" ref="G168:Z168" si="76">IF(VLOOKUP($E168,$D$6:$AN$1131,3,)=0,0,(VLOOKUP($E168,$D$6:$AN$1131,G$2,)/VLOOKUP($E168,$D$6:$AN$1131,3,))*$F168)</f>
        <v>1841601.3498541708</v>
      </c>
      <c r="H168" s="77">
        <f t="shared" si="76"/>
        <v>457601.88366595068</v>
      </c>
      <c r="I168" s="77">
        <f t="shared" si="76"/>
        <v>0</v>
      </c>
      <c r="J168" s="77">
        <f t="shared" si="76"/>
        <v>1820.8178937566843</v>
      </c>
      <c r="K168" s="77">
        <f t="shared" si="76"/>
        <v>71420.738911358829</v>
      </c>
      <c r="L168" s="77">
        <f t="shared" si="76"/>
        <v>0</v>
      </c>
      <c r="M168" s="77">
        <f t="shared" si="76"/>
        <v>0</v>
      </c>
      <c r="N168" s="77">
        <f t="shared" si="76"/>
        <v>13340.01998550904</v>
      </c>
      <c r="O168" s="77">
        <f t="shared" si="76"/>
        <v>34899.009630336448</v>
      </c>
      <c r="P168" s="77">
        <f t="shared" si="76"/>
        <v>1643.7939318636732</v>
      </c>
      <c r="Q168" s="77">
        <f t="shared" si="76"/>
        <v>25.289137413287282</v>
      </c>
      <c r="R168" s="77">
        <f t="shared" si="76"/>
        <v>25.289137413287282</v>
      </c>
      <c r="S168" s="77">
        <f t="shared" si="76"/>
        <v>48556.267795174375</v>
      </c>
      <c r="T168" s="77">
        <f t="shared" si="76"/>
        <v>92.726837182053359</v>
      </c>
      <c r="U168" s="77">
        <f t="shared" si="76"/>
        <v>508.59265242277746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2471535.7794325515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351</v>
      </c>
      <c r="F170" s="80"/>
    </row>
    <row r="171" spans="1:28">
      <c r="A171" s="69" t="s">
        <v>1102</v>
      </c>
      <c r="C171" s="61" t="s">
        <v>993</v>
      </c>
      <c r="D171" s="61" t="s">
        <v>448</v>
      </c>
      <c r="E171" s="61" t="s">
        <v>1108</v>
      </c>
      <c r="F171" s="77">
        <f>VLOOKUP(C171,'Functional Assignment'!$C$2:$AP$780,'Functional Assignment'!$AD$2,)</f>
        <v>539863.39561039058</v>
      </c>
      <c r="G171" s="77">
        <f t="shared" ref="G171:Z171" si="77">IF(VLOOKUP($E171,$D$6:$AN$1131,3,)=0,0,(VLOOKUP($E171,$D$6:$AN$1131,G$2,)/VLOOKUP($E171,$D$6:$AN$1131,3,))*$F171)</f>
        <v>465409.05332820688</v>
      </c>
      <c r="H171" s="77">
        <f t="shared" si="77"/>
        <v>57822.519378322235</v>
      </c>
      <c r="I171" s="77">
        <f t="shared" si="77"/>
        <v>0</v>
      </c>
      <c r="J171" s="77">
        <f t="shared" si="77"/>
        <v>92.031332653341309</v>
      </c>
      <c r="K171" s="77">
        <f t="shared" si="77"/>
        <v>3609.8864162288623</v>
      </c>
      <c r="L171" s="77">
        <f t="shared" si="77"/>
        <v>0</v>
      </c>
      <c r="M171" s="77">
        <f t="shared" si="77"/>
        <v>0</v>
      </c>
      <c r="N171" s="77">
        <f t="shared" si="77"/>
        <v>134.8514665962154</v>
      </c>
      <c r="O171" s="77">
        <f t="shared" si="77"/>
        <v>352.7867751711417</v>
      </c>
      <c r="P171" s="77">
        <f t="shared" si="77"/>
        <v>16.616768395742181</v>
      </c>
      <c r="Q171" s="77">
        <f t="shared" si="77"/>
        <v>1.2782129535186293</v>
      </c>
      <c r="R171" s="77">
        <f t="shared" si="77"/>
        <v>1.2782129535186293</v>
      </c>
      <c r="S171" s="77">
        <f t="shared" si="77"/>
        <v>12271.128401101845</v>
      </c>
      <c r="T171" s="77">
        <f t="shared" si="77"/>
        <v>23.433904147841535</v>
      </c>
      <c r="U171" s="77">
        <f t="shared" si="77"/>
        <v>128.5314136593733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539863.39561039046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350</v>
      </c>
      <c r="F173" s="80"/>
    </row>
    <row r="174" spans="1:28">
      <c r="A174" s="69" t="s">
        <v>1102</v>
      </c>
      <c r="C174" s="61" t="s">
        <v>993</v>
      </c>
      <c r="D174" s="61" t="s">
        <v>449</v>
      </c>
      <c r="E174" s="61" t="s">
        <v>1108</v>
      </c>
      <c r="F174" s="77">
        <f>VLOOKUP(C174,'Functional Assignment'!$C$2:$AP$780,'Functional Assignment'!$AE$2,)</f>
        <v>0</v>
      </c>
      <c r="G174" s="77">
        <f t="shared" ref="G174:Z174" si="78">IF(VLOOKUP($E174,$D$6:$AN$1131,3,)=0,0,(VLOOKUP($E174,$D$6:$AN$1131,G$2,)/VLOOKUP($E174,$D$6:$AN$1131,3,))*$F174)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931</v>
      </c>
      <c r="D176" s="61" t="s">
        <v>1113</v>
      </c>
      <c r="F176" s="77">
        <f>F131+F137+F140+F143+F151+F156+F159+F162+F165+F168+F171+F174</f>
        <v>2380933927.241509</v>
      </c>
      <c r="G176" s="77">
        <f t="shared" ref="G176:Z176" si="79">G131+G137+G140+G143+G151+G156+G159+G162+G165+G168+G171+G174</f>
        <v>1226298141.3869851</v>
      </c>
      <c r="H176" s="77">
        <f t="shared" si="79"/>
        <v>277706597.11954999</v>
      </c>
      <c r="I176" s="77">
        <f t="shared" si="79"/>
        <v>0</v>
      </c>
      <c r="J176" s="77">
        <f t="shared" si="79"/>
        <v>21749592.64590745</v>
      </c>
      <c r="K176" s="77">
        <f t="shared" si="79"/>
        <v>275721267.25815135</v>
      </c>
      <c r="L176" s="77">
        <f t="shared" si="79"/>
        <v>0</v>
      </c>
      <c r="M176" s="77">
        <f t="shared" si="79"/>
        <v>0</v>
      </c>
      <c r="N176" s="77">
        <f t="shared" si="79"/>
        <v>226471826.17950612</v>
      </c>
      <c r="O176" s="77">
        <f>O131+O137+O140+O143+O151+O156+O159+O162+O165+O168+O171+O174</f>
        <v>143715706.90157166</v>
      </c>
      <c r="P176" s="77">
        <f t="shared" si="79"/>
        <v>113082426.76512812</v>
      </c>
      <c r="Q176" s="77">
        <f t="shared" si="79"/>
        <v>14438868.779765479</v>
      </c>
      <c r="R176" s="77">
        <f t="shared" si="79"/>
        <v>6627986.1679961868</v>
      </c>
      <c r="S176" s="77">
        <f t="shared" si="79"/>
        <v>74531365.088449582</v>
      </c>
      <c r="T176" s="77">
        <f t="shared" si="79"/>
        <v>189911.6367086453</v>
      </c>
      <c r="U176" s="77">
        <f t="shared" si="79"/>
        <v>400237.31178913353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2380933927.241509</v>
      </c>
      <c r="AB176" s="59" t="str">
        <f>IF(ABS(F176-AA176)&lt;0.01,"ok","err")</f>
        <v>ok</v>
      </c>
    </row>
    <row r="179" spans="1:28" ht="15">
      <c r="A179" s="66" t="s">
        <v>984</v>
      </c>
    </row>
    <row r="181" spans="1:28" ht="15">
      <c r="A181" s="66" t="s">
        <v>364</v>
      </c>
    </row>
    <row r="182" spans="1:28">
      <c r="A182" s="69" t="s">
        <v>359</v>
      </c>
      <c r="C182" s="61" t="s">
        <v>1077</v>
      </c>
      <c r="D182" s="61" t="s">
        <v>450</v>
      </c>
      <c r="E182" s="61" t="s">
        <v>869</v>
      </c>
      <c r="F182" s="77">
        <f>VLOOKUP(C182,'Functional Assignment'!$C$2:$AP$780,'Functional Assignment'!$H$2,)</f>
        <v>33223399.69324439</v>
      </c>
      <c r="G182" s="77">
        <f t="shared" ref="G182:P187" si="80">IF(VLOOKUP($E182,$D$6:$AN$1131,3,)=0,0,(VLOOKUP($E182,$D$6:$AN$1131,G$2,)/VLOOKUP($E182,$D$6:$AN$1131,3,))*$F182)</f>
        <v>14986772.842918115</v>
      </c>
      <c r="H182" s="77">
        <f t="shared" si="80"/>
        <v>3786543.6302903397</v>
      </c>
      <c r="I182" s="77">
        <f t="shared" si="80"/>
        <v>0</v>
      </c>
      <c r="J182" s="77">
        <f t="shared" si="80"/>
        <v>383088.45112321421</v>
      </c>
      <c r="K182" s="77">
        <f t="shared" si="80"/>
        <v>4850793.3347447859</v>
      </c>
      <c r="L182" s="77">
        <f t="shared" si="80"/>
        <v>0</v>
      </c>
      <c r="M182" s="77">
        <f t="shared" si="80"/>
        <v>0</v>
      </c>
      <c r="N182" s="77">
        <f t="shared" si="80"/>
        <v>4007012.839894814</v>
      </c>
      <c r="O182" s="77">
        <f t="shared" si="80"/>
        <v>2553092.7849249216</v>
      </c>
      <c r="P182" s="77">
        <f t="shared" si="80"/>
        <v>2271059.7977784039</v>
      </c>
      <c r="Q182" s="77">
        <f t="shared" ref="Q182:Z187" si="81">IF(VLOOKUP($E182,$D$6:$AN$1131,3,)=0,0,(VLOOKUP($E182,$D$6:$AN$1131,Q$2,)/VLOOKUP($E182,$D$6:$AN$1131,3,))*$F182)</f>
        <v>259581.60481455861</v>
      </c>
      <c r="R182" s="77">
        <f t="shared" si="81"/>
        <v>112138.17350960919</v>
      </c>
      <c r="S182" s="77">
        <f t="shared" si="81"/>
        <v>8003.9955597806711</v>
      </c>
      <c r="T182" s="77">
        <f t="shared" si="81"/>
        <v>258.94550942607844</v>
      </c>
      <c r="U182" s="77">
        <f t="shared" si="81"/>
        <v>5053.292176420905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33223399.69324439</v>
      </c>
      <c r="AB182" s="59" t="str">
        <f t="shared" ref="AB182:AB188" si="83">IF(ABS(F182-AA182)&lt;0.01,"ok","err")</f>
        <v>ok</v>
      </c>
    </row>
    <row r="183" spans="1:28">
      <c r="A183" s="69" t="s">
        <v>1265</v>
      </c>
      <c r="C183" s="61" t="s">
        <v>1077</v>
      </c>
      <c r="D183" s="61" t="s">
        <v>451</v>
      </c>
      <c r="E183" s="61" t="s">
        <v>188</v>
      </c>
      <c r="F183" s="80">
        <f>VLOOKUP(C183,'Functional Assignment'!$C$2:$AP$780,'Functional Assignment'!$I$2,)</f>
        <v>34803614.031254336</v>
      </c>
      <c r="G183" s="80">
        <f t="shared" si="80"/>
        <v>15699593.130593034</v>
      </c>
      <c r="H183" s="80">
        <f t="shared" si="80"/>
        <v>3966644.1194435228</v>
      </c>
      <c r="I183" s="80">
        <f t="shared" si="80"/>
        <v>0</v>
      </c>
      <c r="J183" s="80">
        <f t="shared" si="80"/>
        <v>401309.39987560874</v>
      </c>
      <c r="K183" s="80">
        <f t="shared" si="80"/>
        <v>5081513.045823765</v>
      </c>
      <c r="L183" s="80">
        <f t="shared" si="80"/>
        <v>0</v>
      </c>
      <c r="M183" s="80">
        <f t="shared" si="80"/>
        <v>0</v>
      </c>
      <c r="N183" s="80">
        <f t="shared" si="80"/>
        <v>4197599.5709535042</v>
      </c>
      <c r="O183" s="80">
        <f t="shared" si="80"/>
        <v>2674526.2884874265</v>
      </c>
      <c r="P183" s="80">
        <f t="shared" si="80"/>
        <v>2379078.8833645526</v>
      </c>
      <c r="Q183" s="80">
        <f t="shared" si="81"/>
        <v>271928.16108510806</v>
      </c>
      <c r="R183" s="80">
        <f t="shared" si="81"/>
        <v>117471.83446105491</v>
      </c>
      <c r="S183" s="80">
        <f t="shared" si="81"/>
        <v>8384.6919563479732</v>
      </c>
      <c r="T183" s="80">
        <f t="shared" si="81"/>
        <v>271.26181090444828</v>
      </c>
      <c r="U183" s="80">
        <f t="shared" si="81"/>
        <v>5293.6433995065272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34803614.031254336</v>
      </c>
      <c r="AB183" s="59" t="str">
        <f t="shared" si="83"/>
        <v>ok</v>
      </c>
    </row>
    <row r="184" spans="1:28">
      <c r="A184" s="69" t="s">
        <v>1266</v>
      </c>
      <c r="C184" s="61" t="s">
        <v>1077</v>
      </c>
      <c r="D184" s="61" t="s">
        <v>452</v>
      </c>
      <c r="E184" s="61" t="s">
        <v>191</v>
      </c>
      <c r="F184" s="80">
        <f>VLOOKUP(C184,'Functional Assignment'!$C$2:$AP$780,'Functional Assignment'!$J$2,)</f>
        <v>28608453.375186369</v>
      </c>
      <c r="G184" s="80">
        <f t="shared" si="80"/>
        <v>12905012.613995472</v>
      </c>
      <c r="H184" s="80">
        <f t="shared" si="80"/>
        <v>3260568.0905767521</v>
      </c>
      <c r="I184" s="80">
        <f t="shared" si="80"/>
        <v>0</v>
      </c>
      <c r="J184" s="80">
        <f t="shared" si="80"/>
        <v>329874.97347417288</v>
      </c>
      <c r="K184" s="80">
        <f t="shared" si="80"/>
        <v>4176986.5887002856</v>
      </c>
      <c r="L184" s="80">
        <f t="shared" si="80"/>
        <v>0</v>
      </c>
      <c r="M184" s="80">
        <f t="shared" si="80"/>
        <v>0</v>
      </c>
      <c r="N184" s="80">
        <f t="shared" si="80"/>
        <v>3450412.6929314085</v>
      </c>
      <c r="O184" s="80">
        <f t="shared" si="80"/>
        <v>2198451.5905788299</v>
      </c>
      <c r="P184" s="80">
        <f t="shared" si="80"/>
        <v>1955594.8198225747</v>
      </c>
      <c r="Q184" s="80">
        <f t="shared" si="81"/>
        <v>223524.03146458833</v>
      </c>
      <c r="R184" s="80">
        <f t="shared" si="81"/>
        <v>96561.451809537277</v>
      </c>
      <c r="S184" s="80">
        <f t="shared" si="81"/>
        <v>6892.1885147637377</v>
      </c>
      <c r="T184" s="80">
        <f t="shared" si="81"/>
        <v>222.97629386303257</v>
      </c>
      <c r="U184" s="80">
        <f t="shared" si="81"/>
        <v>4351.3570241195866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28608453.375186369</v>
      </c>
      <c r="AB184" s="59" t="str">
        <f t="shared" si="83"/>
        <v>ok</v>
      </c>
    </row>
    <row r="185" spans="1:28">
      <c r="A185" s="69" t="s">
        <v>1267</v>
      </c>
      <c r="C185" s="61" t="s">
        <v>1077</v>
      </c>
      <c r="D185" s="61" t="s">
        <v>453</v>
      </c>
      <c r="E185" s="61" t="s">
        <v>1100</v>
      </c>
      <c r="F185" s="80">
        <f>VLOOKUP(C185,'Functional Assignment'!$C$2:$AP$780,'Functional Assignment'!$K$2,)</f>
        <v>465540988.35893065</v>
      </c>
      <c r="G185" s="80">
        <f t="shared" si="80"/>
        <v>168422502.43944997</v>
      </c>
      <c r="H185" s="80">
        <f t="shared" si="80"/>
        <v>54731283.690887347</v>
      </c>
      <c r="I185" s="80">
        <f t="shared" si="80"/>
        <v>0</v>
      </c>
      <c r="J185" s="80">
        <f t="shared" si="80"/>
        <v>6518587.5688679339</v>
      </c>
      <c r="K185" s="80">
        <f t="shared" si="80"/>
        <v>75526308.694867209</v>
      </c>
      <c r="L185" s="80">
        <f t="shared" si="80"/>
        <v>0</v>
      </c>
      <c r="M185" s="80">
        <f t="shared" si="80"/>
        <v>0</v>
      </c>
      <c r="N185" s="80">
        <f t="shared" si="80"/>
        <v>72903854.868150339</v>
      </c>
      <c r="O185" s="80">
        <f t="shared" si="80"/>
        <v>32064107.730646107</v>
      </c>
      <c r="P185" s="80">
        <f t="shared" si="80"/>
        <v>44392865.316353843</v>
      </c>
      <c r="Q185" s="80">
        <f t="shared" si="81"/>
        <v>4332968.9052965427</v>
      </c>
      <c r="R185" s="80">
        <f t="shared" si="81"/>
        <v>2289091.3171369969</v>
      </c>
      <c r="S185" s="80">
        <f t="shared" si="81"/>
        <v>4100500.4460437791</v>
      </c>
      <c r="T185" s="80">
        <f t="shared" si="81"/>
        <v>133662.33427003646</v>
      </c>
      <c r="U185" s="80">
        <f t="shared" si="81"/>
        <v>125255.04696051993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465540988.35893071</v>
      </c>
      <c r="AB185" s="59" t="str">
        <f t="shared" si="83"/>
        <v>ok</v>
      </c>
    </row>
    <row r="186" spans="1:28" hidden="1">
      <c r="A186" s="69" t="s">
        <v>1268</v>
      </c>
      <c r="C186" s="61" t="s">
        <v>1077</v>
      </c>
      <c r="D186" s="61" t="s">
        <v>454</v>
      </c>
      <c r="E186" s="61" t="s">
        <v>1100</v>
      </c>
      <c r="F186" s="80">
        <f>VLOOKUP(C186,'Functional Assignment'!$C$2:$AP$780,'Functional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hidden="1">
      <c r="A187" s="69" t="s">
        <v>1268</v>
      </c>
      <c r="C187" s="61" t="s">
        <v>1077</v>
      </c>
      <c r="D187" s="61" t="s">
        <v>455</v>
      </c>
      <c r="E187" s="61" t="s">
        <v>1100</v>
      </c>
      <c r="F187" s="80">
        <f>VLOOKUP(C187,'Functional Assignment'!$C$2:$AP$780,'Functional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>
      <c r="A188" s="61" t="s">
        <v>387</v>
      </c>
      <c r="D188" s="61" t="s">
        <v>1114</v>
      </c>
      <c r="F188" s="77">
        <f>SUM(F182:F187)</f>
        <v>562176455.45861578</v>
      </c>
      <c r="G188" s="77">
        <f t="shared" ref="G188:P188" si="84">SUM(G182:G187)</f>
        <v>212013881.02695659</v>
      </c>
      <c r="H188" s="77">
        <f t="shared" si="84"/>
        <v>65745039.531197965</v>
      </c>
      <c r="I188" s="77">
        <f t="shared" si="84"/>
        <v>0</v>
      </c>
      <c r="J188" s="77">
        <f t="shared" si="84"/>
        <v>7632860.3933409303</v>
      </c>
      <c r="K188" s="77">
        <f t="shared" si="84"/>
        <v>89635601.664136052</v>
      </c>
      <c r="L188" s="77">
        <f t="shared" si="84"/>
        <v>0</v>
      </c>
      <c r="M188" s="77">
        <f t="shared" si="84"/>
        <v>0</v>
      </c>
      <c r="N188" s="77">
        <f t="shared" si="84"/>
        <v>84558879.971930057</v>
      </c>
      <c r="O188" s="77">
        <f>SUM(O182:O187)</f>
        <v>39490178.394637287</v>
      </c>
      <c r="P188" s="77">
        <f t="shared" si="84"/>
        <v>50998598.817319371</v>
      </c>
      <c r="Q188" s="77">
        <f t="shared" ref="Q188:W188" si="85">SUM(Q182:Q187)</f>
        <v>5088002.7026607981</v>
      </c>
      <c r="R188" s="77">
        <f t="shared" si="85"/>
        <v>2615262.7769171982</v>
      </c>
      <c r="S188" s="77">
        <f t="shared" si="85"/>
        <v>4123781.3220746717</v>
      </c>
      <c r="T188" s="77">
        <f t="shared" si="85"/>
        <v>134415.51788423001</v>
      </c>
      <c r="U188" s="77">
        <f t="shared" si="85"/>
        <v>139953.33956056696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562176455.45861566</v>
      </c>
      <c r="AB188" s="59" t="str">
        <f t="shared" si="83"/>
        <v>ok</v>
      </c>
    </row>
    <row r="189" spans="1:28">
      <c r="F189" s="80"/>
      <c r="G189" s="80"/>
    </row>
    <row r="190" spans="1:28" ht="15">
      <c r="A190" s="66" t="s">
        <v>1140</v>
      </c>
      <c r="F190" s="80"/>
      <c r="G190" s="80"/>
    </row>
    <row r="191" spans="1:28">
      <c r="A191" s="69" t="s">
        <v>1377</v>
      </c>
      <c r="C191" s="61" t="s">
        <v>1077</v>
      </c>
      <c r="D191" s="61" t="s">
        <v>456</v>
      </c>
      <c r="E191" s="61" t="s">
        <v>1381</v>
      </c>
      <c r="F191" s="77">
        <f>VLOOKUP(C191,'Functional Assignment'!$C$2:$AP$780,'Functional Assignment'!$N$2,)</f>
        <v>22151694.551854581</v>
      </c>
      <c r="G191" s="77">
        <f t="shared" ref="G191:P193" si="86">IF(VLOOKUP($E191,$D$6:$AN$1131,3,)=0,0,(VLOOKUP($E191,$D$6:$AN$1131,G$2,)/VLOOKUP($E191,$D$6:$AN$1131,3,))*$F191)</f>
        <v>9843945.0934296139</v>
      </c>
      <c r="H191" s="77">
        <f t="shared" si="86"/>
        <v>2833552.1934413416</v>
      </c>
      <c r="I191" s="77">
        <f t="shared" si="86"/>
        <v>0</v>
      </c>
      <c r="J191" s="77">
        <f t="shared" si="86"/>
        <v>251763.59360683861</v>
      </c>
      <c r="K191" s="77">
        <f t="shared" si="86"/>
        <v>2922121.3850279599</v>
      </c>
      <c r="L191" s="77">
        <f t="shared" si="86"/>
        <v>0</v>
      </c>
      <c r="M191" s="77">
        <f t="shared" si="86"/>
        <v>0</v>
      </c>
      <c r="N191" s="77">
        <f t="shared" si="86"/>
        <v>2658238.7789754085</v>
      </c>
      <c r="O191" s="77">
        <f t="shared" si="86"/>
        <v>1578322.6756343157</v>
      </c>
      <c r="P191" s="77">
        <f t="shared" si="86"/>
        <v>1634854.5105856331</v>
      </c>
      <c r="Q191" s="77">
        <f t="shared" ref="Q191:Z193" si="87">IF(VLOOKUP($E191,$D$6:$AN$1131,3,)=0,0,(VLOOKUP($E191,$D$6:$AN$1131,Q$2,)/VLOOKUP($E191,$D$6:$AN$1131,3,))*$F191)</f>
        <v>164800.53281259272</v>
      </c>
      <c r="R191" s="77">
        <f t="shared" si="87"/>
        <v>86258.969885143466</v>
      </c>
      <c r="S191" s="77">
        <f t="shared" si="87"/>
        <v>169926.37865111072</v>
      </c>
      <c r="T191" s="77">
        <f t="shared" si="87"/>
        <v>5434.7361067974307</v>
      </c>
      <c r="U191" s="77">
        <f t="shared" si="87"/>
        <v>2475.7036978294514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22151694.551854592</v>
      </c>
      <c r="AB191" s="59" t="str">
        <f>IF(ABS(F191-AA191)&lt;0.01,"ok","err")</f>
        <v>ok</v>
      </c>
    </row>
    <row r="192" spans="1:28" hidden="1">
      <c r="A192" s="69" t="s">
        <v>1378</v>
      </c>
      <c r="C192" s="61" t="s">
        <v>1077</v>
      </c>
      <c r="D192" s="61" t="s">
        <v>457</v>
      </c>
      <c r="E192" s="61" t="s">
        <v>188</v>
      </c>
      <c r="F192" s="80">
        <f>VLOOKUP(C192,'Functional Assignment'!$C$2:$AP$780,'Functional Assignment'!$O$2,)</f>
        <v>0</v>
      </c>
      <c r="G192" s="80">
        <f t="shared" si="86"/>
        <v>0</v>
      </c>
      <c r="H192" s="80">
        <f t="shared" si="86"/>
        <v>0</v>
      </c>
      <c r="I192" s="80">
        <f t="shared" si="86"/>
        <v>0</v>
      </c>
      <c r="J192" s="80">
        <f t="shared" si="86"/>
        <v>0</v>
      </c>
      <c r="K192" s="80">
        <f t="shared" si="86"/>
        <v>0</v>
      </c>
      <c r="L192" s="80">
        <f t="shared" si="86"/>
        <v>0</v>
      </c>
      <c r="M192" s="80">
        <f t="shared" si="86"/>
        <v>0</v>
      </c>
      <c r="N192" s="80">
        <f t="shared" si="86"/>
        <v>0</v>
      </c>
      <c r="O192" s="80">
        <f t="shared" si="86"/>
        <v>0</v>
      </c>
      <c r="P192" s="80">
        <f t="shared" si="86"/>
        <v>0</v>
      </c>
      <c r="Q192" s="80">
        <f t="shared" si="87"/>
        <v>0</v>
      </c>
      <c r="R192" s="80">
        <f t="shared" si="87"/>
        <v>0</v>
      </c>
      <c r="S192" s="80">
        <f t="shared" si="87"/>
        <v>0</v>
      </c>
      <c r="T192" s="80">
        <f t="shared" si="87"/>
        <v>0</v>
      </c>
      <c r="U192" s="80">
        <f t="shared" si="87"/>
        <v>0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0</v>
      </c>
      <c r="AB192" s="59" t="str">
        <f>IF(ABS(F192-AA192)&lt;0.01,"ok","err")</f>
        <v>ok</v>
      </c>
    </row>
    <row r="193" spans="1:28" hidden="1">
      <c r="A193" s="69" t="s">
        <v>1378</v>
      </c>
      <c r="C193" s="61" t="s">
        <v>1077</v>
      </c>
      <c r="D193" s="61" t="s">
        <v>458</v>
      </c>
      <c r="E193" s="61" t="s">
        <v>191</v>
      </c>
      <c r="F193" s="80">
        <f>VLOOKUP(C193,'Functional Assignment'!$C$2:$AP$780,'Functional Assignment'!$P$2,)</f>
        <v>0</v>
      </c>
      <c r="G193" s="80">
        <f t="shared" si="86"/>
        <v>0</v>
      </c>
      <c r="H193" s="80">
        <f t="shared" si="86"/>
        <v>0</v>
      </c>
      <c r="I193" s="80">
        <f t="shared" si="86"/>
        <v>0</v>
      </c>
      <c r="J193" s="80">
        <f t="shared" si="86"/>
        <v>0</v>
      </c>
      <c r="K193" s="80">
        <f t="shared" si="86"/>
        <v>0</v>
      </c>
      <c r="L193" s="80">
        <f t="shared" si="86"/>
        <v>0</v>
      </c>
      <c r="M193" s="80">
        <f t="shared" si="86"/>
        <v>0</v>
      </c>
      <c r="N193" s="80">
        <f t="shared" si="86"/>
        <v>0</v>
      </c>
      <c r="O193" s="80">
        <f t="shared" si="86"/>
        <v>0</v>
      </c>
      <c r="P193" s="80">
        <f t="shared" si="86"/>
        <v>0</v>
      </c>
      <c r="Q193" s="80">
        <f t="shared" si="87"/>
        <v>0</v>
      </c>
      <c r="R193" s="80">
        <f t="shared" si="87"/>
        <v>0</v>
      </c>
      <c r="S193" s="80">
        <f t="shared" si="87"/>
        <v>0</v>
      </c>
      <c r="T193" s="80">
        <f t="shared" si="87"/>
        <v>0</v>
      </c>
      <c r="U193" s="80">
        <f t="shared" si="87"/>
        <v>0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0</v>
      </c>
      <c r="AB193" s="59" t="str">
        <f>IF(ABS(F193-AA193)&lt;0.01,"ok","err")</f>
        <v>ok</v>
      </c>
    </row>
    <row r="194" spans="1:28" hidden="1">
      <c r="A194" s="61" t="s">
        <v>1142</v>
      </c>
      <c r="D194" s="61" t="s">
        <v>459</v>
      </c>
      <c r="F194" s="77">
        <f>SUM(F191:F193)</f>
        <v>22151694.551854581</v>
      </c>
      <c r="G194" s="77">
        <f t="shared" ref="G194:W194" si="88">SUM(G191:G193)</f>
        <v>9843945.0934296139</v>
      </c>
      <c r="H194" s="77">
        <f t="shared" si="88"/>
        <v>2833552.1934413416</v>
      </c>
      <c r="I194" s="77">
        <f t="shared" si="88"/>
        <v>0</v>
      </c>
      <c r="J194" s="77">
        <f t="shared" si="88"/>
        <v>251763.59360683861</v>
      </c>
      <c r="K194" s="77">
        <f t="shared" si="88"/>
        <v>2922121.3850279599</v>
      </c>
      <c r="L194" s="77">
        <f t="shared" si="88"/>
        <v>0</v>
      </c>
      <c r="M194" s="77">
        <f t="shared" si="88"/>
        <v>0</v>
      </c>
      <c r="N194" s="77">
        <f t="shared" si="88"/>
        <v>2658238.7789754085</v>
      </c>
      <c r="O194" s="77">
        <f>SUM(O191:O193)</f>
        <v>1578322.6756343157</v>
      </c>
      <c r="P194" s="77">
        <f t="shared" si="88"/>
        <v>1634854.5105856331</v>
      </c>
      <c r="Q194" s="77">
        <f t="shared" si="88"/>
        <v>164800.53281259272</v>
      </c>
      <c r="R194" s="77">
        <f t="shared" si="88"/>
        <v>86258.969885143466</v>
      </c>
      <c r="S194" s="77">
        <f t="shared" si="88"/>
        <v>169926.37865111072</v>
      </c>
      <c r="T194" s="77">
        <f t="shared" si="88"/>
        <v>5434.7361067974307</v>
      </c>
      <c r="U194" s="77">
        <f t="shared" si="88"/>
        <v>2475.7036978294514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22151694.551854592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348</v>
      </c>
      <c r="F196" s="80"/>
      <c r="G196" s="80"/>
    </row>
    <row r="197" spans="1:28">
      <c r="A197" s="69" t="s">
        <v>372</v>
      </c>
      <c r="C197" s="61" t="s">
        <v>1077</v>
      </c>
      <c r="D197" s="61" t="s">
        <v>460</v>
      </c>
      <c r="E197" s="61" t="s">
        <v>1382</v>
      </c>
      <c r="F197" s="77">
        <f>VLOOKUP(C197,'Functional Assignment'!$C$2:$AP$780,'Functional Assignment'!$Q$2,)</f>
        <v>0</v>
      </c>
      <c r="G197" s="77">
        <f t="shared" ref="G197:Z197" si="89">IF(VLOOKUP($E197,$D$6:$AN$1131,3,)=0,0,(VLOOKUP($E197,$D$6:$AN$1131,G$2,)/VLOOKUP($E197,$D$6:$AN$1131,3,))*$F197)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349</v>
      </c>
      <c r="F199" s="80"/>
      <c r="G199" s="80"/>
    </row>
    <row r="200" spans="1:28">
      <c r="A200" s="69" t="s">
        <v>374</v>
      </c>
      <c r="C200" s="61" t="s">
        <v>1077</v>
      </c>
      <c r="D200" s="61" t="s">
        <v>461</v>
      </c>
      <c r="E200" s="61" t="s">
        <v>1382</v>
      </c>
      <c r="F200" s="77">
        <f>VLOOKUP(C200,'Functional Assignment'!$C$2:$AP$780,'Functional Assignment'!$R$2,)</f>
        <v>8189264.474252278</v>
      </c>
      <c r="G200" s="77">
        <f t="shared" ref="G200:Z200" si="90">IF(VLOOKUP($E200,$D$6:$AN$1131,3,)=0,0,(VLOOKUP($E200,$D$6:$AN$1131,G$2,)/VLOOKUP($E200,$D$6:$AN$1131,3,))*$F200)</f>
        <v>3929195.2209969661</v>
      </c>
      <c r="H200" s="77">
        <f t="shared" si="90"/>
        <v>1131007.9070175178</v>
      </c>
      <c r="I200" s="77">
        <f t="shared" si="90"/>
        <v>0</v>
      </c>
      <c r="J200" s="77">
        <f t="shared" si="90"/>
        <v>100491.04291340245</v>
      </c>
      <c r="K200" s="77">
        <f t="shared" si="90"/>
        <v>1166360.1607132424</v>
      </c>
      <c r="L200" s="77">
        <f t="shared" si="90"/>
        <v>0</v>
      </c>
      <c r="M200" s="77">
        <f t="shared" si="90"/>
        <v>0</v>
      </c>
      <c r="N200" s="77">
        <f t="shared" si="90"/>
        <v>1061031.8330188955</v>
      </c>
      <c r="O200" s="77">
        <f t="shared" si="90"/>
        <v>629985.01672187739</v>
      </c>
      <c r="P200" s="77">
        <f t="shared" si="90"/>
        <v>0</v>
      </c>
      <c r="Q200" s="77">
        <f t="shared" si="90"/>
        <v>65779.873800514411</v>
      </c>
      <c r="R200" s="77">
        <f t="shared" si="90"/>
        <v>34430.132332518413</v>
      </c>
      <c r="S200" s="77">
        <f t="shared" si="90"/>
        <v>67825.847115188313</v>
      </c>
      <c r="T200" s="77">
        <f t="shared" si="90"/>
        <v>2169.2663800472683</v>
      </c>
      <c r="U200" s="77">
        <f t="shared" si="90"/>
        <v>988.17324210886522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8189264.4742522789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373</v>
      </c>
      <c r="F202" s="80"/>
    </row>
    <row r="203" spans="1:28">
      <c r="A203" s="69" t="s">
        <v>623</v>
      </c>
      <c r="C203" s="61" t="s">
        <v>1077</v>
      </c>
      <c r="D203" s="61" t="s">
        <v>462</v>
      </c>
      <c r="E203" s="61" t="s">
        <v>1382</v>
      </c>
      <c r="F203" s="77">
        <f>VLOOKUP(C203,'Functional Assignment'!$C$2:$AP$780,'Functional Assignment'!$S$2,)</f>
        <v>0</v>
      </c>
      <c r="G203" s="77">
        <f t="shared" ref="G203:P207" si="91">IF(VLOOKUP($E203,$D$6:$AN$1131,3,)=0,0,(VLOOKUP($E203,$D$6:$AN$1131,G$2,)/VLOOKUP($E203,$D$6:$AN$1131,3,))*$F203)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IF(VLOOKUP($E203,$D$6:$AN$1131,3,)=0,0,(VLOOKUP($E203,$D$6:$AN$1131,Q$2,)/VLOOKUP($E203,$D$6:$AN$1131,3,))*$F203)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>
      <c r="A204" s="69" t="s">
        <v>624</v>
      </c>
      <c r="C204" s="61" t="s">
        <v>1077</v>
      </c>
      <c r="D204" s="61" t="s">
        <v>463</v>
      </c>
      <c r="E204" s="61" t="s">
        <v>1382</v>
      </c>
      <c r="F204" s="80">
        <f>VLOOKUP(C204,'Functional Assignment'!$C$2:$AP$780,'Functional Assignment'!$T$2,)</f>
        <v>14230157.677818516</v>
      </c>
      <c r="G204" s="80">
        <f t="shared" si="91"/>
        <v>6827605.5459575262</v>
      </c>
      <c r="H204" s="80">
        <f t="shared" si="91"/>
        <v>1965307.2510139302</v>
      </c>
      <c r="I204" s="80">
        <f t="shared" si="91"/>
        <v>0</v>
      </c>
      <c r="J204" s="80">
        <f t="shared" si="91"/>
        <v>174619.27018747435</v>
      </c>
      <c r="K204" s="80">
        <f t="shared" si="91"/>
        <v>2026737.4497745258</v>
      </c>
      <c r="L204" s="80">
        <f t="shared" si="91"/>
        <v>0</v>
      </c>
      <c r="M204" s="80">
        <f t="shared" si="91"/>
        <v>0</v>
      </c>
      <c r="N204" s="80">
        <f t="shared" si="91"/>
        <v>1843712.623095162</v>
      </c>
      <c r="O204" s="80">
        <f t="shared" si="91"/>
        <v>1094699.7927349245</v>
      </c>
      <c r="P204" s="80">
        <f t="shared" si="91"/>
        <v>0</v>
      </c>
      <c r="Q204" s="80">
        <f t="shared" si="92"/>
        <v>114303.05849217187</v>
      </c>
      <c r="R204" s="80">
        <f t="shared" si="92"/>
        <v>59827.865310776768</v>
      </c>
      <c r="S204" s="80">
        <f t="shared" si="92"/>
        <v>117858.26457495954</v>
      </c>
      <c r="T204" s="80">
        <f t="shared" si="92"/>
        <v>3769.447516357287</v>
      </c>
      <c r="U204" s="80">
        <f t="shared" si="92"/>
        <v>1717.1091607093572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14230157.677818522</v>
      </c>
      <c r="AB204" s="59" t="str">
        <f t="shared" si="94"/>
        <v>ok</v>
      </c>
    </row>
    <row r="205" spans="1:28">
      <c r="A205" s="69" t="s">
        <v>625</v>
      </c>
      <c r="C205" s="61" t="s">
        <v>1077</v>
      </c>
      <c r="D205" s="61" t="s">
        <v>464</v>
      </c>
      <c r="E205" s="61" t="s">
        <v>698</v>
      </c>
      <c r="F205" s="80">
        <f>VLOOKUP(C205,'Functional Assignment'!$C$2:$AP$780,'Functional Assignment'!$U$2,)</f>
        <v>21300716.352424528</v>
      </c>
      <c r="G205" s="80">
        <f t="shared" si="91"/>
        <v>18363629.498836197</v>
      </c>
      <c r="H205" s="80">
        <f t="shared" si="91"/>
        <v>2281501.2191092493</v>
      </c>
      <c r="I205" s="80">
        <f t="shared" si="91"/>
        <v>0</v>
      </c>
      <c r="J205" s="80">
        <f t="shared" si="91"/>
        <v>3631.277223862457</v>
      </c>
      <c r="K205" s="80">
        <f t="shared" si="91"/>
        <v>142435.16795914198</v>
      </c>
      <c r="L205" s="80">
        <f t="shared" si="91"/>
        <v>0</v>
      </c>
      <c r="M205" s="80">
        <f t="shared" si="91"/>
        <v>0</v>
      </c>
      <c r="N205" s="80">
        <f t="shared" si="91"/>
        <v>5320.8298210762396</v>
      </c>
      <c r="O205" s="80">
        <f t="shared" si="91"/>
        <v>13919.896024806085</v>
      </c>
      <c r="P205" s="80">
        <f t="shared" si="91"/>
        <v>0</v>
      </c>
      <c r="Q205" s="80">
        <f t="shared" si="92"/>
        <v>50.434405886978567</v>
      </c>
      <c r="R205" s="80">
        <f t="shared" si="92"/>
        <v>50.434405886978567</v>
      </c>
      <c r="S205" s="80">
        <f t="shared" si="92"/>
        <v>484181.50416074693</v>
      </c>
      <c r="T205" s="80">
        <f t="shared" si="92"/>
        <v>924.63077459460703</v>
      </c>
      <c r="U205" s="80">
        <f t="shared" si="92"/>
        <v>5071.4597030795121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21300716.352424525</v>
      </c>
      <c r="AB205" s="59" t="str">
        <f t="shared" si="94"/>
        <v>ok</v>
      </c>
    </row>
    <row r="206" spans="1:28">
      <c r="A206" s="69" t="s">
        <v>626</v>
      </c>
      <c r="C206" s="61" t="s">
        <v>1077</v>
      </c>
      <c r="D206" s="61" t="s">
        <v>465</v>
      </c>
      <c r="E206" s="61" t="s">
        <v>678</v>
      </c>
      <c r="F206" s="80">
        <f>VLOOKUP(C206,'Functional Assignment'!$C$2:$AP$780,'Functional Assignment'!$V$2,)</f>
        <v>4785490.0157958288</v>
      </c>
      <c r="G206" s="80">
        <f t="shared" si="91"/>
        <v>4016021.5948013803</v>
      </c>
      <c r="H206" s="80">
        <f t="shared" si="91"/>
        <v>734913.83828476153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33017.54471680976</v>
      </c>
      <c r="T206" s="80">
        <f t="shared" si="92"/>
        <v>1055.9963900523685</v>
      </c>
      <c r="U206" s="80">
        <f t="shared" si="92"/>
        <v>481.04160282545331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4785490.0157958297</v>
      </c>
      <c r="AB206" s="59" t="str">
        <f t="shared" si="94"/>
        <v>ok</v>
      </c>
    </row>
    <row r="207" spans="1:28">
      <c r="A207" s="69" t="s">
        <v>627</v>
      </c>
      <c r="C207" s="61" t="s">
        <v>1077</v>
      </c>
      <c r="D207" s="61" t="s">
        <v>466</v>
      </c>
      <c r="E207" s="61" t="s">
        <v>697</v>
      </c>
      <c r="F207" s="80">
        <f>VLOOKUP(C207,'Functional Assignment'!$C$2:$AP$780,'Functional Assignment'!$W$2,)</f>
        <v>7030140.6081471965</v>
      </c>
      <c r="G207" s="80">
        <f t="shared" si="91"/>
        <v>6108209.8043430578</v>
      </c>
      <c r="H207" s="80">
        <f t="shared" si="91"/>
        <v>758885.28006225289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161051.07168404126</v>
      </c>
      <c r="T207" s="80">
        <f t="shared" si="92"/>
        <v>307.55569116301484</v>
      </c>
      <c r="U207" s="80">
        <f t="shared" si="92"/>
        <v>1686.8963666819907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7030140.6081471965</v>
      </c>
      <c r="AB207" s="59" t="str">
        <f t="shared" si="94"/>
        <v>ok</v>
      </c>
    </row>
    <row r="208" spans="1:28">
      <c r="A208" s="61" t="s">
        <v>378</v>
      </c>
      <c r="D208" s="61" t="s">
        <v>467</v>
      </c>
      <c r="F208" s="77">
        <f>SUM(F203:F207)</f>
        <v>47346504.65418607</v>
      </c>
      <c r="G208" s="77">
        <f t="shared" ref="G208:W208" si="95">SUM(G203:G207)</f>
        <v>35315466.443938166</v>
      </c>
      <c r="H208" s="77">
        <f t="shared" si="95"/>
        <v>5740607.5884701936</v>
      </c>
      <c r="I208" s="77">
        <f t="shared" si="95"/>
        <v>0</v>
      </c>
      <c r="J208" s="77">
        <f t="shared" si="95"/>
        <v>178250.5474113368</v>
      </c>
      <c r="K208" s="77">
        <f t="shared" si="95"/>
        <v>2169172.6177336676</v>
      </c>
      <c r="L208" s="77">
        <f t="shared" si="95"/>
        <v>0</v>
      </c>
      <c r="M208" s="77">
        <f t="shared" si="95"/>
        <v>0</v>
      </c>
      <c r="N208" s="77">
        <f t="shared" si="95"/>
        <v>1849033.4529162382</v>
      </c>
      <c r="O208" s="77">
        <f>SUM(O203:O207)</f>
        <v>1108619.6887597307</v>
      </c>
      <c r="P208" s="77">
        <f t="shared" si="95"/>
        <v>0</v>
      </c>
      <c r="Q208" s="77">
        <f t="shared" si="95"/>
        <v>114353.49289805884</v>
      </c>
      <c r="R208" s="77">
        <f t="shared" si="95"/>
        <v>59878.299716663743</v>
      </c>
      <c r="S208" s="77">
        <f t="shared" si="95"/>
        <v>796108.38513655751</v>
      </c>
      <c r="T208" s="77">
        <f t="shared" si="95"/>
        <v>6057.6303721672766</v>
      </c>
      <c r="U208" s="77">
        <f t="shared" si="95"/>
        <v>8956.5068332963128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47346504.654186077</v>
      </c>
      <c r="AB208" s="59" t="str">
        <f t="shared" si="94"/>
        <v>ok</v>
      </c>
    </row>
    <row r="209" spans="1:28">
      <c r="F209" s="80"/>
    </row>
    <row r="210" spans="1:28" ht="15">
      <c r="A210" s="66" t="s">
        <v>634</v>
      </c>
      <c r="F210" s="80"/>
    </row>
    <row r="211" spans="1:28">
      <c r="A211" s="69" t="s">
        <v>1099</v>
      </c>
      <c r="C211" s="61" t="s">
        <v>1077</v>
      </c>
      <c r="D211" s="61" t="s">
        <v>468</v>
      </c>
      <c r="E211" s="61" t="s">
        <v>1346</v>
      </c>
      <c r="F211" s="77">
        <f>VLOOKUP(C211,'Functional Assignment'!$C$2:$AP$780,'Functional Assignment'!$X$2,)</f>
        <v>1119996.1920663603</v>
      </c>
      <c r="G211" s="77">
        <f t="shared" ref="G211:P212" si="96">IF(VLOOKUP($E211,$D$6:$AN$1131,3,)=0,0,(VLOOKUP($E211,$D$6:$AN$1131,G$2,)/VLOOKUP($E211,$D$6:$AN$1131,3,))*$F211)</f>
        <v>777054.17724206764</v>
      </c>
      <c r="H211" s="77">
        <f t="shared" si="96"/>
        <v>142197.40966816651</v>
      </c>
      <c r="I211" s="77">
        <f t="shared" si="96"/>
        <v>0</v>
      </c>
      <c r="J211" s="77">
        <f t="shared" si="96"/>
        <v>0</v>
      </c>
      <c r="K211" s="77">
        <f t="shared" si="96"/>
        <v>125234.26578102716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68824.423424802284</v>
      </c>
      <c r="P211" s="77">
        <f t="shared" si="96"/>
        <v>0</v>
      </c>
      <c r="Q211" s="77">
        <f t="shared" ref="Q211:Z212" si="97">IF(VLOOKUP($E211,$D$6:$AN$1131,3,)=0,0,(VLOOKUP($E211,$D$6:$AN$1131,Q$2,)/VLOOKUP($E211,$D$6:$AN$1131,3,))*$F211)</f>
        <v>0</v>
      </c>
      <c r="R211" s="77">
        <f t="shared" si="97"/>
        <v>0</v>
      </c>
      <c r="S211" s="77">
        <f t="shared" si="97"/>
        <v>6388.5167046126589</v>
      </c>
      <c r="T211" s="77">
        <f t="shared" si="97"/>
        <v>204.32320560848959</v>
      </c>
      <c r="U211" s="77">
        <f t="shared" si="97"/>
        <v>93.076040075731925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1119996.1920663603</v>
      </c>
      <c r="AB211" s="59" t="str">
        <f>IF(ABS(F211-AA211)&lt;0.01,"ok","err")</f>
        <v>ok</v>
      </c>
    </row>
    <row r="212" spans="1:28">
      <c r="A212" s="69" t="s">
        <v>1102</v>
      </c>
      <c r="C212" s="61" t="s">
        <v>1077</v>
      </c>
      <c r="D212" s="61" t="s">
        <v>469</v>
      </c>
      <c r="E212" s="61" t="s">
        <v>1344</v>
      </c>
      <c r="F212" s="80">
        <f>VLOOKUP(C212,'Functional Assignment'!$C$2:$AP$780,'Functional Assignment'!$Y$2,)</f>
        <v>783271.9734913212</v>
      </c>
      <c r="G212" s="80">
        <f t="shared" si="96"/>
        <v>675556.25239907869</v>
      </c>
      <c r="H212" s="80">
        <f t="shared" si="96"/>
        <v>83931.251908728271</v>
      </c>
      <c r="I212" s="80">
        <f t="shared" si="96"/>
        <v>0</v>
      </c>
      <c r="J212" s="80">
        <f t="shared" si="96"/>
        <v>0</v>
      </c>
      <c r="K212" s="80">
        <f t="shared" si="96"/>
        <v>5239.8665679031192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512.08138308926323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17811.938672173321</v>
      </c>
      <c r="T212" s="80">
        <f t="shared" si="97"/>
        <v>34.015067717281973</v>
      </c>
      <c r="U212" s="80">
        <f t="shared" si="97"/>
        <v>186.56749263115267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783271.97349132109</v>
      </c>
      <c r="AB212" s="59" t="str">
        <f>IF(ABS(F212-AA212)&lt;0.01,"ok","err")</f>
        <v>ok</v>
      </c>
    </row>
    <row r="213" spans="1:28">
      <c r="A213" s="61" t="s">
        <v>712</v>
      </c>
      <c r="D213" s="61" t="s">
        <v>470</v>
      </c>
      <c r="F213" s="77">
        <f>F211+F212</f>
        <v>1903268.1655576816</v>
      </c>
      <c r="G213" s="77">
        <f t="shared" ref="G213:W213" si="98">G211+G212</f>
        <v>1452610.4296411462</v>
      </c>
      <c r="H213" s="77">
        <f t="shared" si="98"/>
        <v>226128.66157689478</v>
      </c>
      <c r="I213" s="77">
        <f t="shared" si="98"/>
        <v>0</v>
      </c>
      <c r="J213" s="77">
        <f t="shared" si="98"/>
        <v>0</v>
      </c>
      <c r="K213" s="77">
        <f t="shared" si="98"/>
        <v>130474.13234893029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69336.504807891542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24200.45537678598</v>
      </c>
      <c r="T213" s="77">
        <f t="shared" si="98"/>
        <v>238.33827332577155</v>
      </c>
      <c r="U213" s="77">
        <f t="shared" si="98"/>
        <v>279.64353270688457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1903268.1655576814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354</v>
      </c>
      <c r="F215" s="80"/>
    </row>
    <row r="216" spans="1:28">
      <c r="A216" s="69" t="s">
        <v>1102</v>
      </c>
      <c r="C216" s="61" t="s">
        <v>1077</v>
      </c>
      <c r="D216" s="61" t="s">
        <v>471</v>
      </c>
      <c r="E216" s="61" t="s">
        <v>1104</v>
      </c>
      <c r="F216" s="77">
        <f>VLOOKUP(C216,'Functional Assignment'!$C$2:$AP$780,'Functional Assignment'!$Z$2,)</f>
        <v>295808.63373702235</v>
      </c>
      <c r="G216" s="77">
        <f t="shared" ref="G216:Z216" si="99">IF(VLOOKUP($E216,$D$6:$AN$1131,3,)=0,0,(VLOOKUP($E216,$D$6:$AN$1131,G$2,)/VLOOKUP($E216,$D$6:$AN$1131,3,))*$F216)</f>
        <v>227363.36734278357</v>
      </c>
      <c r="H216" s="77">
        <f t="shared" si="99"/>
        <v>57220.143549060216</v>
      </c>
      <c r="I216" s="77">
        <f t="shared" si="99"/>
        <v>0</v>
      </c>
      <c r="J216" s="77">
        <f t="shared" si="99"/>
        <v>0</v>
      </c>
      <c r="K216" s="77">
        <f t="shared" si="99"/>
        <v>9982.420670759846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1242.7021744186784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295808.63373702235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353</v>
      </c>
      <c r="F218" s="80"/>
    </row>
    <row r="219" spans="1:28">
      <c r="A219" s="69" t="s">
        <v>1102</v>
      </c>
      <c r="C219" s="61" t="s">
        <v>1077</v>
      </c>
      <c r="D219" s="61" t="s">
        <v>472</v>
      </c>
      <c r="E219" s="61" t="s">
        <v>1105</v>
      </c>
      <c r="F219" s="77">
        <f>VLOOKUP(C219,'Functional Assignment'!$C$2:$AP$780,'Functional Assignment'!$AA$2,)</f>
        <v>17171208.623644177</v>
      </c>
      <c r="G219" s="77">
        <f t="shared" ref="G219:Z219" si="100">IF(VLOOKUP($E219,$D$6:$AN$1131,3,)=0,0,(VLOOKUP($E219,$D$6:$AN$1131,G$2,)/VLOOKUP($E219,$D$6:$AN$1131,3,))*$F219)</f>
        <v>12018471.691272285</v>
      </c>
      <c r="H219" s="77">
        <f t="shared" si="100"/>
        <v>3533499.6633346044</v>
      </c>
      <c r="I219" s="77">
        <f t="shared" si="100"/>
        <v>0</v>
      </c>
      <c r="J219" s="77">
        <f t="shared" si="100"/>
        <v>137553.38642243267</v>
      </c>
      <c r="K219" s="77">
        <f t="shared" si="100"/>
        <v>950545.09597307001</v>
      </c>
      <c r="L219" s="77">
        <f t="shared" si="100"/>
        <v>0</v>
      </c>
      <c r="M219" s="77">
        <f t="shared" si="100"/>
        <v>0</v>
      </c>
      <c r="N219" s="77">
        <f t="shared" si="100"/>
        <v>215395.54424141604</v>
      </c>
      <c r="O219" s="77">
        <f t="shared" si="100"/>
        <v>100139.23380047597</v>
      </c>
      <c r="P219" s="77">
        <f t="shared" si="100"/>
        <v>176202.24911453691</v>
      </c>
      <c r="Q219" s="77">
        <f t="shared" si="100"/>
        <v>2041.6639264589198</v>
      </c>
      <c r="R219" s="77">
        <f t="shared" si="100"/>
        <v>2041.6639264589198</v>
      </c>
      <c r="S219" s="77">
        <f t="shared" si="100"/>
        <v>0</v>
      </c>
      <c r="T219" s="77">
        <f t="shared" si="100"/>
        <v>5446.3002050024197</v>
      </c>
      <c r="U219" s="77">
        <f t="shared" si="100"/>
        <v>29872.131427437515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17171208.623644181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371</v>
      </c>
      <c r="F221" s="80"/>
    </row>
    <row r="222" spans="1:28">
      <c r="A222" s="69" t="s">
        <v>1102</v>
      </c>
      <c r="C222" s="61" t="s">
        <v>1077</v>
      </c>
      <c r="D222" s="61" t="s">
        <v>473</v>
      </c>
      <c r="E222" s="61" t="s">
        <v>1106</v>
      </c>
      <c r="F222" s="77">
        <f>VLOOKUP(C222,'Functional Assignment'!$C$2:$AP$780,'Functional Assignment'!$AB$2,)</f>
        <v>1306144.5579258415</v>
      </c>
      <c r="G222" s="77">
        <f t="shared" ref="G222:Z222" si="101">IF(VLOOKUP($E222,$D$6:$AN$1131,3,)=0,0,(VLOOKUP($E222,$D$6:$AN$1131,G$2,)/VLOOKUP($E222,$D$6:$AN$1131,3,))*$F222)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1306144.5579258415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1306144.5579258415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1034</v>
      </c>
      <c r="F224" s="80"/>
    </row>
    <row r="225" spans="1:28">
      <c r="A225" s="69" t="s">
        <v>1102</v>
      </c>
      <c r="C225" s="61" t="s">
        <v>1077</v>
      </c>
      <c r="D225" s="61" t="s">
        <v>474</v>
      </c>
      <c r="E225" s="61" t="s">
        <v>1107</v>
      </c>
      <c r="F225" s="77">
        <f>VLOOKUP(C225,'Functional Assignment'!$C$2:$AP$780,'Functional Assignment'!$AC$2,)</f>
        <v>20585101.39846275</v>
      </c>
      <c r="G225" s="77">
        <f t="shared" ref="G225:Z225" si="102">IF(VLOOKUP($E225,$D$6:$AN$1131,3,)=0,0,(VLOOKUP($E225,$D$6:$AN$1131,G$2,)/VLOOKUP($E225,$D$6:$AN$1131,3,))*$F225)</f>
        <v>15338459.122367129</v>
      </c>
      <c r="H225" s="77">
        <f t="shared" si="102"/>
        <v>3811306.8213618449</v>
      </c>
      <c r="I225" s="77">
        <f t="shared" si="102"/>
        <v>0</v>
      </c>
      <c r="J225" s="77">
        <f t="shared" si="102"/>
        <v>15165.356408363334</v>
      </c>
      <c r="K225" s="77">
        <f t="shared" si="102"/>
        <v>594854.08411971456</v>
      </c>
      <c r="L225" s="77">
        <f t="shared" si="102"/>
        <v>0</v>
      </c>
      <c r="M225" s="77">
        <f t="shared" si="102"/>
        <v>0</v>
      </c>
      <c r="N225" s="77">
        <f t="shared" si="102"/>
        <v>111107.29868627303</v>
      </c>
      <c r="O225" s="77">
        <f t="shared" si="102"/>
        <v>290669.33116029721</v>
      </c>
      <c r="P225" s="77">
        <f t="shared" si="102"/>
        <v>13690.946757550231</v>
      </c>
      <c r="Q225" s="77">
        <f t="shared" si="102"/>
        <v>210.6299501161574</v>
      </c>
      <c r="R225" s="77">
        <f t="shared" si="102"/>
        <v>210.6299501161574</v>
      </c>
      <c r="S225" s="77">
        <f t="shared" si="102"/>
        <v>404418.86555413838</v>
      </c>
      <c r="T225" s="77">
        <f t="shared" si="102"/>
        <v>772.30981709257719</v>
      </c>
      <c r="U225" s="77">
        <f t="shared" si="102"/>
        <v>4236.0023301138317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20585101.398462754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351</v>
      </c>
      <c r="F227" s="80"/>
    </row>
    <row r="228" spans="1:28">
      <c r="A228" s="69" t="s">
        <v>1102</v>
      </c>
      <c r="C228" s="61" t="s">
        <v>1077</v>
      </c>
      <c r="D228" s="61" t="s">
        <v>475</v>
      </c>
      <c r="E228" s="61" t="s">
        <v>1107</v>
      </c>
      <c r="F228" s="77">
        <f>VLOOKUP(C228,'Functional Assignment'!$C$2:$AP$780,'Functional Assignment'!$AD$2,)</f>
        <v>4496452.299998587</v>
      </c>
      <c r="G228" s="77">
        <f t="shared" ref="G228:Z228" si="103">IF(VLOOKUP($E228,$D$6:$AN$1131,3,)=0,0,(VLOOKUP($E228,$D$6:$AN$1131,G$2,)/VLOOKUP($E228,$D$6:$AN$1131,3,))*$F228)</f>
        <v>3350415.8402810884</v>
      </c>
      <c r="H228" s="77">
        <f t="shared" si="103"/>
        <v>832512.74750546296</v>
      </c>
      <c r="I228" s="77">
        <f t="shared" si="103"/>
        <v>0</v>
      </c>
      <c r="J228" s="77">
        <f t="shared" si="103"/>
        <v>3312.6046057648241</v>
      </c>
      <c r="K228" s="77">
        <f t="shared" si="103"/>
        <v>129935.38204788179</v>
      </c>
      <c r="L228" s="77">
        <f t="shared" si="103"/>
        <v>0</v>
      </c>
      <c r="M228" s="77">
        <f t="shared" si="103"/>
        <v>0</v>
      </c>
      <c r="N228" s="77">
        <f t="shared" si="103"/>
        <v>24269.429576957562</v>
      </c>
      <c r="O228" s="77">
        <f t="shared" si="103"/>
        <v>63491.58827715912</v>
      </c>
      <c r="P228" s="77">
        <f t="shared" si="103"/>
        <v>2990.5458246487992</v>
      </c>
      <c r="Q228" s="77">
        <f t="shared" si="103"/>
        <v>46.008397302289218</v>
      </c>
      <c r="R228" s="77">
        <f t="shared" si="103"/>
        <v>46.008397302289218</v>
      </c>
      <c r="S228" s="77">
        <f t="shared" si="103"/>
        <v>88338.167638053157</v>
      </c>
      <c r="T228" s="77">
        <f t="shared" si="103"/>
        <v>168.69745677506046</v>
      </c>
      <c r="U228" s="77">
        <f t="shared" si="103"/>
        <v>925.27999019048309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4496452.2999985879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350</v>
      </c>
      <c r="F230" s="80"/>
    </row>
    <row r="231" spans="1:28">
      <c r="A231" s="69" t="s">
        <v>1102</v>
      </c>
      <c r="C231" s="61" t="s">
        <v>1077</v>
      </c>
      <c r="D231" s="61" t="s">
        <v>476</v>
      </c>
      <c r="E231" s="61" t="s">
        <v>1108</v>
      </c>
      <c r="F231" s="77">
        <f>VLOOKUP(C231,'Functional Assignment'!$C$2:$AP$780,'Functional Assignment'!$AE$2,)</f>
        <v>0</v>
      </c>
      <c r="G231" s="77">
        <f t="shared" ref="G231:Z231" si="104">IF(VLOOKUP($E231,$D$6:$AN$1131,3,)=0,0,(VLOOKUP($E231,$D$6:$AN$1131,G$2,)/VLOOKUP($E231,$D$6:$AN$1131,3,))*$F231)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931</v>
      </c>
      <c r="D233" s="61" t="s">
        <v>1115</v>
      </c>
      <c r="F233" s="77">
        <f>F188+F194+F197+F200+F208+F213+F216+F219+F222+F225+F228+F231</f>
        <v>685621902.81823468</v>
      </c>
      <c r="G233" s="77">
        <f t="shared" ref="G233:Z233" si="105">G188+G194+G197+G200+G208+G213+G216+G219+G222+G225+G228+G231</f>
        <v>293489808.23622578</v>
      </c>
      <c r="H233" s="77">
        <f t="shared" si="105"/>
        <v>83910875.257454872</v>
      </c>
      <c r="I233" s="77">
        <f t="shared" si="105"/>
        <v>0</v>
      </c>
      <c r="J233" s="77">
        <f t="shared" si="105"/>
        <v>8319396.9247090695</v>
      </c>
      <c r="K233" s="77">
        <f t="shared" si="105"/>
        <v>97709046.942771271</v>
      </c>
      <c r="L233" s="77">
        <f t="shared" si="105"/>
        <v>0</v>
      </c>
      <c r="M233" s="77">
        <f t="shared" si="105"/>
        <v>0</v>
      </c>
      <c r="N233" s="77">
        <f t="shared" si="105"/>
        <v>90477956.309345245</v>
      </c>
      <c r="O233" s="77">
        <f>O188+O194+O197+O200+O208+O213+O216+O219+O222+O225+O228+O231</f>
        <v>43331985.135973454</v>
      </c>
      <c r="P233" s="77">
        <f t="shared" si="105"/>
        <v>52826337.069601737</v>
      </c>
      <c r="Q233" s="77">
        <f t="shared" si="105"/>
        <v>5435234.9044458419</v>
      </c>
      <c r="R233" s="77">
        <f t="shared" si="105"/>
        <v>2798128.4811254009</v>
      </c>
      <c r="S233" s="77">
        <f t="shared" si="105"/>
        <v>6980743.9794723475</v>
      </c>
      <c r="T233" s="77">
        <f t="shared" si="105"/>
        <v>154702.79649543783</v>
      </c>
      <c r="U233" s="77">
        <f t="shared" si="105"/>
        <v>187686.78061425034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685621902.8182348</v>
      </c>
      <c r="AB233" s="59" t="str">
        <f>IF(ABS(F233-AA233)&lt;0.01,"ok","err")</f>
        <v>ok</v>
      </c>
    </row>
    <row r="235" spans="1:28">
      <c r="F235" s="153">
        <f>(F200+F204+F211)/F233</f>
        <v>3.4332943926351916E-2</v>
      </c>
      <c r="G235" s="153">
        <f>(G200+G204+G211)/G233</f>
        <v>3.9298996491602609E-2</v>
      </c>
      <c r="J235" s="153"/>
      <c r="K235" s="153"/>
      <c r="N235" s="153"/>
      <c r="O235" s="153"/>
    </row>
    <row r="236" spans="1:28" ht="15">
      <c r="A236" s="66" t="s">
        <v>1078</v>
      </c>
    </row>
    <row r="238" spans="1:28" ht="15">
      <c r="A238" s="66" t="s">
        <v>364</v>
      </c>
    </row>
    <row r="239" spans="1:28">
      <c r="A239" s="69" t="s">
        <v>359</v>
      </c>
      <c r="C239" s="61" t="s">
        <v>99</v>
      </c>
      <c r="D239" s="61" t="s">
        <v>477</v>
      </c>
      <c r="E239" s="61" t="s">
        <v>869</v>
      </c>
      <c r="F239" s="77">
        <f>VLOOKUP(C239,'Functional Assignment'!$C$2:$AP$780,'Functional Assignment'!$H$2,)</f>
        <v>8354903.5962755047</v>
      </c>
      <c r="G239" s="77">
        <f t="shared" ref="G239:P244" si="106">IF(VLOOKUP($E239,$D$6:$AN$1131,3,)=0,0,(VLOOKUP($E239,$D$6:$AN$1131,G$2,)/VLOOKUP($E239,$D$6:$AN$1131,3,))*$F239)</f>
        <v>3768820.8755867123</v>
      </c>
      <c r="H239" s="77">
        <f t="shared" si="106"/>
        <v>952226.6621197029</v>
      </c>
      <c r="I239" s="77">
        <f t="shared" si="106"/>
        <v>0</v>
      </c>
      <c r="J239" s="77">
        <f t="shared" si="106"/>
        <v>96337.735076274432</v>
      </c>
      <c r="K239" s="77">
        <f t="shared" si="106"/>
        <v>1219860.431245673</v>
      </c>
      <c r="L239" s="77">
        <f t="shared" si="106"/>
        <v>0</v>
      </c>
      <c r="M239" s="77">
        <f t="shared" si="106"/>
        <v>0</v>
      </c>
      <c r="N239" s="77">
        <f t="shared" si="106"/>
        <v>1007669.4828183621</v>
      </c>
      <c r="O239" s="77">
        <f t="shared" si="106"/>
        <v>642042.78572766483</v>
      </c>
      <c r="P239" s="77">
        <f t="shared" si="106"/>
        <v>571118.12297986343</v>
      </c>
      <c r="Q239" s="77">
        <f t="shared" ref="Q239:Z244" si="107">IF(VLOOKUP($E239,$D$6:$AN$1131,3,)=0,0,(VLOOKUP($E239,$D$6:$AN$1131,Q$2,)/VLOOKUP($E239,$D$6:$AN$1131,3,))*$F239)</f>
        <v>65278.668156080355</v>
      </c>
      <c r="R239" s="77">
        <f t="shared" si="107"/>
        <v>28200.113106597855</v>
      </c>
      <c r="S239" s="77">
        <f t="shared" si="107"/>
        <v>2012.8166263665819</v>
      </c>
      <c r="T239" s="77">
        <f t="shared" si="107"/>
        <v>65.118705127075003</v>
      </c>
      <c r="U239" s="77">
        <f t="shared" si="107"/>
        <v>1270.7841270800113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8354903.5962755047</v>
      </c>
      <c r="AB239" s="59" t="str">
        <f t="shared" ref="AB239:AB245" si="109">IF(ABS(F239-AA239)&lt;0.01,"ok","err")</f>
        <v>ok</v>
      </c>
    </row>
    <row r="240" spans="1:28">
      <c r="A240" s="69" t="s">
        <v>1265</v>
      </c>
      <c r="C240" s="61" t="s">
        <v>99</v>
      </c>
      <c r="D240" s="61" t="s">
        <v>478</v>
      </c>
      <c r="E240" s="61" t="s">
        <v>188</v>
      </c>
      <c r="F240" s="80">
        <f>VLOOKUP(C240,'Functional Assignment'!$C$2:$AP$780,'Functional Assignment'!$I$2,)</f>
        <v>8752290.3350628056</v>
      </c>
      <c r="G240" s="80">
        <f t="shared" si="106"/>
        <v>3948078.412141718</v>
      </c>
      <c r="H240" s="80">
        <f t="shared" si="106"/>
        <v>997517.69911200902</v>
      </c>
      <c r="I240" s="80">
        <f t="shared" si="106"/>
        <v>0</v>
      </c>
      <c r="J240" s="80">
        <f t="shared" si="106"/>
        <v>100919.87512408801</v>
      </c>
      <c r="K240" s="80">
        <f t="shared" si="106"/>
        <v>1277881.0119696069</v>
      </c>
      <c r="L240" s="80">
        <f t="shared" si="106"/>
        <v>0</v>
      </c>
      <c r="M240" s="80">
        <f t="shared" si="106"/>
        <v>0</v>
      </c>
      <c r="N240" s="80">
        <f t="shared" si="106"/>
        <v>1055597.5630096383</v>
      </c>
      <c r="O240" s="80">
        <f t="shared" si="106"/>
        <v>672580.45571298548</v>
      </c>
      <c r="P240" s="80">
        <f t="shared" si="106"/>
        <v>598282.38235617336</v>
      </c>
      <c r="Q240" s="80">
        <f t="shared" si="107"/>
        <v>68383.536662580809</v>
      </c>
      <c r="R240" s="80">
        <f t="shared" si="107"/>
        <v>29541.403386219943</v>
      </c>
      <c r="S240" s="80">
        <f t="shared" si="107"/>
        <v>2108.5528159840469</v>
      </c>
      <c r="T240" s="80">
        <f t="shared" si="107"/>
        <v>68.215965264946121</v>
      </c>
      <c r="U240" s="80">
        <f t="shared" si="107"/>
        <v>1331.2268065369126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8752290.3350628056</v>
      </c>
      <c r="AB240" s="59" t="str">
        <f t="shared" si="109"/>
        <v>ok</v>
      </c>
    </row>
    <row r="241" spans="1:28">
      <c r="A241" s="69" t="s">
        <v>1266</v>
      </c>
      <c r="C241" s="61" t="s">
        <v>99</v>
      </c>
      <c r="D241" s="61" t="s">
        <v>479</v>
      </c>
      <c r="E241" s="61" t="s">
        <v>191</v>
      </c>
      <c r="F241" s="80">
        <f>VLOOKUP(C241,'Functional Assignment'!$C$2:$AP$780,'Functional Assignment'!$J$2,)</f>
        <v>7194353.14251801</v>
      </c>
      <c r="G241" s="80">
        <f t="shared" si="106"/>
        <v>3245307.1417786162</v>
      </c>
      <c r="H241" s="80">
        <f t="shared" si="106"/>
        <v>819956.18501980579</v>
      </c>
      <c r="I241" s="80">
        <f t="shared" si="106"/>
        <v>0</v>
      </c>
      <c r="J241" s="80">
        <f t="shared" si="106"/>
        <v>82955.797048098917</v>
      </c>
      <c r="K241" s="80">
        <f t="shared" si="106"/>
        <v>1050413.882797875</v>
      </c>
      <c r="L241" s="80">
        <f t="shared" si="106"/>
        <v>0</v>
      </c>
      <c r="M241" s="80">
        <f t="shared" si="106"/>
        <v>0</v>
      </c>
      <c r="N241" s="80">
        <f t="shared" si="106"/>
        <v>867697.63729715766</v>
      </c>
      <c r="O241" s="80">
        <f t="shared" si="106"/>
        <v>552858.8666408984</v>
      </c>
      <c r="P241" s="80">
        <f t="shared" si="106"/>
        <v>491786.10087623546</v>
      </c>
      <c r="Q241" s="80">
        <f t="shared" si="107"/>
        <v>56211.036545944684</v>
      </c>
      <c r="R241" s="80">
        <f t="shared" si="107"/>
        <v>24282.933969250978</v>
      </c>
      <c r="S241" s="80">
        <f t="shared" si="107"/>
        <v>1733.2233046552803</v>
      </c>
      <c r="T241" s="80">
        <f t="shared" si="107"/>
        <v>56.07329342214318</v>
      </c>
      <c r="U241" s="80">
        <f t="shared" si="107"/>
        <v>1094.2639460490802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7194353.1425180091</v>
      </c>
      <c r="AB241" s="59" t="str">
        <f t="shared" si="109"/>
        <v>ok</v>
      </c>
    </row>
    <row r="242" spans="1:28">
      <c r="A242" s="69" t="s">
        <v>1267</v>
      </c>
      <c r="C242" s="61" t="s">
        <v>99</v>
      </c>
      <c r="D242" s="61" t="s">
        <v>480</v>
      </c>
      <c r="E242" s="61" t="s">
        <v>1100</v>
      </c>
      <c r="F242" s="80">
        <f>VLOOKUP(C242,'Functional Assignment'!$C$2:$AP$780,'Functional Assignment'!$K$2,)</f>
        <v>17970757.827004239</v>
      </c>
      <c r="G242" s="80">
        <f t="shared" si="106"/>
        <v>6501425.3946288936</v>
      </c>
      <c r="H242" s="80">
        <f t="shared" si="106"/>
        <v>2112730.4992781421</v>
      </c>
      <c r="I242" s="80">
        <f t="shared" si="106"/>
        <v>0</v>
      </c>
      <c r="J242" s="80">
        <f t="shared" si="106"/>
        <v>251629.74153401147</v>
      </c>
      <c r="K242" s="80">
        <f t="shared" si="106"/>
        <v>2915457.5795946373</v>
      </c>
      <c r="L242" s="80">
        <f t="shared" si="106"/>
        <v>0</v>
      </c>
      <c r="M242" s="80">
        <f t="shared" si="106"/>
        <v>0</v>
      </c>
      <c r="N242" s="80">
        <f t="shared" si="106"/>
        <v>2814225.9290829226</v>
      </c>
      <c r="O242" s="80">
        <f t="shared" si="106"/>
        <v>1237734.870559141</v>
      </c>
      <c r="P242" s="80">
        <f t="shared" si="106"/>
        <v>1713648.103594973</v>
      </c>
      <c r="Q242" s="80">
        <f t="shared" si="107"/>
        <v>167260.75000079011</v>
      </c>
      <c r="R242" s="80">
        <f t="shared" si="107"/>
        <v>88363.230591526037</v>
      </c>
      <c r="S242" s="80">
        <f t="shared" si="107"/>
        <v>158287.03020358231</v>
      </c>
      <c r="T242" s="80">
        <f t="shared" si="107"/>
        <v>5159.6175198798383</v>
      </c>
      <c r="U242" s="80">
        <f t="shared" si="107"/>
        <v>4835.0804157379343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17970757.827004235</v>
      </c>
      <c r="AB242" s="59" t="str">
        <f t="shared" si="109"/>
        <v>ok</v>
      </c>
    </row>
    <row r="243" spans="1:28">
      <c r="A243" s="69" t="s">
        <v>1268</v>
      </c>
      <c r="C243" s="61" t="s">
        <v>99</v>
      </c>
      <c r="D243" s="61" t="s">
        <v>481</v>
      </c>
      <c r="E243" s="61" t="s">
        <v>1100</v>
      </c>
      <c r="F243" s="80">
        <f>VLOOKUP(C243,'Functional Assignment'!$C$2:$AP$780,'Functional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>
      <c r="A244" s="69" t="s">
        <v>1268</v>
      </c>
      <c r="C244" s="61" t="s">
        <v>99</v>
      </c>
      <c r="D244" s="61" t="s">
        <v>482</v>
      </c>
      <c r="E244" s="61" t="s">
        <v>1100</v>
      </c>
      <c r="F244" s="80">
        <f>VLOOKUP(C244,'Functional Assignment'!$C$2:$AP$780,'Functional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>
      <c r="A245" s="61" t="s">
        <v>387</v>
      </c>
      <c r="D245" s="61" t="s">
        <v>1116</v>
      </c>
      <c r="F245" s="77">
        <f>SUM(F239:F244)</f>
        <v>42272304.900860563</v>
      </c>
      <c r="G245" s="77">
        <f t="shared" ref="G245:P245" si="110">SUM(G239:G244)</f>
        <v>17463631.824135941</v>
      </c>
      <c r="H245" s="77">
        <f t="shared" si="110"/>
        <v>4882431.0455296598</v>
      </c>
      <c r="I245" s="77">
        <f t="shared" si="110"/>
        <v>0</v>
      </c>
      <c r="J245" s="77">
        <f t="shared" si="110"/>
        <v>531843.14878247282</v>
      </c>
      <c r="K245" s="77">
        <f t="shared" si="110"/>
        <v>6463612.9056077916</v>
      </c>
      <c r="L245" s="77">
        <f t="shared" si="110"/>
        <v>0</v>
      </c>
      <c r="M245" s="77">
        <f t="shared" si="110"/>
        <v>0</v>
      </c>
      <c r="N245" s="77">
        <f t="shared" si="110"/>
        <v>5745190.6122080805</v>
      </c>
      <c r="O245" s="77">
        <f>SUM(O239:O244)</f>
        <v>3105216.9786406895</v>
      </c>
      <c r="P245" s="77">
        <f t="shared" si="110"/>
        <v>3374834.7098072451</v>
      </c>
      <c r="Q245" s="77">
        <f t="shared" ref="Q245:W245" si="111">SUM(Q239:Q244)</f>
        <v>357133.99136539595</v>
      </c>
      <c r="R245" s="77">
        <f t="shared" si="111"/>
        <v>170387.6810535948</v>
      </c>
      <c r="S245" s="77">
        <f t="shared" si="111"/>
        <v>164141.62295058821</v>
      </c>
      <c r="T245" s="77">
        <f t="shared" si="111"/>
        <v>5349.0254836940021</v>
      </c>
      <c r="U245" s="77">
        <f t="shared" si="111"/>
        <v>8531.3552954039387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42272304.90086057</v>
      </c>
      <c r="AB245" s="59" t="str">
        <f t="shared" si="109"/>
        <v>ok</v>
      </c>
    </row>
    <row r="246" spans="1:28">
      <c r="F246" s="80"/>
      <c r="G246" s="80"/>
    </row>
    <row r="247" spans="1:28" ht="15">
      <c r="A247" s="66" t="s">
        <v>1140</v>
      </c>
      <c r="F247" s="80"/>
      <c r="G247" s="80"/>
    </row>
    <row r="248" spans="1:28">
      <c r="A248" s="69" t="s">
        <v>1377</v>
      </c>
      <c r="C248" s="61" t="s">
        <v>99</v>
      </c>
      <c r="D248" s="61" t="s">
        <v>483</v>
      </c>
      <c r="E248" s="61" t="s">
        <v>1381</v>
      </c>
      <c r="F248" s="77">
        <f>VLOOKUP(C248,'Functional Assignment'!$C$2:$AP$780,'Functional Assignment'!$N$2,)</f>
        <v>4308731.1725444533</v>
      </c>
      <c r="G248" s="77">
        <f t="shared" ref="G248:P250" si="112">IF(VLOOKUP($E248,$D$6:$AN$1131,3,)=0,0,(VLOOKUP($E248,$D$6:$AN$1131,G$2,)/VLOOKUP($E248,$D$6:$AN$1131,3,))*$F248)</f>
        <v>1914748.0110646947</v>
      </c>
      <c r="H248" s="77">
        <f t="shared" si="112"/>
        <v>551154.88507357822</v>
      </c>
      <c r="I248" s="77">
        <f t="shared" si="112"/>
        <v>0</v>
      </c>
      <c r="J248" s="77">
        <f t="shared" si="112"/>
        <v>48970.5941613744</v>
      </c>
      <c r="K248" s="77">
        <f t="shared" si="112"/>
        <v>568382.49878154951</v>
      </c>
      <c r="L248" s="77">
        <f t="shared" si="112"/>
        <v>0</v>
      </c>
      <c r="M248" s="77">
        <f t="shared" si="112"/>
        <v>0</v>
      </c>
      <c r="N248" s="77">
        <f t="shared" si="112"/>
        <v>517054.63273819507</v>
      </c>
      <c r="O248" s="77">
        <f t="shared" si="112"/>
        <v>306999.9045409367</v>
      </c>
      <c r="P248" s="77">
        <f t="shared" si="112"/>
        <v>317995.92468403163</v>
      </c>
      <c r="Q248" s="77">
        <f t="shared" ref="Q248:Z250" si="113">IF(VLOOKUP($E248,$D$6:$AN$1131,3,)=0,0,(VLOOKUP($E248,$D$6:$AN$1131,Q$2,)/VLOOKUP($E248,$D$6:$AN$1131,3,))*$F248)</f>
        <v>32055.389321089388</v>
      </c>
      <c r="R248" s="77">
        <f t="shared" si="113"/>
        <v>16778.251956556265</v>
      </c>
      <c r="S248" s="77">
        <f t="shared" si="113"/>
        <v>33052.418767228563</v>
      </c>
      <c r="T248" s="77">
        <f t="shared" si="113"/>
        <v>1057.1117628538477</v>
      </c>
      <c r="U248" s="77">
        <f t="shared" si="113"/>
        <v>481.54969236555576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4308731.1725444552</v>
      </c>
      <c r="AB248" s="59" t="str">
        <f>IF(ABS(F248-AA248)&lt;0.01,"ok","err")</f>
        <v>ok</v>
      </c>
    </row>
    <row r="249" spans="1:28" hidden="1">
      <c r="A249" s="69" t="s">
        <v>1378</v>
      </c>
      <c r="C249" s="61" t="s">
        <v>99</v>
      </c>
      <c r="D249" s="61" t="s">
        <v>484</v>
      </c>
      <c r="E249" s="61" t="s">
        <v>188</v>
      </c>
      <c r="F249" s="80">
        <f>VLOOKUP(C249,'Functional Assignment'!$C$2:$AP$780,'Functional Assignment'!$O$2,)</f>
        <v>0</v>
      </c>
      <c r="G249" s="80">
        <f t="shared" si="112"/>
        <v>0</v>
      </c>
      <c r="H249" s="80">
        <f t="shared" si="112"/>
        <v>0</v>
      </c>
      <c r="I249" s="80">
        <f t="shared" si="112"/>
        <v>0</v>
      </c>
      <c r="J249" s="80">
        <f t="shared" si="112"/>
        <v>0</v>
      </c>
      <c r="K249" s="80">
        <f t="shared" si="112"/>
        <v>0</v>
      </c>
      <c r="L249" s="80">
        <f t="shared" si="112"/>
        <v>0</v>
      </c>
      <c r="M249" s="80">
        <f t="shared" si="112"/>
        <v>0</v>
      </c>
      <c r="N249" s="80">
        <f t="shared" si="112"/>
        <v>0</v>
      </c>
      <c r="O249" s="80">
        <f t="shared" si="112"/>
        <v>0</v>
      </c>
      <c r="P249" s="80">
        <f t="shared" si="112"/>
        <v>0</v>
      </c>
      <c r="Q249" s="80">
        <f t="shared" si="113"/>
        <v>0</v>
      </c>
      <c r="R249" s="80">
        <f t="shared" si="113"/>
        <v>0</v>
      </c>
      <c r="S249" s="80">
        <f t="shared" si="113"/>
        <v>0</v>
      </c>
      <c r="T249" s="80">
        <f t="shared" si="113"/>
        <v>0</v>
      </c>
      <c r="U249" s="80">
        <f t="shared" si="113"/>
        <v>0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0</v>
      </c>
      <c r="AB249" s="59" t="str">
        <f>IF(ABS(F249-AA249)&lt;0.01,"ok","err")</f>
        <v>ok</v>
      </c>
    </row>
    <row r="250" spans="1:28" hidden="1">
      <c r="A250" s="69" t="s">
        <v>1378</v>
      </c>
      <c r="C250" s="61" t="s">
        <v>99</v>
      </c>
      <c r="D250" s="61" t="s">
        <v>485</v>
      </c>
      <c r="E250" s="61" t="s">
        <v>191</v>
      </c>
      <c r="F250" s="80">
        <f>VLOOKUP(C250,'Functional Assignment'!$C$2:$AP$780,'Functional Assignment'!$P$2,)</f>
        <v>0</v>
      </c>
      <c r="G250" s="80">
        <f t="shared" si="112"/>
        <v>0</v>
      </c>
      <c r="H250" s="80">
        <f t="shared" si="112"/>
        <v>0</v>
      </c>
      <c r="I250" s="80">
        <f t="shared" si="112"/>
        <v>0</v>
      </c>
      <c r="J250" s="80">
        <f t="shared" si="112"/>
        <v>0</v>
      </c>
      <c r="K250" s="80">
        <f t="shared" si="112"/>
        <v>0</v>
      </c>
      <c r="L250" s="80">
        <f t="shared" si="112"/>
        <v>0</v>
      </c>
      <c r="M250" s="80">
        <f t="shared" si="112"/>
        <v>0</v>
      </c>
      <c r="N250" s="80">
        <f t="shared" si="112"/>
        <v>0</v>
      </c>
      <c r="O250" s="80">
        <f t="shared" si="112"/>
        <v>0</v>
      </c>
      <c r="P250" s="80">
        <f t="shared" si="112"/>
        <v>0</v>
      </c>
      <c r="Q250" s="80">
        <f t="shared" si="113"/>
        <v>0</v>
      </c>
      <c r="R250" s="80">
        <f t="shared" si="113"/>
        <v>0</v>
      </c>
      <c r="S250" s="80">
        <f t="shared" si="113"/>
        <v>0</v>
      </c>
      <c r="T250" s="80">
        <f t="shared" si="113"/>
        <v>0</v>
      </c>
      <c r="U250" s="80">
        <f t="shared" si="113"/>
        <v>0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0</v>
      </c>
      <c r="AB250" s="59" t="str">
        <f>IF(ABS(F250-AA250)&lt;0.01,"ok","err")</f>
        <v>ok</v>
      </c>
    </row>
    <row r="251" spans="1:28" hidden="1">
      <c r="A251" s="61" t="s">
        <v>1142</v>
      </c>
      <c r="D251" s="61" t="s">
        <v>486</v>
      </c>
      <c r="F251" s="77">
        <f>SUM(F248:F250)</f>
        <v>4308731.1725444533</v>
      </c>
      <c r="G251" s="77">
        <f t="shared" ref="G251:W251" si="114">SUM(G248:G250)</f>
        <v>1914748.0110646947</v>
      </c>
      <c r="H251" s="77">
        <f t="shared" si="114"/>
        <v>551154.88507357822</v>
      </c>
      <c r="I251" s="77">
        <f t="shared" si="114"/>
        <v>0</v>
      </c>
      <c r="J251" s="77">
        <f t="shared" si="114"/>
        <v>48970.5941613744</v>
      </c>
      <c r="K251" s="77">
        <f t="shared" si="114"/>
        <v>568382.49878154951</v>
      </c>
      <c r="L251" s="77">
        <f t="shared" si="114"/>
        <v>0</v>
      </c>
      <c r="M251" s="77">
        <f t="shared" si="114"/>
        <v>0</v>
      </c>
      <c r="N251" s="77">
        <f t="shared" si="114"/>
        <v>517054.63273819507</v>
      </c>
      <c r="O251" s="77">
        <f>SUM(O248:O250)</f>
        <v>306999.9045409367</v>
      </c>
      <c r="P251" s="77">
        <f t="shared" si="114"/>
        <v>317995.92468403163</v>
      </c>
      <c r="Q251" s="77">
        <f t="shared" si="114"/>
        <v>32055.389321089388</v>
      </c>
      <c r="R251" s="77">
        <f t="shared" si="114"/>
        <v>16778.251956556265</v>
      </c>
      <c r="S251" s="77">
        <f t="shared" si="114"/>
        <v>33052.418767228563</v>
      </c>
      <c r="T251" s="77">
        <f t="shared" si="114"/>
        <v>1057.1117628538477</v>
      </c>
      <c r="U251" s="77">
        <f t="shared" si="114"/>
        <v>481.54969236555576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4308731.1725444552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348</v>
      </c>
      <c r="F253" s="80"/>
      <c r="G253" s="80"/>
    </row>
    <row r="254" spans="1:28">
      <c r="A254" s="69" t="s">
        <v>372</v>
      </c>
      <c r="C254" s="61" t="s">
        <v>99</v>
      </c>
      <c r="D254" s="61" t="s">
        <v>487</v>
      </c>
      <c r="E254" s="61" t="s">
        <v>1382</v>
      </c>
      <c r="F254" s="77">
        <f>VLOOKUP(C254,'Functional Assignment'!$C$2:$AP$780,'Functional Assignment'!$Q$2,)</f>
        <v>0</v>
      </c>
      <c r="G254" s="77">
        <f t="shared" ref="G254:Z254" si="115">IF(VLOOKUP($E254,$D$6:$AN$1131,3,)=0,0,(VLOOKUP($E254,$D$6:$AN$1131,G$2,)/VLOOKUP($E254,$D$6:$AN$1131,3,))*$F254)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349</v>
      </c>
      <c r="F256" s="80"/>
      <c r="G256" s="80"/>
    </row>
    <row r="257" spans="1:28">
      <c r="A257" s="69" t="s">
        <v>374</v>
      </c>
      <c r="C257" s="61" t="s">
        <v>99</v>
      </c>
      <c r="D257" s="61" t="s">
        <v>488</v>
      </c>
      <c r="E257" s="61" t="s">
        <v>1382</v>
      </c>
      <c r="F257" s="77">
        <f>VLOOKUP(C257,'Functional Assignment'!$C$2:$AP$780,'Functional Assignment'!$R$2,)</f>
        <v>2685252.4144103993</v>
      </c>
      <c r="G257" s="77">
        <f t="shared" ref="G257:Z257" si="116">IF(VLOOKUP($E257,$D$6:$AN$1131,3,)=0,0,(VLOOKUP($E257,$D$6:$AN$1131,G$2,)/VLOOKUP($E257,$D$6:$AN$1131,3,))*$F257)</f>
        <v>1288379.5592442695</v>
      </c>
      <c r="H257" s="77">
        <f t="shared" si="116"/>
        <v>370856.46978245134</v>
      </c>
      <c r="I257" s="77">
        <f t="shared" si="116"/>
        <v>0</v>
      </c>
      <c r="J257" s="77">
        <f t="shared" si="116"/>
        <v>32950.922083203455</v>
      </c>
      <c r="K257" s="77">
        <f t="shared" si="116"/>
        <v>382448.4417952933</v>
      </c>
      <c r="L257" s="77">
        <f t="shared" si="116"/>
        <v>0</v>
      </c>
      <c r="M257" s="77">
        <f t="shared" si="116"/>
        <v>0</v>
      </c>
      <c r="N257" s="77">
        <f t="shared" si="116"/>
        <v>347911.37840745115</v>
      </c>
      <c r="O257" s="77">
        <f t="shared" si="116"/>
        <v>206571.51719956571</v>
      </c>
      <c r="P257" s="77">
        <f t="shared" si="116"/>
        <v>0</v>
      </c>
      <c r="Q257" s="77">
        <f t="shared" si="116"/>
        <v>21569.161125251168</v>
      </c>
      <c r="R257" s="77">
        <f t="shared" si="116"/>
        <v>11289.609251849948</v>
      </c>
      <c r="S257" s="77">
        <f t="shared" si="116"/>
        <v>22240.033924672996</v>
      </c>
      <c r="T257" s="77">
        <f t="shared" si="116"/>
        <v>711.30048404659544</v>
      </c>
      <c r="U257" s="77">
        <f t="shared" si="116"/>
        <v>324.02111234426337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2685252.4144103997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373</v>
      </c>
      <c r="F259" s="80"/>
    </row>
    <row r="260" spans="1:28">
      <c r="A260" s="69" t="s">
        <v>623</v>
      </c>
      <c r="C260" s="61" t="s">
        <v>99</v>
      </c>
      <c r="D260" s="61" t="s">
        <v>489</v>
      </c>
      <c r="E260" s="61" t="s">
        <v>1382</v>
      </c>
      <c r="F260" s="77">
        <f>VLOOKUP(C260,'Functional Assignment'!$C$2:$AP$780,'Functional Assignment'!$S$2,)</f>
        <v>0</v>
      </c>
      <c r="G260" s="77">
        <f t="shared" ref="G260:P264" si="117">IF(VLOOKUP($E260,$D$6:$AN$1131,3,)=0,0,(VLOOKUP($E260,$D$6:$AN$1131,G$2,)/VLOOKUP($E260,$D$6:$AN$1131,3,))*$F260)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IF(VLOOKUP($E260,$D$6:$AN$1131,3,)=0,0,(VLOOKUP($E260,$D$6:$AN$1131,Q$2,)/VLOOKUP($E260,$D$6:$AN$1131,3,))*$F260)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>
      <c r="A261" s="69" t="s">
        <v>624</v>
      </c>
      <c r="C261" s="61" t="s">
        <v>99</v>
      </c>
      <c r="D261" s="61" t="s">
        <v>490</v>
      </c>
      <c r="E261" s="61" t="s">
        <v>1382</v>
      </c>
      <c r="F261" s="80">
        <f>VLOOKUP(C261,'Functional Assignment'!$C$2:$AP$780,'Functional Assignment'!$T$2,)</f>
        <v>2551846.5672994298</v>
      </c>
      <c r="G261" s="80">
        <f t="shared" si="117"/>
        <v>1224371.6598084252</v>
      </c>
      <c r="H261" s="80">
        <f t="shared" si="117"/>
        <v>352431.97410286189</v>
      </c>
      <c r="I261" s="80">
        <f t="shared" si="117"/>
        <v>0</v>
      </c>
      <c r="J261" s="80">
        <f t="shared" si="117"/>
        <v>31313.889508534867</v>
      </c>
      <c r="K261" s="80">
        <f t="shared" si="117"/>
        <v>363448.04612292815</v>
      </c>
      <c r="L261" s="80">
        <f t="shared" si="117"/>
        <v>0</v>
      </c>
      <c r="M261" s="80">
        <f t="shared" si="117"/>
        <v>0</v>
      </c>
      <c r="N261" s="80">
        <f t="shared" si="117"/>
        <v>330626.81629071542</v>
      </c>
      <c r="O261" s="80">
        <f t="shared" si="117"/>
        <v>196308.8513536597</v>
      </c>
      <c r="P261" s="80">
        <f t="shared" si="117"/>
        <v>0</v>
      </c>
      <c r="Q261" s="80">
        <f t="shared" si="118"/>
        <v>20497.585061881749</v>
      </c>
      <c r="R261" s="80">
        <f t="shared" si="118"/>
        <v>10728.730923350027</v>
      </c>
      <c r="S261" s="80">
        <f t="shared" si="118"/>
        <v>21135.12827424864</v>
      </c>
      <c r="T261" s="80">
        <f t="shared" si="118"/>
        <v>675.96241187302883</v>
      </c>
      <c r="U261" s="80">
        <f t="shared" si="118"/>
        <v>307.92344095138009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2551846.5672994298</v>
      </c>
      <c r="AB261" s="59" t="str">
        <f t="shared" si="120"/>
        <v>ok</v>
      </c>
    </row>
    <row r="262" spans="1:28">
      <c r="A262" s="69" t="s">
        <v>625</v>
      </c>
      <c r="C262" s="61" t="s">
        <v>99</v>
      </c>
      <c r="D262" s="61" t="s">
        <v>491</v>
      </c>
      <c r="E262" s="61" t="s">
        <v>698</v>
      </c>
      <c r="F262" s="80">
        <f>VLOOKUP(C262,'Functional Assignment'!$C$2:$AP$780,'Functional Assignment'!$U$2,)</f>
        <v>3857080.1674658395</v>
      </c>
      <c r="G262" s="80">
        <f t="shared" si="117"/>
        <v>3325239.8638034351</v>
      </c>
      <c r="H262" s="80">
        <f t="shared" si="117"/>
        <v>413128.50510183797</v>
      </c>
      <c r="I262" s="80">
        <f t="shared" si="117"/>
        <v>0</v>
      </c>
      <c r="J262" s="80">
        <f t="shared" si="117"/>
        <v>657.54255072910087</v>
      </c>
      <c r="K262" s="80">
        <f t="shared" si="117"/>
        <v>25791.80213450142</v>
      </c>
      <c r="L262" s="80">
        <f t="shared" si="117"/>
        <v>0</v>
      </c>
      <c r="M262" s="80">
        <f t="shared" si="117"/>
        <v>0</v>
      </c>
      <c r="N262" s="80">
        <f t="shared" si="117"/>
        <v>963.48248752666871</v>
      </c>
      <c r="O262" s="80">
        <f t="shared" si="117"/>
        <v>2520.5797777948869</v>
      </c>
      <c r="P262" s="80">
        <f t="shared" si="117"/>
        <v>0</v>
      </c>
      <c r="Q262" s="80">
        <f t="shared" si="118"/>
        <v>9.1325354267930674</v>
      </c>
      <c r="R262" s="80">
        <f t="shared" si="118"/>
        <v>9.1325354267930674</v>
      </c>
      <c r="S262" s="80">
        <f t="shared" si="118"/>
        <v>87674.369549530515</v>
      </c>
      <c r="T262" s="80">
        <f t="shared" si="118"/>
        <v>167.42981615787289</v>
      </c>
      <c r="U262" s="80">
        <f t="shared" si="118"/>
        <v>918.32717347196967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3857080.1674658395</v>
      </c>
      <c r="AB262" s="59" t="str">
        <f t="shared" si="120"/>
        <v>ok</v>
      </c>
    </row>
    <row r="263" spans="1:28">
      <c r="A263" s="69" t="s">
        <v>626</v>
      </c>
      <c r="C263" s="61" t="s">
        <v>99</v>
      </c>
      <c r="D263" s="61" t="s">
        <v>492</v>
      </c>
      <c r="E263" s="61" t="s">
        <v>678</v>
      </c>
      <c r="F263" s="80">
        <f>VLOOKUP(C263,'Functional Assignment'!$C$2:$AP$780,'Functional Assignment'!$V$2,)</f>
        <v>833939.35306513414</v>
      </c>
      <c r="G263" s="80">
        <f t="shared" si="117"/>
        <v>699848.59222557826</v>
      </c>
      <c r="H263" s="80">
        <f t="shared" si="117"/>
        <v>128069.13583245403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5753.7743867503295</v>
      </c>
      <c r="T263" s="80">
        <f t="shared" si="118"/>
        <v>184.02231400600655</v>
      </c>
      <c r="U263" s="80">
        <f t="shared" si="118"/>
        <v>83.828306345543751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833939.35306513414</v>
      </c>
      <c r="AB263" s="59" t="str">
        <f t="shared" si="120"/>
        <v>ok</v>
      </c>
    </row>
    <row r="264" spans="1:28">
      <c r="A264" s="69" t="s">
        <v>627</v>
      </c>
      <c r="C264" s="61" t="s">
        <v>99</v>
      </c>
      <c r="D264" s="61" t="s">
        <v>493</v>
      </c>
      <c r="E264" s="61" t="s">
        <v>697</v>
      </c>
      <c r="F264" s="80">
        <f>VLOOKUP(C264,'Functional Assignment'!$C$2:$AP$780,'Functional Assignment'!$W$2,)</f>
        <v>1230591.3174189094</v>
      </c>
      <c r="G264" s="80">
        <f t="shared" si="117"/>
        <v>1069211.8933562357</v>
      </c>
      <c r="H264" s="80">
        <f t="shared" si="117"/>
        <v>132839.11213374019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28191.192967849373</v>
      </c>
      <c r="T264" s="80">
        <f t="shared" si="118"/>
        <v>53.83610147560411</v>
      </c>
      <c r="U264" s="80">
        <f t="shared" si="118"/>
        <v>295.28285960861649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1230591.3174189094</v>
      </c>
      <c r="AB264" s="59" t="str">
        <f t="shared" si="120"/>
        <v>ok</v>
      </c>
    </row>
    <row r="265" spans="1:28">
      <c r="A265" s="61" t="s">
        <v>378</v>
      </c>
      <c r="D265" s="61" t="s">
        <v>494</v>
      </c>
      <c r="F265" s="77">
        <f>SUM(F260:F264)</f>
        <v>8473457.4052493125</v>
      </c>
      <c r="G265" s="77">
        <f t="shared" ref="G265:W265" si="121">SUM(G260:G264)</f>
        <v>6318672.0091936747</v>
      </c>
      <c r="H265" s="77">
        <f t="shared" si="121"/>
        <v>1026468.7271708942</v>
      </c>
      <c r="I265" s="77">
        <f t="shared" si="121"/>
        <v>0</v>
      </c>
      <c r="J265" s="77">
        <f t="shared" si="121"/>
        <v>31971.432059263967</v>
      </c>
      <c r="K265" s="77">
        <f t="shared" si="121"/>
        <v>389239.84825742955</v>
      </c>
      <c r="L265" s="77">
        <f t="shared" si="121"/>
        <v>0</v>
      </c>
      <c r="M265" s="77">
        <f t="shared" si="121"/>
        <v>0</v>
      </c>
      <c r="N265" s="77">
        <f t="shared" si="121"/>
        <v>331590.29877824208</v>
      </c>
      <c r="O265" s="77">
        <f>SUM(O260:O264)</f>
        <v>198829.43113145459</v>
      </c>
      <c r="P265" s="77">
        <f t="shared" si="121"/>
        <v>0</v>
      </c>
      <c r="Q265" s="77">
        <f t="shared" si="121"/>
        <v>20506.717597308543</v>
      </c>
      <c r="R265" s="77">
        <f t="shared" si="121"/>
        <v>10737.863458776821</v>
      </c>
      <c r="S265" s="77">
        <f t="shared" si="121"/>
        <v>142754.46517837886</v>
      </c>
      <c r="T265" s="77">
        <f t="shared" si="121"/>
        <v>1081.2506435125124</v>
      </c>
      <c r="U265" s="77">
        <f t="shared" si="121"/>
        <v>1605.3617803775101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8473457.4052493125</v>
      </c>
      <c r="AB265" s="59" t="str">
        <f t="shared" si="120"/>
        <v>ok</v>
      </c>
    </row>
    <row r="266" spans="1:28">
      <c r="F266" s="80"/>
    </row>
    <row r="267" spans="1:28" ht="15">
      <c r="A267" s="66" t="s">
        <v>634</v>
      </c>
      <c r="F267" s="80"/>
    </row>
    <row r="268" spans="1:28">
      <c r="A268" s="69" t="s">
        <v>1099</v>
      </c>
      <c r="C268" s="61" t="s">
        <v>99</v>
      </c>
      <c r="D268" s="61" t="s">
        <v>495</v>
      </c>
      <c r="E268" s="61" t="s">
        <v>1346</v>
      </c>
      <c r="F268" s="77">
        <f>VLOOKUP(C268,'Functional Assignment'!$C$2:$AP$780,'Functional Assignment'!$X$2,)</f>
        <v>240840.52471813068</v>
      </c>
      <c r="G268" s="77">
        <f t="shared" ref="G268:P269" si="122">IF(VLOOKUP($E268,$D$6:$AN$1131,3,)=0,0,(VLOOKUP($E268,$D$6:$AN$1131,G$2,)/VLOOKUP($E268,$D$6:$AN$1131,3,))*$F268)</f>
        <v>167095.33220476023</v>
      </c>
      <c r="H268" s="77">
        <f t="shared" si="122"/>
        <v>30577.692139163155</v>
      </c>
      <c r="I268" s="77">
        <f t="shared" si="122"/>
        <v>0</v>
      </c>
      <c r="J268" s="77">
        <f t="shared" si="122"/>
        <v>0</v>
      </c>
      <c r="K268" s="77">
        <f t="shared" si="122"/>
        <v>26929.990027685144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14799.791613996906</v>
      </c>
      <c r="P268" s="77">
        <f t="shared" si="122"/>
        <v>0</v>
      </c>
      <c r="Q268" s="77">
        <f t="shared" ref="Q268:Z269" si="123">IF(VLOOKUP($E268,$D$6:$AN$1131,3,)=0,0,(VLOOKUP($E268,$D$6:$AN$1131,Q$2,)/VLOOKUP($E268,$D$6:$AN$1131,3,))*$F268)</f>
        <v>0</v>
      </c>
      <c r="R268" s="77">
        <f t="shared" si="123"/>
        <v>0</v>
      </c>
      <c r="S268" s="77">
        <f t="shared" si="123"/>
        <v>1373.7669165381342</v>
      </c>
      <c r="T268" s="77">
        <f t="shared" si="123"/>
        <v>43.937031571553291</v>
      </c>
      <c r="U268" s="77">
        <f t="shared" si="123"/>
        <v>20.014784415621342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240840.52471813073</v>
      </c>
      <c r="AB268" s="59" t="str">
        <f>IF(ABS(F268-AA268)&lt;0.01,"ok","err")</f>
        <v>ok</v>
      </c>
    </row>
    <row r="269" spans="1:28">
      <c r="A269" s="69" t="s">
        <v>1102</v>
      </c>
      <c r="C269" s="61" t="s">
        <v>99</v>
      </c>
      <c r="D269" s="61" t="s">
        <v>496</v>
      </c>
      <c r="E269" s="61" t="s">
        <v>1344</v>
      </c>
      <c r="F269" s="80">
        <f>VLOOKUP(C269,'Functional Assignment'!$C$2:$AP$780,'Functional Assignment'!$Y$2,)</f>
        <v>168432.38792143884</v>
      </c>
      <c r="G269" s="80">
        <f t="shared" si="122"/>
        <v>145269.53167959335</v>
      </c>
      <c r="H269" s="80">
        <f t="shared" si="122"/>
        <v>18048.317389948796</v>
      </c>
      <c r="I269" s="80">
        <f t="shared" si="122"/>
        <v>0</v>
      </c>
      <c r="J269" s="80">
        <f t="shared" si="122"/>
        <v>0</v>
      </c>
      <c r="K269" s="80">
        <f t="shared" si="122"/>
        <v>1126.764735992964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110.11640028352603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3830.2243225834209</v>
      </c>
      <c r="T269" s="80">
        <f t="shared" si="123"/>
        <v>7.3144951879153757</v>
      </c>
      <c r="U269" s="80">
        <f t="shared" si="123"/>
        <v>40.118897848869189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168432.38792143884</v>
      </c>
      <c r="AB269" s="59" t="str">
        <f>IF(ABS(F269-AA269)&lt;0.01,"ok","err")</f>
        <v>ok</v>
      </c>
    </row>
    <row r="270" spans="1:28">
      <c r="A270" s="61" t="s">
        <v>712</v>
      </c>
      <c r="D270" s="61" t="s">
        <v>497</v>
      </c>
      <c r="F270" s="77">
        <f>F268+F269</f>
        <v>409272.91263956949</v>
      </c>
      <c r="G270" s="77">
        <f t="shared" ref="G270:W270" si="124">G268+G269</f>
        <v>312364.86388435354</v>
      </c>
      <c r="H270" s="77">
        <f t="shared" si="124"/>
        <v>48626.009529111951</v>
      </c>
      <c r="I270" s="77">
        <f t="shared" si="124"/>
        <v>0</v>
      </c>
      <c r="J270" s="77">
        <f t="shared" si="124"/>
        <v>0</v>
      </c>
      <c r="K270" s="77">
        <f t="shared" si="124"/>
        <v>28056.754763678109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14909.908014280432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5203.9912391215548</v>
      </c>
      <c r="T270" s="77">
        <f t="shared" si="124"/>
        <v>51.251526759468668</v>
      </c>
      <c r="U270" s="77">
        <f t="shared" si="124"/>
        <v>60.133682264490531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409272.91263956955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354</v>
      </c>
      <c r="F272" s="80"/>
    </row>
    <row r="273" spans="1:28">
      <c r="A273" s="69" t="s">
        <v>1102</v>
      </c>
      <c r="C273" s="61" t="s">
        <v>99</v>
      </c>
      <c r="D273" s="61" t="s">
        <v>498</v>
      </c>
      <c r="E273" s="61" t="s">
        <v>1104</v>
      </c>
      <c r="F273" s="77">
        <f>VLOOKUP(C273,'Functional Assignment'!$C$2:$AP$780,'Functional Assignment'!$Z$2,)</f>
        <v>62053.82936306145</v>
      </c>
      <c r="G273" s="77">
        <f t="shared" ref="G273:Z273" si="125">IF(VLOOKUP($E273,$D$6:$AN$1131,3,)=0,0,(VLOOKUP($E273,$D$6:$AN$1131,G$2,)/VLOOKUP($E273,$D$6:$AN$1131,3,))*$F273)</f>
        <v>47695.590971300131</v>
      </c>
      <c r="H273" s="77">
        <f t="shared" si="125"/>
        <v>12003.466494760622</v>
      </c>
      <c r="I273" s="77">
        <f t="shared" si="125"/>
        <v>0</v>
      </c>
      <c r="J273" s="77">
        <f t="shared" si="125"/>
        <v>0</v>
      </c>
      <c r="K273" s="77">
        <f t="shared" si="125"/>
        <v>2094.0816402415271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260.69025675916481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62053.82936306145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353</v>
      </c>
      <c r="F275" s="80"/>
    </row>
    <row r="276" spans="1:28">
      <c r="A276" s="69" t="s">
        <v>1102</v>
      </c>
      <c r="C276" s="61" t="s">
        <v>99</v>
      </c>
      <c r="D276" s="61" t="s">
        <v>499</v>
      </c>
      <c r="E276" s="61" t="s">
        <v>1105</v>
      </c>
      <c r="F276" s="77">
        <f>VLOOKUP(C276,'Functional Assignment'!$C$2:$AP$780,'Functional Assignment'!$AA$2,)</f>
        <v>5681157.6240409669</v>
      </c>
      <c r="G276" s="77">
        <f t="shared" ref="G276:Z276" si="126">IF(VLOOKUP($E276,$D$6:$AN$1131,3,)=0,0,(VLOOKUP($E276,$D$6:$AN$1131,G$2,)/VLOOKUP($E276,$D$6:$AN$1131,3,))*$F276)</f>
        <v>3976355.6296307775</v>
      </c>
      <c r="H276" s="77">
        <f t="shared" si="126"/>
        <v>1169071.3794169298</v>
      </c>
      <c r="I276" s="77">
        <f t="shared" si="126"/>
        <v>0</v>
      </c>
      <c r="J276" s="77">
        <f t="shared" si="126"/>
        <v>45510.044581859489</v>
      </c>
      <c r="K276" s="77">
        <f t="shared" si="126"/>
        <v>314491.34637769585</v>
      </c>
      <c r="L276" s="77">
        <f t="shared" si="126"/>
        <v>0</v>
      </c>
      <c r="M276" s="77">
        <f t="shared" si="126"/>
        <v>0</v>
      </c>
      <c r="N276" s="77">
        <f t="shared" si="126"/>
        <v>71264.409231309779</v>
      </c>
      <c r="O276" s="77">
        <f t="shared" si="126"/>
        <v>33131.434370195086</v>
      </c>
      <c r="P276" s="77">
        <f t="shared" si="126"/>
        <v>58297.163168341489</v>
      </c>
      <c r="Q276" s="77">
        <f t="shared" si="126"/>
        <v>675.49203062852871</v>
      </c>
      <c r="R276" s="77">
        <f t="shared" si="126"/>
        <v>675.49203062852871</v>
      </c>
      <c r="S276" s="77">
        <f t="shared" si="126"/>
        <v>0</v>
      </c>
      <c r="T276" s="77">
        <f t="shared" si="126"/>
        <v>1801.9284845133302</v>
      </c>
      <c r="U276" s="77">
        <f t="shared" si="126"/>
        <v>9883.3047180882659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5681157.6240409696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371</v>
      </c>
      <c r="F278" s="80"/>
    </row>
    <row r="279" spans="1:28">
      <c r="A279" s="69" t="s">
        <v>1102</v>
      </c>
      <c r="C279" s="61" t="s">
        <v>99</v>
      </c>
      <c r="D279" s="61" t="s">
        <v>500</v>
      </c>
      <c r="E279" s="61" t="s">
        <v>1106</v>
      </c>
      <c r="F279" s="77">
        <f>VLOOKUP(C279,'Functional Assignment'!$C$2:$AP$780,'Functional Assignment'!$AB$2,)</f>
        <v>206476.61113584062</v>
      </c>
      <c r="G279" s="77">
        <f t="shared" ref="G279:Z279" si="127">IF(VLOOKUP($E279,$D$6:$AN$1131,3,)=0,0,(VLOOKUP($E279,$D$6:$AN$1131,G$2,)/VLOOKUP($E279,$D$6:$AN$1131,3,))*$F279)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206476.61113584062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206476.61113584062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1034</v>
      </c>
      <c r="F281" s="80"/>
    </row>
    <row r="282" spans="1:28">
      <c r="A282" s="69" t="s">
        <v>1102</v>
      </c>
      <c r="C282" s="61" t="s">
        <v>99</v>
      </c>
      <c r="D282" s="61" t="s">
        <v>501</v>
      </c>
      <c r="E282" s="61" t="s">
        <v>1107</v>
      </c>
      <c r="F282" s="77">
        <f>VLOOKUP(C282,'Functional Assignment'!$C$2:$AP$780,'Functional Assignment'!$AC$2,)</f>
        <v>5837418.0327426316</v>
      </c>
      <c r="G282" s="77">
        <f t="shared" ref="G282:Z282" si="128">IF(VLOOKUP($E282,$D$6:$AN$1131,3,)=0,0,(VLOOKUP($E282,$D$6:$AN$1131,G$2,)/VLOOKUP($E282,$D$6:$AN$1131,3,))*$F282)</f>
        <v>4349601.9836015003</v>
      </c>
      <c r="H282" s="77">
        <f t="shared" si="128"/>
        <v>1080790.9437353599</v>
      </c>
      <c r="I282" s="77">
        <f t="shared" si="128"/>
        <v>0</v>
      </c>
      <c r="J282" s="77">
        <f t="shared" si="128"/>
        <v>4300.5143991061477</v>
      </c>
      <c r="K282" s="77">
        <f t="shared" si="128"/>
        <v>168685.68632605017</v>
      </c>
      <c r="L282" s="77">
        <f t="shared" si="128"/>
        <v>0</v>
      </c>
      <c r="M282" s="77">
        <f t="shared" si="128"/>
        <v>0</v>
      </c>
      <c r="N282" s="77">
        <f t="shared" si="128"/>
        <v>31507.240910117955</v>
      </c>
      <c r="O282" s="77">
        <f t="shared" si="128"/>
        <v>82426.525982867824</v>
      </c>
      <c r="P282" s="77">
        <f t="shared" si="128"/>
        <v>3882.4088325263829</v>
      </c>
      <c r="Q282" s="77">
        <f t="shared" si="128"/>
        <v>59.729366654252054</v>
      </c>
      <c r="R282" s="77">
        <f t="shared" si="128"/>
        <v>59.729366654252054</v>
      </c>
      <c r="S282" s="77">
        <f t="shared" si="128"/>
        <v>114683.03861468188</v>
      </c>
      <c r="T282" s="77">
        <f t="shared" si="128"/>
        <v>219.00767773225752</v>
      </c>
      <c r="U282" s="77">
        <f t="shared" si="128"/>
        <v>1201.2239293799578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5837418.0327426316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351</v>
      </c>
      <c r="F284" s="80"/>
    </row>
    <row r="285" spans="1:28">
      <c r="A285" s="69" t="s">
        <v>1102</v>
      </c>
      <c r="C285" s="61" t="s">
        <v>99</v>
      </c>
      <c r="D285" s="61" t="s">
        <v>502</v>
      </c>
      <c r="E285" s="61" t="s">
        <v>1107</v>
      </c>
      <c r="F285" s="77">
        <f>VLOOKUP(C285,'Functional Assignment'!$C$2:$AP$780,'Functional Assignment'!$AD$2,)</f>
        <v>1602599.2570132071</v>
      </c>
      <c r="G285" s="77">
        <f t="shared" ref="G285:Z285" si="129">IF(VLOOKUP($E285,$D$6:$AN$1131,3,)=0,0,(VLOOKUP($E285,$D$6:$AN$1131,G$2,)/VLOOKUP($E285,$D$6:$AN$1131,3,))*$F285)</f>
        <v>1194135.6380721396</v>
      </c>
      <c r="H285" s="77">
        <f t="shared" si="129"/>
        <v>296719.32928248739</v>
      </c>
      <c r="I285" s="77">
        <f t="shared" si="129"/>
        <v>0</v>
      </c>
      <c r="J285" s="77">
        <f t="shared" si="129"/>
        <v>1180.6591787883312</v>
      </c>
      <c r="K285" s="77">
        <f t="shared" si="129"/>
        <v>46310.809686500623</v>
      </c>
      <c r="L285" s="77">
        <f t="shared" si="129"/>
        <v>0</v>
      </c>
      <c r="M285" s="77">
        <f t="shared" si="129"/>
        <v>0</v>
      </c>
      <c r="N285" s="77">
        <f t="shared" si="129"/>
        <v>8649.9682890395088</v>
      </c>
      <c r="O285" s="77">
        <f t="shared" si="129"/>
        <v>22629.300926776345</v>
      </c>
      <c r="P285" s="77">
        <f t="shared" si="129"/>
        <v>1065.8728697394656</v>
      </c>
      <c r="Q285" s="77">
        <f t="shared" si="129"/>
        <v>16.398044149837933</v>
      </c>
      <c r="R285" s="77">
        <f t="shared" si="129"/>
        <v>16.398044149837933</v>
      </c>
      <c r="S285" s="77">
        <f t="shared" si="129"/>
        <v>31484.973569651036</v>
      </c>
      <c r="T285" s="77">
        <f t="shared" si="129"/>
        <v>60.126161882739083</v>
      </c>
      <c r="U285" s="77">
        <f t="shared" si="129"/>
        <v>329.78288790229612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1602599.2570132071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350</v>
      </c>
      <c r="F287" s="80"/>
    </row>
    <row r="288" spans="1:28">
      <c r="A288" s="69" t="s">
        <v>1102</v>
      </c>
      <c r="C288" s="61" t="s">
        <v>99</v>
      </c>
      <c r="D288" s="61" t="s">
        <v>503</v>
      </c>
      <c r="E288" s="61" t="s">
        <v>1108</v>
      </c>
      <c r="F288" s="77">
        <f>VLOOKUP(C288,'Functional Assignment'!$C$2:$AP$780,'Functional Assignment'!$AE$2,)</f>
        <v>0</v>
      </c>
      <c r="G288" s="77">
        <f t="shared" ref="G288:Z288" si="130">IF(VLOOKUP($E288,$D$6:$AN$1131,3,)=0,0,(VLOOKUP($E288,$D$6:$AN$1131,G$2,)/VLOOKUP($E288,$D$6:$AN$1131,3,))*$F288)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931</v>
      </c>
      <c r="D290" s="61" t="s">
        <v>1117</v>
      </c>
      <c r="F290" s="77">
        <f>F245+F251+F254+F257+F265+F270+F273+F276+F279+F282+F285+F288</f>
        <v>71538724.159999996</v>
      </c>
      <c r="G290" s="77">
        <f t="shared" ref="G290:Z290" si="131">G245+G251+G254+G257+G265+G270+G273+G276+G279+G282+G285+G288</f>
        <v>36865585.109798647</v>
      </c>
      <c r="H290" s="77">
        <f t="shared" si="131"/>
        <v>9438122.2560152318</v>
      </c>
      <c r="I290" s="77">
        <f t="shared" si="131"/>
        <v>0</v>
      </c>
      <c r="J290" s="77">
        <f t="shared" si="131"/>
        <v>696727.31524606852</v>
      </c>
      <c r="K290" s="77">
        <f t="shared" si="131"/>
        <v>8363322.3732362306</v>
      </c>
      <c r="L290" s="77">
        <f t="shared" si="131"/>
        <v>0</v>
      </c>
      <c r="M290" s="77">
        <f t="shared" si="131"/>
        <v>0</v>
      </c>
      <c r="N290" s="77">
        <f t="shared" si="131"/>
        <v>7053168.540562436</v>
      </c>
      <c r="O290" s="77">
        <f>O245+O251+O254+O257+O265+O270+O273+O276+O279+O282+O285+O288</f>
        <v>3970975.6910635247</v>
      </c>
      <c r="P290" s="77">
        <f t="shared" si="131"/>
        <v>3756076.0793618839</v>
      </c>
      <c r="Q290" s="77">
        <f t="shared" si="131"/>
        <v>432016.87885047769</v>
      </c>
      <c r="R290" s="77">
        <f t="shared" si="131"/>
        <v>209945.0251622104</v>
      </c>
      <c r="S290" s="77">
        <f t="shared" si="131"/>
        <v>720037.15538016369</v>
      </c>
      <c r="T290" s="77">
        <f t="shared" si="131"/>
        <v>10331.002224994752</v>
      </c>
      <c r="U290" s="77">
        <f t="shared" si="131"/>
        <v>22416.733098126278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71538724.159999982</v>
      </c>
      <c r="AB290" s="59" t="str">
        <f>IF(ABS(F290-AA290)&lt;0.01,"ok","err")</f>
        <v>ok</v>
      </c>
    </row>
    <row r="293" spans="1:28" ht="15">
      <c r="A293" s="66" t="s">
        <v>1080</v>
      </c>
    </row>
    <row r="295" spans="1:28" ht="15">
      <c r="A295" s="66" t="s">
        <v>364</v>
      </c>
    </row>
    <row r="296" spans="1:28">
      <c r="A296" s="69" t="s">
        <v>359</v>
      </c>
      <c r="C296" s="61" t="s">
        <v>1082</v>
      </c>
      <c r="D296" s="61" t="s">
        <v>504</v>
      </c>
      <c r="E296" s="61" t="s">
        <v>869</v>
      </c>
      <c r="F296" s="77">
        <f>VLOOKUP(C296,'Functional Assignment'!$C$2:$AP$780,'Functional Assignment'!$H$2,)</f>
        <v>28434165.889731288</v>
      </c>
      <c r="G296" s="77">
        <f t="shared" ref="G296:P301" si="132">IF(VLOOKUP($E296,$D$6:$AN$1131,3,)=0,0,(VLOOKUP($E296,$D$6:$AN$1131,G$2,)/VLOOKUP($E296,$D$6:$AN$1131,3,))*$F296)</f>
        <v>12826393.117556347</v>
      </c>
      <c r="H296" s="77">
        <f t="shared" si="132"/>
        <v>3240704.1641278449</v>
      </c>
      <c r="I296" s="77">
        <f t="shared" si="132"/>
        <v>0</v>
      </c>
      <c r="J296" s="77">
        <f t="shared" si="132"/>
        <v>327865.3199327045</v>
      </c>
      <c r="K296" s="77">
        <f t="shared" si="132"/>
        <v>4151539.6874023778</v>
      </c>
      <c r="L296" s="77">
        <f t="shared" si="132"/>
        <v>0</v>
      </c>
      <c r="M296" s="77">
        <f t="shared" si="132"/>
        <v>0</v>
      </c>
      <c r="N296" s="77">
        <f t="shared" si="132"/>
        <v>3429392.2013953333</v>
      </c>
      <c r="O296" s="77">
        <f t="shared" si="132"/>
        <v>2185058.2555882344</v>
      </c>
      <c r="P296" s="77">
        <f t="shared" si="132"/>
        <v>1943681.0089203927</v>
      </c>
      <c r="Q296" s="77">
        <f t="shared" ref="Q296:Z301" si="133">IF(VLOOKUP($E296,$D$6:$AN$1131,3,)=0,0,(VLOOKUP($E296,$D$6:$AN$1131,Q$2,)/VLOOKUP($E296,$D$6:$AN$1131,3,))*$F296)</f>
        <v>222162.28565918468</v>
      </c>
      <c r="R296" s="77">
        <f t="shared" si="133"/>
        <v>95973.18328599754</v>
      </c>
      <c r="S296" s="77">
        <f t="shared" si="133"/>
        <v>6850.2001489556633</v>
      </c>
      <c r="T296" s="77">
        <f t="shared" si="133"/>
        <v>221.61788496675899</v>
      </c>
      <c r="U296" s="77">
        <f t="shared" si="133"/>
        <v>4324.8478289490122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28434165.889731288</v>
      </c>
      <c r="AB296" s="59" t="str">
        <f t="shared" ref="AB296:AB302" si="135">IF(ABS(F296-AA296)&lt;0.01,"ok","err")</f>
        <v>ok</v>
      </c>
    </row>
    <row r="297" spans="1:28">
      <c r="A297" s="69" t="s">
        <v>1265</v>
      </c>
      <c r="C297" s="61" t="s">
        <v>1082</v>
      </c>
      <c r="D297" s="61" t="s">
        <v>505</v>
      </c>
      <c r="E297" s="61" t="s">
        <v>188</v>
      </c>
      <c r="F297" s="80">
        <f>VLOOKUP(C297,'Functional Assignment'!$C$2:$AP$780,'Functional Assignment'!$I$2,)</f>
        <v>29786588.490764581</v>
      </c>
      <c r="G297" s="80">
        <f t="shared" si="132"/>
        <v>13436458.628505118</v>
      </c>
      <c r="H297" s="80">
        <f t="shared" si="132"/>
        <v>3394842.7300990033</v>
      </c>
      <c r="I297" s="80">
        <f t="shared" si="132"/>
        <v>0</v>
      </c>
      <c r="J297" s="80">
        <f t="shared" si="132"/>
        <v>343459.6746428645</v>
      </c>
      <c r="K297" s="80">
        <f t="shared" si="132"/>
        <v>4349000.5914465981</v>
      </c>
      <c r="L297" s="80">
        <f t="shared" si="132"/>
        <v>0</v>
      </c>
      <c r="M297" s="80">
        <f t="shared" si="132"/>
        <v>0</v>
      </c>
      <c r="N297" s="80">
        <f t="shared" si="132"/>
        <v>3592505.3920182143</v>
      </c>
      <c r="O297" s="80">
        <f t="shared" si="132"/>
        <v>2288986.8245109869</v>
      </c>
      <c r="P297" s="80">
        <f t="shared" si="132"/>
        <v>2036128.8808170836</v>
      </c>
      <c r="Q297" s="80">
        <f t="shared" si="133"/>
        <v>232729.05583939256</v>
      </c>
      <c r="R297" s="80">
        <f t="shared" si="133"/>
        <v>100537.98404971427</v>
      </c>
      <c r="S297" s="80">
        <f t="shared" si="133"/>
        <v>7176.0182348097296</v>
      </c>
      <c r="T297" s="80">
        <f t="shared" si="133"/>
        <v>232.15876165660353</v>
      </c>
      <c r="U297" s="80">
        <f t="shared" si="133"/>
        <v>4530.551839138132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29786588.490764584</v>
      </c>
      <c r="AB297" s="59" t="str">
        <f t="shared" si="135"/>
        <v>ok</v>
      </c>
    </row>
    <row r="298" spans="1:28">
      <c r="A298" s="69" t="s">
        <v>1266</v>
      </c>
      <c r="C298" s="61" t="s">
        <v>1082</v>
      </c>
      <c r="D298" s="61" t="s">
        <v>506</v>
      </c>
      <c r="E298" s="61" t="s">
        <v>191</v>
      </c>
      <c r="F298" s="80">
        <f>VLOOKUP(C298,'Functional Assignment'!$C$2:$AP$780,'Functional Assignment'!$J$2,)</f>
        <v>24484475.298417449</v>
      </c>
      <c r="G298" s="80">
        <f t="shared" si="132"/>
        <v>11044723.684615452</v>
      </c>
      <c r="H298" s="80">
        <f t="shared" si="132"/>
        <v>2790549.2766616419</v>
      </c>
      <c r="I298" s="80">
        <f t="shared" si="132"/>
        <v>0</v>
      </c>
      <c r="J298" s="80">
        <f t="shared" si="132"/>
        <v>282322.69440332445</v>
      </c>
      <c r="K298" s="80">
        <f t="shared" si="132"/>
        <v>3574863.8212493677</v>
      </c>
      <c r="L298" s="80">
        <f t="shared" si="132"/>
        <v>0</v>
      </c>
      <c r="M298" s="80">
        <f t="shared" si="132"/>
        <v>0</v>
      </c>
      <c r="N298" s="80">
        <f t="shared" si="132"/>
        <v>2953027.3182366593</v>
      </c>
      <c r="O298" s="80">
        <f t="shared" si="132"/>
        <v>1881539.4512372252</v>
      </c>
      <c r="P298" s="80">
        <f t="shared" si="132"/>
        <v>1673691.0741630411</v>
      </c>
      <c r="Q298" s="80">
        <f t="shared" si="133"/>
        <v>191302.49913280204</v>
      </c>
      <c r="R298" s="80">
        <f t="shared" si="133"/>
        <v>82641.88387270832</v>
      </c>
      <c r="S298" s="80">
        <f t="shared" si="133"/>
        <v>5898.6627913320335</v>
      </c>
      <c r="T298" s="80">
        <f t="shared" si="133"/>
        <v>190.83371923759321</v>
      </c>
      <c r="U298" s="80">
        <f t="shared" si="133"/>
        <v>3724.0983346572548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24484475.298417449</v>
      </c>
      <c r="AB298" s="59" t="str">
        <f t="shared" si="135"/>
        <v>ok</v>
      </c>
    </row>
    <row r="299" spans="1:28">
      <c r="A299" s="69" t="s">
        <v>1267</v>
      </c>
      <c r="C299" s="61" t="s">
        <v>1082</v>
      </c>
      <c r="D299" s="61" t="s">
        <v>507</v>
      </c>
      <c r="E299" s="61" t="s">
        <v>1100</v>
      </c>
      <c r="F299" s="80">
        <f>VLOOKUP(C299,'Functional Assignment'!$C$2:$AP$780,'Functional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>
      <c r="A300" s="69" t="s">
        <v>1268</v>
      </c>
      <c r="C300" s="61" t="s">
        <v>1082</v>
      </c>
      <c r="D300" s="61" t="s">
        <v>508</v>
      </c>
      <c r="E300" s="61" t="s">
        <v>1100</v>
      </c>
      <c r="F300" s="80">
        <f>VLOOKUP(C300,'Functional Assignment'!$C$2:$AP$780,'Functional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>
      <c r="A301" s="69" t="s">
        <v>1268</v>
      </c>
      <c r="C301" s="61" t="s">
        <v>1082</v>
      </c>
      <c r="D301" s="61" t="s">
        <v>509</v>
      </c>
      <c r="E301" s="61" t="s">
        <v>1100</v>
      </c>
      <c r="F301" s="80">
        <f>VLOOKUP(C301,'Functional Assignment'!$C$2:$AP$780,'Functional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>
      <c r="A302" s="61" t="s">
        <v>387</v>
      </c>
      <c r="D302" s="61" t="s">
        <v>510</v>
      </c>
      <c r="F302" s="77">
        <f>SUM(F296:F301)</f>
        <v>82705229.678913325</v>
      </c>
      <c r="G302" s="77">
        <f t="shared" ref="G302:P302" si="136">SUM(G296:G301)</f>
        <v>37307575.430676922</v>
      </c>
      <c r="H302" s="77">
        <f t="shared" si="136"/>
        <v>9426096.170888491</v>
      </c>
      <c r="I302" s="77">
        <f t="shared" si="136"/>
        <v>0</v>
      </c>
      <c r="J302" s="77">
        <f t="shared" si="136"/>
        <v>953647.68897889345</v>
      </c>
      <c r="K302" s="77">
        <f t="shared" si="136"/>
        <v>12075404.100098344</v>
      </c>
      <c r="L302" s="77">
        <f t="shared" si="136"/>
        <v>0</v>
      </c>
      <c r="M302" s="77">
        <f t="shared" si="136"/>
        <v>0</v>
      </c>
      <c r="N302" s="77">
        <f t="shared" si="136"/>
        <v>9974924.9116502069</v>
      </c>
      <c r="O302" s="77">
        <f>SUM(O296:O301)</f>
        <v>6355584.5313364463</v>
      </c>
      <c r="P302" s="77">
        <f t="shared" si="136"/>
        <v>5653500.9639005177</v>
      </c>
      <c r="Q302" s="77">
        <f t="shared" ref="Q302:W302" si="137">SUM(Q296:Q301)</f>
        <v>646193.84063137928</v>
      </c>
      <c r="R302" s="77">
        <f t="shared" si="137"/>
        <v>279153.05120842013</v>
      </c>
      <c r="S302" s="77">
        <f t="shared" si="137"/>
        <v>19924.881175097427</v>
      </c>
      <c r="T302" s="77">
        <f t="shared" si="137"/>
        <v>644.61036586095577</v>
      </c>
      <c r="U302" s="77">
        <f t="shared" si="137"/>
        <v>12579.4980027444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82705229.678913325</v>
      </c>
      <c r="AB302" s="59" t="str">
        <f t="shared" si="135"/>
        <v>ok</v>
      </c>
    </row>
    <row r="303" spans="1:28">
      <c r="F303" s="80"/>
      <c r="G303" s="80"/>
    </row>
    <row r="304" spans="1:28" ht="15">
      <c r="A304" s="66" t="s">
        <v>1140</v>
      </c>
      <c r="F304" s="80"/>
      <c r="G304" s="80"/>
    </row>
    <row r="305" spans="1:28">
      <c r="A305" s="69" t="s">
        <v>1377</v>
      </c>
      <c r="C305" s="61" t="s">
        <v>1082</v>
      </c>
      <c r="D305" s="61" t="s">
        <v>511</v>
      </c>
      <c r="E305" s="61" t="s">
        <v>1381</v>
      </c>
      <c r="F305" s="77">
        <f>VLOOKUP(C305,'Functional Assignment'!$C$2:$AP$780,'Functional Assignment'!$N$2,)</f>
        <v>11770778.332659373</v>
      </c>
      <c r="G305" s="77">
        <f t="shared" ref="G305:P307" si="138">IF(VLOOKUP($E305,$D$6:$AN$1131,3,)=0,0,(VLOOKUP($E305,$D$6:$AN$1131,G$2,)/VLOOKUP($E305,$D$6:$AN$1131,3,))*$F305)</f>
        <v>5230791.5018595681</v>
      </c>
      <c r="H305" s="77">
        <f t="shared" si="138"/>
        <v>1505668.7733276098</v>
      </c>
      <c r="I305" s="77">
        <f t="shared" si="138"/>
        <v>0</v>
      </c>
      <c r="J305" s="77">
        <f t="shared" si="138"/>
        <v>133779.9889594329</v>
      </c>
      <c r="K305" s="77">
        <f t="shared" si="138"/>
        <v>1552731.9142005795</v>
      </c>
      <c r="L305" s="77">
        <f t="shared" si="138"/>
        <v>0</v>
      </c>
      <c r="M305" s="77">
        <f t="shared" si="138"/>
        <v>0</v>
      </c>
      <c r="N305" s="77">
        <f t="shared" si="138"/>
        <v>1412512.2278728345</v>
      </c>
      <c r="O305" s="77">
        <f t="shared" si="138"/>
        <v>838675.62857605307</v>
      </c>
      <c r="P305" s="77">
        <f t="shared" si="138"/>
        <v>868715.03239650407</v>
      </c>
      <c r="Q305" s="77">
        <f t="shared" ref="Q305:Z307" si="139">IF(VLOOKUP($E305,$D$6:$AN$1131,3,)=0,0,(VLOOKUP($E305,$D$6:$AN$1131,Q$2,)/VLOOKUP($E305,$D$6:$AN$1131,3,))*$F305)</f>
        <v>87570.30015470217</v>
      </c>
      <c r="R305" s="77">
        <f t="shared" si="139"/>
        <v>45835.554988571217</v>
      </c>
      <c r="S305" s="77">
        <f t="shared" si="139"/>
        <v>90294.028354878552</v>
      </c>
      <c r="T305" s="77">
        <f t="shared" si="139"/>
        <v>2887.8636738089626</v>
      </c>
      <c r="U305" s="77">
        <f t="shared" si="139"/>
        <v>1315.5182948320248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11770778.332659373</v>
      </c>
      <c r="AB305" s="59" t="str">
        <f>IF(ABS(F305-AA305)&lt;0.01,"ok","err")</f>
        <v>ok</v>
      </c>
    </row>
    <row r="306" spans="1:28" hidden="1">
      <c r="A306" s="69" t="s">
        <v>1378</v>
      </c>
      <c r="C306" s="61" t="s">
        <v>1082</v>
      </c>
      <c r="D306" s="61" t="s">
        <v>512</v>
      </c>
      <c r="E306" s="61" t="s">
        <v>188</v>
      </c>
      <c r="F306" s="80">
        <f>VLOOKUP(C306,'Functional Assignment'!$C$2:$AP$780,'Functional Assignment'!$O$2,)</f>
        <v>0</v>
      </c>
      <c r="G306" s="80">
        <f t="shared" si="138"/>
        <v>0</v>
      </c>
      <c r="H306" s="80">
        <f t="shared" si="138"/>
        <v>0</v>
      </c>
      <c r="I306" s="80">
        <f t="shared" si="138"/>
        <v>0</v>
      </c>
      <c r="J306" s="80">
        <f t="shared" si="138"/>
        <v>0</v>
      </c>
      <c r="K306" s="80">
        <f t="shared" si="138"/>
        <v>0</v>
      </c>
      <c r="L306" s="80">
        <f t="shared" si="138"/>
        <v>0</v>
      </c>
      <c r="M306" s="80">
        <f t="shared" si="138"/>
        <v>0</v>
      </c>
      <c r="N306" s="80">
        <f t="shared" si="138"/>
        <v>0</v>
      </c>
      <c r="O306" s="80">
        <f t="shared" si="138"/>
        <v>0</v>
      </c>
      <c r="P306" s="80">
        <f t="shared" si="138"/>
        <v>0</v>
      </c>
      <c r="Q306" s="80">
        <f t="shared" si="139"/>
        <v>0</v>
      </c>
      <c r="R306" s="80">
        <f t="shared" si="139"/>
        <v>0</v>
      </c>
      <c r="S306" s="80">
        <f t="shared" si="139"/>
        <v>0</v>
      </c>
      <c r="T306" s="80">
        <f t="shared" si="139"/>
        <v>0</v>
      </c>
      <c r="U306" s="80">
        <f t="shared" si="139"/>
        <v>0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0</v>
      </c>
      <c r="AB306" s="59" t="str">
        <f>IF(ABS(F306-AA306)&lt;0.01,"ok","err")</f>
        <v>ok</v>
      </c>
    </row>
    <row r="307" spans="1:28" hidden="1">
      <c r="A307" s="69" t="s">
        <v>1378</v>
      </c>
      <c r="C307" s="61" t="s">
        <v>1082</v>
      </c>
      <c r="D307" s="61" t="s">
        <v>513</v>
      </c>
      <c r="E307" s="61" t="s">
        <v>191</v>
      </c>
      <c r="F307" s="80">
        <f>VLOOKUP(C307,'Functional Assignment'!$C$2:$AP$780,'Functional Assignment'!$P$2,)</f>
        <v>0</v>
      </c>
      <c r="G307" s="80">
        <f t="shared" si="138"/>
        <v>0</v>
      </c>
      <c r="H307" s="80">
        <f t="shared" si="138"/>
        <v>0</v>
      </c>
      <c r="I307" s="80">
        <f t="shared" si="138"/>
        <v>0</v>
      </c>
      <c r="J307" s="80">
        <f t="shared" si="138"/>
        <v>0</v>
      </c>
      <c r="K307" s="80">
        <f t="shared" si="138"/>
        <v>0</v>
      </c>
      <c r="L307" s="80">
        <f t="shared" si="138"/>
        <v>0</v>
      </c>
      <c r="M307" s="80">
        <f t="shared" si="138"/>
        <v>0</v>
      </c>
      <c r="N307" s="80">
        <f t="shared" si="138"/>
        <v>0</v>
      </c>
      <c r="O307" s="80">
        <f t="shared" si="138"/>
        <v>0</v>
      </c>
      <c r="P307" s="80">
        <f t="shared" si="138"/>
        <v>0</v>
      </c>
      <c r="Q307" s="80">
        <f t="shared" si="139"/>
        <v>0</v>
      </c>
      <c r="R307" s="80">
        <f t="shared" si="139"/>
        <v>0</v>
      </c>
      <c r="S307" s="80">
        <f t="shared" si="139"/>
        <v>0</v>
      </c>
      <c r="T307" s="80">
        <f t="shared" si="139"/>
        <v>0</v>
      </c>
      <c r="U307" s="80">
        <f t="shared" si="139"/>
        <v>0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0</v>
      </c>
      <c r="AB307" s="59" t="str">
        <f>IF(ABS(F307-AA307)&lt;0.01,"ok","err")</f>
        <v>ok</v>
      </c>
    </row>
    <row r="308" spans="1:28" hidden="1">
      <c r="A308" s="61" t="s">
        <v>1142</v>
      </c>
      <c r="D308" s="61" t="s">
        <v>514</v>
      </c>
      <c r="F308" s="77">
        <f>SUM(F305:F307)</f>
        <v>11770778.332659373</v>
      </c>
      <c r="G308" s="77">
        <f t="shared" ref="G308:W308" si="140">SUM(G305:G307)</f>
        <v>5230791.5018595681</v>
      </c>
      <c r="H308" s="77">
        <f t="shared" si="140"/>
        <v>1505668.7733276098</v>
      </c>
      <c r="I308" s="77">
        <f t="shared" si="140"/>
        <v>0</v>
      </c>
      <c r="J308" s="77">
        <f t="shared" si="140"/>
        <v>133779.9889594329</v>
      </c>
      <c r="K308" s="77">
        <f t="shared" si="140"/>
        <v>1552731.9142005795</v>
      </c>
      <c r="L308" s="77">
        <f t="shared" si="140"/>
        <v>0</v>
      </c>
      <c r="M308" s="77">
        <f t="shared" si="140"/>
        <v>0</v>
      </c>
      <c r="N308" s="77">
        <f t="shared" si="140"/>
        <v>1412512.2278728345</v>
      </c>
      <c r="O308" s="77">
        <f>SUM(O305:O307)</f>
        <v>838675.62857605307</v>
      </c>
      <c r="P308" s="77">
        <f t="shared" si="140"/>
        <v>868715.03239650407</v>
      </c>
      <c r="Q308" s="77">
        <f t="shared" si="140"/>
        <v>87570.30015470217</v>
      </c>
      <c r="R308" s="77">
        <f t="shared" si="140"/>
        <v>45835.554988571217</v>
      </c>
      <c r="S308" s="77">
        <f t="shared" si="140"/>
        <v>90294.028354878552</v>
      </c>
      <c r="T308" s="77">
        <f t="shared" si="140"/>
        <v>2887.8636738089626</v>
      </c>
      <c r="U308" s="77">
        <f t="shared" si="140"/>
        <v>1315.5182948320248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11770778.332659373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348</v>
      </c>
      <c r="F310" s="80"/>
      <c r="G310" s="80"/>
    </row>
    <row r="311" spans="1:28">
      <c r="A311" s="69" t="s">
        <v>372</v>
      </c>
      <c r="C311" s="61" t="s">
        <v>1082</v>
      </c>
      <c r="D311" s="61" t="s">
        <v>515</v>
      </c>
      <c r="E311" s="61" t="s">
        <v>1382</v>
      </c>
      <c r="F311" s="77">
        <f>VLOOKUP(C311,'Functional Assignment'!$C$2:$AP$780,'Functional Assignment'!$Q$2,)</f>
        <v>0</v>
      </c>
      <c r="G311" s="77">
        <f t="shared" ref="G311:Z311" si="141">IF(VLOOKUP($E311,$D$6:$AN$1131,3,)=0,0,(VLOOKUP($E311,$D$6:$AN$1131,G$2,)/VLOOKUP($E311,$D$6:$AN$1131,3,))*$F311)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349</v>
      </c>
      <c r="F313" s="80"/>
      <c r="G313" s="80"/>
    </row>
    <row r="314" spans="1:28">
      <c r="A314" s="69" t="s">
        <v>374</v>
      </c>
      <c r="C314" s="61" t="s">
        <v>1082</v>
      </c>
      <c r="D314" s="61" t="s">
        <v>516</v>
      </c>
      <c r="E314" s="61" t="s">
        <v>1382</v>
      </c>
      <c r="F314" s="77">
        <f>VLOOKUP(C314,'Functional Assignment'!$C$2:$AP$780,'Functional Assignment'!$R$2,)</f>
        <v>4970929.1010819944</v>
      </c>
      <c r="G314" s="77">
        <f t="shared" ref="G314:Z314" si="142">IF(VLOOKUP($E314,$D$6:$AN$1131,3,)=0,0,(VLOOKUP($E314,$D$6:$AN$1131,G$2,)/VLOOKUP($E314,$D$6:$AN$1131,3,))*$F314)</f>
        <v>2385043.3612561361</v>
      </c>
      <c r="H314" s="77">
        <f t="shared" si="142"/>
        <v>686528.09250742267</v>
      </c>
      <c r="I314" s="77">
        <f t="shared" si="142"/>
        <v>0</v>
      </c>
      <c r="J314" s="77">
        <f t="shared" si="142"/>
        <v>60998.622182356827</v>
      </c>
      <c r="K314" s="77">
        <f t="shared" si="142"/>
        <v>707987.10720128578</v>
      </c>
      <c r="L314" s="77">
        <f t="shared" si="142"/>
        <v>0</v>
      </c>
      <c r="M314" s="77">
        <f t="shared" si="142"/>
        <v>0</v>
      </c>
      <c r="N314" s="77">
        <f t="shared" si="142"/>
        <v>644052.22624215845</v>
      </c>
      <c r="O314" s="77">
        <f t="shared" si="142"/>
        <v>382404.41039783851</v>
      </c>
      <c r="P314" s="77">
        <f t="shared" si="142"/>
        <v>0</v>
      </c>
      <c r="Q314" s="77">
        <f t="shared" si="142"/>
        <v>39928.749397281339</v>
      </c>
      <c r="R314" s="77">
        <f t="shared" si="142"/>
        <v>20899.281895697564</v>
      </c>
      <c r="S314" s="77">
        <f t="shared" si="142"/>
        <v>41170.666583119732</v>
      </c>
      <c r="T314" s="77">
        <f t="shared" si="142"/>
        <v>1316.7567625247964</v>
      </c>
      <c r="U314" s="77">
        <f t="shared" si="142"/>
        <v>599.82665617329508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4970929.1010819944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373</v>
      </c>
      <c r="F316" s="80"/>
    </row>
    <row r="317" spans="1:28">
      <c r="A317" s="69" t="s">
        <v>623</v>
      </c>
      <c r="C317" s="61" t="s">
        <v>1082</v>
      </c>
      <c r="D317" s="61" t="s">
        <v>517</v>
      </c>
      <c r="E317" s="61" t="s">
        <v>1382</v>
      </c>
      <c r="F317" s="77">
        <f>VLOOKUP(C317,'Functional Assignment'!$C$2:$AP$780,'Functional Assignment'!$S$2,)</f>
        <v>0</v>
      </c>
      <c r="G317" s="77">
        <f t="shared" ref="G317:P321" si="143">IF(VLOOKUP($E317,$D$6:$AN$1131,3,)=0,0,(VLOOKUP($E317,$D$6:$AN$1131,G$2,)/VLOOKUP($E317,$D$6:$AN$1131,3,))*$F317)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IF(VLOOKUP($E317,$D$6:$AN$1131,3,)=0,0,(VLOOKUP($E317,$D$6:$AN$1131,Q$2,)/VLOOKUP($E317,$D$6:$AN$1131,3,))*$F317)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>
      <c r="A318" s="69" t="s">
        <v>624</v>
      </c>
      <c r="C318" s="61" t="s">
        <v>1082</v>
      </c>
      <c r="D318" s="61" t="s">
        <v>518</v>
      </c>
      <c r="E318" s="61" t="s">
        <v>1382</v>
      </c>
      <c r="F318" s="80">
        <f>VLOOKUP(C318,'Functional Assignment'!$C$2:$AP$780,'Functional Assignment'!$T$2,)</f>
        <v>8500800.0729133934</v>
      </c>
      <c r="G318" s="80">
        <f t="shared" si="143"/>
        <v>4078669.4734500777</v>
      </c>
      <c r="H318" s="80">
        <f t="shared" si="143"/>
        <v>1174033.6545081469</v>
      </c>
      <c r="I318" s="80">
        <f t="shared" si="143"/>
        <v>0</v>
      </c>
      <c r="J318" s="80">
        <f t="shared" si="143"/>
        <v>104313.91825373819</v>
      </c>
      <c r="K318" s="80">
        <f t="shared" si="143"/>
        <v>1210730.7769101814</v>
      </c>
      <c r="L318" s="80">
        <f t="shared" si="143"/>
        <v>0</v>
      </c>
      <c r="M318" s="80">
        <f t="shared" si="143"/>
        <v>0</v>
      </c>
      <c r="N318" s="80">
        <f t="shared" si="143"/>
        <v>1101395.5541244131</v>
      </c>
      <c r="O318" s="80">
        <f t="shared" si="143"/>
        <v>653950.87592071621</v>
      </c>
      <c r="P318" s="80">
        <f t="shared" si="143"/>
        <v>0</v>
      </c>
      <c r="Q318" s="80">
        <f t="shared" si="144"/>
        <v>68282.268542890466</v>
      </c>
      <c r="R318" s="80">
        <f t="shared" si="144"/>
        <v>35739.921743022453</v>
      </c>
      <c r="S318" s="80">
        <f t="shared" si="144"/>
        <v>70406.074674349758</v>
      </c>
      <c r="T318" s="80">
        <f t="shared" si="144"/>
        <v>2251.7895055963622</v>
      </c>
      <c r="U318" s="80">
        <f t="shared" si="144"/>
        <v>1025.7652802618875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8500800.0729133952</v>
      </c>
      <c r="AB318" s="59" t="str">
        <f t="shared" si="146"/>
        <v>ok</v>
      </c>
    </row>
    <row r="319" spans="1:28">
      <c r="A319" s="69" t="s">
        <v>625</v>
      </c>
      <c r="C319" s="61" t="s">
        <v>1082</v>
      </c>
      <c r="D319" s="61" t="s">
        <v>519</v>
      </c>
      <c r="E319" s="61" t="s">
        <v>698</v>
      </c>
      <c r="F319" s="80">
        <f>VLOOKUP(C319,'Functional Assignment'!$C$2:$AP$780,'Functional Assignment'!$U$2,)</f>
        <v>13527932.388058219</v>
      </c>
      <c r="G319" s="80">
        <f t="shared" si="143"/>
        <v>11662609.564364776</v>
      </c>
      <c r="H319" s="80">
        <f t="shared" si="143"/>
        <v>1448965.0828982224</v>
      </c>
      <c r="I319" s="80">
        <f t="shared" si="143"/>
        <v>0</v>
      </c>
      <c r="J319" s="80">
        <f t="shared" si="143"/>
        <v>2306.1981556838873</v>
      </c>
      <c r="K319" s="80">
        <f t="shared" si="143"/>
        <v>90459.554972369151</v>
      </c>
      <c r="L319" s="80">
        <f t="shared" si="143"/>
        <v>0</v>
      </c>
      <c r="M319" s="80">
        <f t="shared" si="143"/>
        <v>0</v>
      </c>
      <c r="N319" s="80">
        <f t="shared" si="143"/>
        <v>3379.2209086756961</v>
      </c>
      <c r="O319" s="80">
        <f t="shared" si="143"/>
        <v>8840.4262634549013</v>
      </c>
      <c r="P319" s="80">
        <f t="shared" si="143"/>
        <v>0</v>
      </c>
      <c r="Q319" s="80">
        <f t="shared" si="144"/>
        <v>32.030529940053988</v>
      </c>
      <c r="R319" s="80">
        <f t="shared" si="144"/>
        <v>32.030529940053988</v>
      </c>
      <c r="S319" s="80">
        <f t="shared" si="144"/>
        <v>307500.20532006054</v>
      </c>
      <c r="T319" s="80">
        <f t="shared" si="144"/>
        <v>587.22638223432307</v>
      </c>
      <c r="U319" s="80">
        <f t="shared" si="144"/>
        <v>3220.8477328609847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13527932.388058219</v>
      </c>
      <c r="AB319" s="59" t="str">
        <f t="shared" si="146"/>
        <v>ok</v>
      </c>
    </row>
    <row r="320" spans="1:28">
      <c r="A320" s="69" t="s">
        <v>626</v>
      </c>
      <c r="C320" s="61" t="s">
        <v>1082</v>
      </c>
      <c r="D320" s="61" t="s">
        <v>520</v>
      </c>
      <c r="E320" s="61" t="s">
        <v>678</v>
      </c>
      <c r="F320" s="80">
        <f>VLOOKUP(C320,'Functional Assignment'!$C$2:$AP$780,'Functional Assignment'!$V$2,)</f>
        <v>2336901.8861824367</v>
      </c>
      <c r="G320" s="80">
        <f t="shared" si="143"/>
        <v>1961146.8018662254</v>
      </c>
      <c r="H320" s="80">
        <f t="shared" si="143"/>
        <v>358881.01933143946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16123.482082533224</v>
      </c>
      <c r="T320" s="80">
        <f t="shared" si="144"/>
        <v>515.67549980664512</v>
      </c>
      <c r="U320" s="80">
        <f t="shared" si="144"/>
        <v>234.90740243203251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2336901.8861824367</v>
      </c>
      <c r="AB320" s="59" t="str">
        <f t="shared" si="146"/>
        <v>ok</v>
      </c>
    </row>
    <row r="321" spans="1:28">
      <c r="A321" s="69" t="s">
        <v>627</v>
      </c>
      <c r="C321" s="61" t="s">
        <v>1082</v>
      </c>
      <c r="D321" s="61" t="s">
        <v>521</v>
      </c>
      <c r="E321" s="61" t="s">
        <v>697</v>
      </c>
      <c r="F321" s="80">
        <f>VLOOKUP(C321,'Functional Assignment'!$C$2:$AP$780,'Functional Assignment'!$W$2,)</f>
        <v>3551287.1257454674</v>
      </c>
      <c r="G321" s="80">
        <f t="shared" si="143"/>
        <v>3085572.2593054506</v>
      </c>
      <c r="H321" s="80">
        <f t="shared" si="143"/>
        <v>383352.15114752855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81355.214545243842</v>
      </c>
      <c r="T321" s="80">
        <f t="shared" si="144"/>
        <v>155.36226476198738</v>
      </c>
      <c r="U321" s="80">
        <f t="shared" si="144"/>
        <v>852.13848248241561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3551287.1257454678</v>
      </c>
      <c r="AB321" s="59" t="str">
        <f t="shared" si="146"/>
        <v>ok</v>
      </c>
    </row>
    <row r="322" spans="1:28">
      <c r="A322" s="61" t="s">
        <v>378</v>
      </c>
      <c r="D322" s="61" t="s">
        <v>522</v>
      </c>
      <c r="F322" s="77">
        <f>SUM(F317:F321)</f>
        <v>27916921.472899519</v>
      </c>
      <c r="G322" s="77">
        <f t="shared" ref="G322:W322" si="147">SUM(G317:G321)</f>
        <v>20787998.098986529</v>
      </c>
      <c r="H322" s="77">
        <f t="shared" si="147"/>
        <v>3365231.9078853372</v>
      </c>
      <c r="I322" s="77">
        <f t="shared" si="147"/>
        <v>0</v>
      </c>
      <c r="J322" s="77">
        <f t="shared" si="147"/>
        <v>106620.11640942207</v>
      </c>
      <c r="K322" s="77">
        <f t="shared" si="147"/>
        <v>1301190.3318825506</v>
      </c>
      <c r="L322" s="77">
        <f t="shared" si="147"/>
        <v>0</v>
      </c>
      <c r="M322" s="77">
        <f t="shared" si="147"/>
        <v>0</v>
      </c>
      <c r="N322" s="77">
        <f t="shared" si="147"/>
        <v>1104774.7750330889</v>
      </c>
      <c r="O322" s="77">
        <f>SUM(O317:O321)</f>
        <v>662791.30218417116</v>
      </c>
      <c r="P322" s="77">
        <f t="shared" si="147"/>
        <v>0</v>
      </c>
      <c r="Q322" s="77">
        <f t="shared" si="147"/>
        <v>68314.299072830516</v>
      </c>
      <c r="R322" s="77">
        <f t="shared" si="147"/>
        <v>35771.95227296251</v>
      </c>
      <c r="S322" s="77">
        <f t="shared" si="147"/>
        <v>475384.97662218736</v>
      </c>
      <c r="T322" s="77">
        <f t="shared" si="147"/>
        <v>3510.0536523993173</v>
      </c>
      <c r="U322" s="77">
        <f t="shared" si="147"/>
        <v>5333.6588980373199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27916921.472899515</v>
      </c>
      <c r="AB322" s="59" t="str">
        <f t="shared" si="146"/>
        <v>ok</v>
      </c>
    </row>
    <row r="323" spans="1:28">
      <c r="F323" s="80"/>
    </row>
    <row r="324" spans="1:28" ht="15">
      <c r="A324" s="66" t="s">
        <v>634</v>
      </c>
      <c r="F324" s="80"/>
    </row>
    <row r="325" spans="1:28">
      <c r="A325" s="69" t="s">
        <v>1099</v>
      </c>
      <c r="C325" s="61" t="s">
        <v>1082</v>
      </c>
      <c r="D325" s="61" t="s">
        <v>523</v>
      </c>
      <c r="E325" s="61" t="s">
        <v>1346</v>
      </c>
      <c r="F325" s="77">
        <f>VLOOKUP(C325,'Functional Assignment'!$C$2:$AP$780,'Functional Assignment'!$X$2,)</f>
        <v>3230303.464011176</v>
      </c>
      <c r="G325" s="77">
        <f t="shared" ref="G325:P326" si="148">IF(VLOOKUP($E325,$D$6:$AN$1131,3,)=0,0,(VLOOKUP($E325,$D$6:$AN$1131,G$2,)/VLOOKUP($E325,$D$6:$AN$1131,3,))*$F325)</f>
        <v>2241186.9060360873</v>
      </c>
      <c r="H325" s="77">
        <f t="shared" si="148"/>
        <v>410127.09532255126</v>
      </c>
      <c r="I325" s="77">
        <f t="shared" si="148"/>
        <v>0</v>
      </c>
      <c r="J325" s="77">
        <f t="shared" si="148"/>
        <v>0</v>
      </c>
      <c r="K325" s="77">
        <f t="shared" si="148"/>
        <v>361201.83749819291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198504.0440070871</v>
      </c>
      <c r="P325" s="77">
        <f t="shared" si="148"/>
        <v>0</v>
      </c>
      <c r="Q325" s="77">
        <f t="shared" ref="Q325:Z326" si="149">IF(VLOOKUP($E325,$D$6:$AN$1131,3,)=0,0,(VLOOKUP($E325,$D$6:$AN$1131,Q$2,)/VLOOKUP($E325,$D$6:$AN$1131,3,))*$F325)</f>
        <v>0</v>
      </c>
      <c r="R325" s="77">
        <f t="shared" si="149"/>
        <v>0</v>
      </c>
      <c r="S325" s="77">
        <f t="shared" si="149"/>
        <v>18425.819468840473</v>
      </c>
      <c r="T325" s="77">
        <f t="shared" si="149"/>
        <v>589.31089545692384</v>
      </c>
      <c r="U325" s="77">
        <f t="shared" si="149"/>
        <v>268.45078296057761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3230303.4640111765</v>
      </c>
      <c r="AB325" s="59" t="str">
        <f>IF(ABS(F325-AA325)&lt;0.01,"ok","err")</f>
        <v>ok</v>
      </c>
    </row>
    <row r="326" spans="1:28">
      <c r="A326" s="69" t="s">
        <v>1102</v>
      </c>
      <c r="C326" s="61" t="s">
        <v>1082</v>
      </c>
      <c r="D326" s="61" t="s">
        <v>524</v>
      </c>
      <c r="E326" s="61" t="s">
        <v>1344</v>
      </c>
      <c r="F326" s="80">
        <f>VLOOKUP(C326,'Functional Assignment'!$C$2:$AP$780,'Functional Assignment'!$Y$2,)</f>
        <v>2259120.3319751727</v>
      </c>
      <c r="G326" s="80">
        <f t="shared" si="148"/>
        <v>1948445.6444739888</v>
      </c>
      <c r="H326" s="80">
        <f t="shared" si="148"/>
        <v>242075.29963056819</v>
      </c>
      <c r="I326" s="80">
        <f t="shared" si="148"/>
        <v>0</v>
      </c>
      <c r="J326" s="80">
        <f t="shared" si="148"/>
        <v>0</v>
      </c>
      <c r="K326" s="80">
        <f t="shared" si="148"/>
        <v>15112.872030417497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1476.9499015857998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51373.359660554059</v>
      </c>
      <c r="T326" s="80">
        <f t="shared" si="149"/>
        <v>98.106575588428711</v>
      </c>
      <c r="U326" s="80">
        <f t="shared" si="149"/>
        <v>538.09970246986666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2259120.3319751727</v>
      </c>
      <c r="AB326" s="59" t="str">
        <f>IF(ABS(F326-AA326)&lt;0.01,"ok","err")</f>
        <v>ok</v>
      </c>
    </row>
    <row r="327" spans="1:28">
      <c r="A327" s="61" t="s">
        <v>712</v>
      </c>
      <c r="D327" s="61" t="s">
        <v>525</v>
      </c>
      <c r="F327" s="77">
        <f>F325+F326</f>
        <v>5489423.7959863488</v>
      </c>
      <c r="G327" s="77">
        <f t="shared" ref="G327:W327" si="150">G325+G326</f>
        <v>4189632.5505100759</v>
      </c>
      <c r="H327" s="77">
        <f t="shared" si="150"/>
        <v>652202.39495311945</v>
      </c>
      <c r="I327" s="77">
        <f t="shared" si="150"/>
        <v>0</v>
      </c>
      <c r="J327" s="77">
        <f t="shared" si="150"/>
        <v>0</v>
      </c>
      <c r="K327" s="77">
        <f t="shared" si="150"/>
        <v>376314.7095286104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199980.99390867288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69799.179129394528</v>
      </c>
      <c r="T327" s="77">
        <f t="shared" si="150"/>
        <v>687.41747104535261</v>
      </c>
      <c r="U327" s="77">
        <f t="shared" si="150"/>
        <v>806.55048543044427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5489423.7959863488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354</v>
      </c>
      <c r="F329" s="80"/>
    </row>
    <row r="330" spans="1:28">
      <c r="A330" s="69" t="s">
        <v>1102</v>
      </c>
      <c r="C330" s="61" t="s">
        <v>1082</v>
      </c>
      <c r="D330" s="61" t="s">
        <v>526</v>
      </c>
      <c r="E330" s="61" t="s">
        <v>1104</v>
      </c>
      <c r="F330" s="77">
        <f>VLOOKUP(C330,'Functional Assignment'!$C$2:$AP$780,'Functional Assignment'!$Z$2,)</f>
        <v>1121921.3970883086</v>
      </c>
      <c r="G330" s="77">
        <f t="shared" ref="G330:Z330" si="151">IF(VLOOKUP($E330,$D$6:$AN$1131,3,)=0,0,(VLOOKUP($E330,$D$6:$AN$1131,G$2,)/VLOOKUP($E330,$D$6:$AN$1131,3,))*$F330)</f>
        <v>862327.18603707431</v>
      </c>
      <c r="H330" s="77">
        <f t="shared" si="151"/>
        <v>217020.38436520658</v>
      </c>
      <c r="I330" s="77">
        <f t="shared" si="151"/>
        <v>0</v>
      </c>
      <c r="J330" s="77">
        <f t="shared" si="151"/>
        <v>0</v>
      </c>
      <c r="K330" s="77">
        <f t="shared" si="151"/>
        <v>37860.596574806492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4713.2301112210152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1121921.3970883086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353</v>
      </c>
      <c r="F332" s="80"/>
    </row>
    <row r="333" spans="1:28">
      <c r="A333" s="69" t="s">
        <v>1102</v>
      </c>
      <c r="C333" s="61" t="s">
        <v>1082</v>
      </c>
      <c r="D333" s="61" t="s">
        <v>527</v>
      </c>
      <c r="E333" s="61" t="s">
        <v>1105</v>
      </c>
      <c r="F333" s="77">
        <f>VLOOKUP(C333,'Functional Assignment'!$C$2:$AP$780,'Functional Assignment'!$AA$2,)</f>
        <v>1301397.4831913491</v>
      </c>
      <c r="G333" s="77">
        <f t="shared" ref="G333:Z333" si="152">IF(VLOOKUP($E333,$D$6:$AN$1131,3,)=0,0,(VLOOKUP($E333,$D$6:$AN$1131,G$2,)/VLOOKUP($E333,$D$6:$AN$1131,3,))*$F333)</f>
        <v>910874.07727906585</v>
      </c>
      <c r="H333" s="77">
        <f t="shared" si="152"/>
        <v>267802.20714278496</v>
      </c>
      <c r="I333" s="77">
        <f t="shared" si="152"/>
        <v>0</v>
      </c>
      <c r="J333" s="77">
        <f t="shared" si="152"/>
        <v>10425.103719729314</v>
      </c>
      <c r="K333" s="77">
        <f t="shared" si="152"/>
        <v>72041.346807462018</v>
      </c>
      <c r="L333" s="77">
        <f t="shared" si="152"/>
        <v>0</v>
      </c>
      <c r="M333" s="77">
        <f t="shared" si="152"/>
        <v>0</v>
      </c>
      <c r="N333" s="77">
        <f t="shared" si="152"/>
        <v>16324.722697761943</v>
      </c>
      <c r="O333" s="77">
        <f t="shared" si="152"/>
        <v>7589.5034352562661</v>
      </c>
      <c r="P333" s="77">
        <f t="shared" si="152"/>
        <v>13354.282075087158</v>
      </c>
      <c r="Q333" s="77">
        <f t="shared" si="152"/>
        <v>154.73670803565824</v>
      </c>
      <c r="R333" s="77">
        <f t="shared" si="152"/>
        <v>154.73670803565824</v>
      </c>
      <c r="S333" s="77">
        <f t="shared" si="152"/>
        <v>0</v>
      </c>
      <c r="T333" s="77">
        <f t="shared" si="152"/>
        <v>412.77242242197286</v>
      </c>
      <c r="U333" s="77">
        <f t="shared" si="152"/>
        <v>2263.994195708397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1301397.4831913488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371</v>
      </c>
      <c r="F335" s="80"/>
    </row>
    <row r="336" spans="1:28">
      <c r="A336" s="69" t="s">
        <v>1102</v>
      </c>
      <c r="C336" s="61" t="s">
        <v>1082</v>
      </c>
      <c r="D336" s="61" t="s">
        <v>528</v>
      </c>
      <c r="E336" s="61" t="s">
        <v>1106</v>
      </c>
      <c r="F336" s="77">
        <f>VLOOKUP(C336,'Functional Assignment'!$C$2:$AP$780,'Functional Assignment'!$AB$2,)</f>
        <v>3565925.2438173825</v>
      </c>
      <c r="G336" s="77">
        <f t="shared" ref="G336:Z336" si="153">IF(VLOOKUP($E336,$D$6:$AN$1131,3,)=0,0,(VLOOKUP($E336,$D$6:$AN$1131,G$2,)/VLOOKUP($E336,$D$6:$AN$1131,3,))*$F336)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3565925.2438173825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3565925.2438173825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1034</v>
      </c>
      <c r="F338" s="80"/>
    </row>
    <row r="339" spans="1:28">
      <c r="A339" s="69" t="s">
        <v>1102</v>
      </c>
      <c r="C339" s="61" t="s">
        <v>1082</v>
      </c>
      <c r="D339" s="61" t="s">
        <v>529</v>
      </c>
      <c r="E339" s="61" t="s">
        <v>1107</v>
      </c>
      <c r="F339" s="77">
        <f>VLOOKUP(C339,'Functional Assignment'!$C$2:$AP$780,'Functional Assignment'!$AC$2,)</f>
        <v>0</v>
      </c>
      <c r="G339" s="77">
        <f t="shared" ref="G339:Z339" si="154">IF(VLOOKUP($E339,$D$6:$AN$1131,3,)=0,0,(VLOOKUP($E339,$D$6:$AN$1131,G$2,)/VLOOKUP($E339,$D$6:$AN$1131,3,))*$F339)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351</v>
      </c>
      <c r="F341" s="80"/>
    </row>
    <row r="342" spans="1:28">
      <c r="A342" s="69" t="s">
        <v>1102</v>
      </c>
      <c r="C342" s="61" t="s">
        <v>1082</v>
      </c>
      <c r="D342" s="61" t="s">
        <v>530</v>
      </c>
      <c r="E342" s="61" t="s">
        <v>1107</v>
      </c>
      <c r="F342" s="77">
        <f>VLOOKUP(C342,'Functional Assignment'!$C$2:$AP$780,'Functional Assignment'!$AD$2,)</f>
        <v>0</v>
      </c>
      <c r="G342" s="77">
        <f t="shared" ref="G342:Z342" si="155">IF(VLOOKUP($E342,$D$6:$AN$1131,3,)=0,0,(VLOOKUP($E342,$D$6:$AN$1131,G$2,)/VLOOKUP($E342,$D$6:$AN$1131,3,))*$F342)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350</v>
      </c>
      <c r="F344" s="80"/>
    </row>
    <row r="345" spans="1:28">
      <c r="A345" s="69" t="s">
        <v>1102</v>
      </c>
      <c r="C345" s="61" t="s">
        <v>1082</v>
      </c>
      <c r="D345" s="61" t="s">
        <v>531</v>
      </c>
      <c r="E345" s="61" t="s">
        <v>1108</v>
      </c>
      <c r="F345" s="77">
        <f>VLOOKUP(C345,'Functional Assignment'!$C$2:$AP$780,'Functional Assignment'!$AE$2,)</f>
        <v>0</v>
      </c>
      <c r="G345" s="77">
        <f t="shared" ref="G345:Z345" si="156">IF(VLOOKUP($E345,$D$6:$AN$1131,3,)=0,0,(VLOOKUP($E345,$D$6:$AN$1131,G$2,)/VLOOKUP($E345,$D$6:$AN$1131,3,))*$F345)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931</v>
      </c>
      <c r="D347" s="61" t="s">
        <v>532</v>
      </c>
      <c r="F347" s="77">
        <f>F302+F308+F311+F314+F322+F327+F330+F333+F336+F339+F342+F345</f>
        <v>138842526.50563762</v>
      </c>
      <c r="G347" s="77">
        <f t="shared" ref="G347:Z347" si="157">G302+G308+G311+G314+G322+G327+G330+G333+G336+G339+G342+G345</f>
        <v>71674242.206605375</v>
      </c>
      <c r="H347" s="77">
        <f t="shared" si="157"/>
        <v>16120549.93106997</v>
      </c>
      <c r="I347" s="77">
        <f t="shared" si="157"/>
        <v>0</v>
      </c>
      <c r="J347" s="77">
        <f t="shared" si="157"/>
        <v>1265471.5202498345</v>
      </c>
      <c r="K347" s="77">
        <f t="shared" si="157"/>
        <v>16123530.106293637</v>
      </c>
      <c r="L347" s="77">
        <f t="shared" si="157"/>
        <v>0</v>
      </c>
      <c r="M347" s="77">
        <f t="shared" si="157"/>
        <v>0</v>
      </c>
      <c r="N347" s="77">
        <f t="shared" si="157"/>
        <v>13152588.86349605</v>
      </c>
      <c r="O347" s="77">
        <f>O302+O308+O311+O314+O322+O327+O330+O333+O336+O339+O342+O345</f>
        <v>8451739.5999496598</v>
      </c>
      <c r="P347" s="77">
        <f t="shared" si="157"/>
        <v>6535570.2783721089</v>
      </c>
      <c r="Q347" s="77">
        <f t="shared" si="157"/>
        <v>842161.92596422893</v>
      </c>
      <c r="R347" s="77">
        <f t="shared" si="157"/>
        <v>381814.57707368705</v>
      </c>
      <c r="S347" s="77">
        <f t="shared" si="157"/>
        <v>4262498.9756820602</v>
      </c>
      <c r="T347" s="77">
        <f t="shared" si="157"/>
        <v>9459.4743480613561</v>
      </c>
      <c r="U347" s="77">
        <f t="shared" si="157"/>
        <v>22899.046532925884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138842526.50563759</v>
      </c>
      <c r="AB347" s="59" t="str">
        <f>IF(ABS(F347-AA347)&lt;0.01,"ok","err")</f>
        <v>ok</v>
      </c>
    </row>
    <row r="350" spans="1:28" ht="15">
      <c r="A350" s="239" t="s">
        <v>759</v>
      </c>
    </row>
    <row r="352" spans="1:28" ht="15">
      <c r="A352" s="66" t="s">
        <v>364</v>
      </c>
    </row>
    <row r="353" spans="1:28">
      <c r="A353" s="69" t="s">
        <v>359</v>
      </c>
      <c r="C353" s="112" t="s">
        <v>765</v>
      </c>
      <c r="D353" s="61" t="s">
        <v>766</v>
      </c>
      <c r="E353" s="61" t="s">
        <v>869</v>
      </c>
      <c r="F353" s="77">
        <f>VLOOKUP(C353,'Functional Assignment'!$C$2:$AP$780,'Functional Assignment'!$H$2,)</f>
        <v>0</v>
      </c>
      <c r="G353" s="77">
        <f t="shared" ref="G353:P358" si="158">IF(VLOOKUP($E353,$D$6:$AN$1131,3,)=0,0,(VLOOKUP($E353,$D$6:$AN$1131,G$2,)/VLOOKUP($E353,$D$6:$AN$1131,3,))*$F353)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IF(VLOOKUP($E353,$D$6:$AN$1131,3,)=0,0,(VLOOKUP($E353,$D$6:$AN$1131,Q$2,)/VLOOKUP($E353,$D$6:$AN$1131,3,))*$F353)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>
      <c r="A354" s="69" t="s">
        <v>1265</v>
      </c>
      <c r="C354" s="112" t="s">
        <v>765</v>
      </c>
      <c r="D354" s="61" t="s">
        <v>767</v>
      </c>
      <c r="E354" s="61" t="s">
        <v>188</v>
      </c>
      <c r="F354" s="80">
        <f>VLOOKUP(C354,'Functional Assignment'!$C$2:$AP$780,'Functional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>
      <c r="A355" s="69" t="s">
        <v>1266</v>
      </c>
      <c r="C355" s="112" t="s">
        <v>765</v>
      </c>
      <c r="D355" s="61" t="s">
        <v>768</v>
      </c>
      <c r="E355" s="61" t="s">
        <v>191</v>
      </c>
      <c r="F355" s="80">
        <f>VLOOKUP(C355,'Functional Assignment'!$C$2:$AP$780,'Functional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>
      <c r="A356" s="69" t="s">
        <v>1267</v>
      </c>
      <c r="C356" s="112" t="s">
        <v>765</v>
      </c>
      <c r="D356" s="61" t="s">
        <v>769</v>
      </c>
      <c r="E356" s="61" t="s">
        <v>1100</v>
      </c>
      <c r="F356" s="80">
        <f>VLOOKUP(C356,'Functional Assignment'!$C$2:$AP$780,'Functional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>
      <c r="A357" s="69" t="s">
        <v>1268</v>
      </c>
      <c r="C357" s="112" t="s">
        <v>765</v>
      </c>
      <c r="D357" s="61" t="s">
        <v>770</v>
      </c>
      <c r="E357" s="61" t="s">
        <v>1100</v>
      </c>
      <c r="F357" s="80">
        <f>VLOOKUP(C357,'Functional Assignment'!$C$2:$AP$780,'Functional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>
      <c r="A358" s="69" t="s">
        <v>1268</v>
      </c>
      <c r="C358" s="112" t="s">
        <v>765</v>
      </c>
      <c r="D358" s="61" t="s">
        <v>771</v>
      </c>
      <c r="E358" s="61" t="s">
        <v>1100</v>
      </c>
      <c r="F358" s="80">
        <f>VLOOKUP(C358,'Functional Assignment'!$C$2:$AP$780,'Functional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>
      <c r="A359" s="61" t="s">
        <v>387</v>
      </c>
      <c r="D359" s="61" t="s">
        <v>772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>
      <c r="F360" s="80"/>
      <c r="G360" s="80"/>
    </row>
    <row r="361" spans="1:28" ht="15">
      <c r="A361" s="66" t="s">
        <v>1140</v>
      </c>
      <c r="F361" s="80"/>
      <c r="G361" s="80"/>
    </row>
    <row r="362" spans="1:28">
      <c r="A362" s="69" t="s">
        <v>1377</v>
      </c>
      <c r="C362" s="112" t="s">
        <v>765</v>
      </c>
      <c r="D362" s="61" t="s">
        <v>773</v>
      </c>
      <c r="E362" s="61" t="s">
        <v>1381</v>
      </c>
      <c r="F362" s="77">
        <f>VLOOKUP(C362,'Functional Assignment'!$C$2:$AP$780,'Functional Assignment'!$N$2,)</f>
        <v>0</v>
      </c>
      <c r="G362" s="77">
        <f t="shared" ref="G362:P364" si="164">IF(VLOOKUP($E362,$D$6:$AN$1131,3,)=0,0,(VLOOKUP($E362,$D$6:$AN$1131,G$2,)/VLOOKUP($E362,$D$6:$AN$1131,3,))*$F362)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IF(VLOOKUP($E362,$D$6:$AN$1131,3,)=0,0,(VLOOKUP($E362,$D$6:$AN$1131,Q$2,)/VLOOKUP($E362,$D$6:$AN$1131,3,))*$F362)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hidden="1">
      <c r="A363" s="69" t="s">
        <v>1378</v>
      </c>
      <c r="C363" s="112" t="s">
        <v>765</v>
      </c>
      <c r="D363" s="61" t="s">
        <v>774</v>
      </c>
      <c r="E363" s="61" t="s">
        <v>188</v>
      </c>
      <c r="F363" s="80">
        <f>VLOOKUP(C363,'Functional Assignment'!$C$2:$AP$780,'Functional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hidden="1">
      <c r="A364" s="69" t="s">
        <v>1378</v>
      </c>
      <c r="C364" s="112" t="s">
        <v>765</v>
      </c>
      <c r="D364" s="61" t="s">
        <v>775</v>
      </c>
      <c r="E364" s="61" t="s">
        <v>191</v>
      </c>
      <c r="F364" s="80">
        <f>VLOOKUP(C364,'Functional Assignment'!$C$2:$AP$780,'Functional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hidden="1">
      <c r="A365" s="61" t="s">
        <v>1142</v>
      </c>
      <c r="D365" s="61" t="s">
        <v>776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348</v>
      </c>
      <c r="F367" s="80"/>
      <c r="G367" s="80"/>
    </row>
    <row r="368" spans="1:28">
      <c r="A368" s="69" t="s">
        <v>372</v>
      </c>
      <c r="C368" s="112" t="s">
        <v>765</v>
      </c>
      <c r="D368" s="61" t="s">
        <v>777</v>
      </c>
      <c r="E368" s="61" t="s">
        <v>1382</v>
      </c>
      <c r="F368" s="77">
        <f>VLOOKUP(C368,'Functional Assignment'!$C$2:$AP$780,'Functional Assignment'!$Q$2,)</f>
        <v>0</v>
      </c>
      <c r="G368" s="77">
        <f t="shared" ref="G368:Z368" si="168">IF(VLOOKUP($E368,$D$6:$AN$1131,3,)=0,0,(VLOOKUP($E368,$D$6:$AN$1131,G$2,)/VLOOKUP($E368,$D$6:$AN$1131,3,))*$F368)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349</v>
      </c>
      <c r="F370" s="80"/>
      <c r="G370" s="80"/>
    </row>
    <row r="371" spans="1:28">
      <c r="A371" s="69" t="s">
        <v>374</v>
      </c>
      <c r="C371" s="112" t="s">
        <v>765</v>
      </c>
      <c r="D371" s="61" t="s">
        <v>778</v>
      </c>
      <c r="E371" s="61" t="s">
        <v>1382</v>
      </c>
      <c r="F371" s="77">
        <f>VLOOKUP(C371,'Functional Assignment'!$C$2:$AP$780,'Functional Assignment'!$R$2,)</f>
        <v>0</v>
      </c>
      <c r="G371" s="77">
        <f t="shared" ref="G371:Z371" si="169">IF(VLOOKUP($E371,$D$6:$AN$1131,3,)=0,0,(VLOOKUP($E371,$D$6:$AN$1131,G$2,)/VLOOKUP($E371,$D$6:$AN$1131,3,))*$F371)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373</v>
      </c>
      <c r="F373" s="80"/>
    </row>
    <row r="374" spans="1:28">
      <c r="A374" s="69" t="s">
        <v>623</v>
      </c>
      <c r="C374" s="112" t="s">
        <v>765</v>
      </c>
      <c r="D374" s="61" t="s">
        <v>779</v>
      </c>
      <c r="E374" s="61" t="s">
        <v>1382</v>
      </c>
      <c r="F374" s="77">
        <f>VLOOKUP(C374,'Functional Assignment'!$C$2:$AP$780,'Functional Assignment'!$S$2,)</f>
        <v>0</v>
      </c>
      <c r="G374" s="77">
        <f t="shared" ref="G374:P378" si="170">IF(VLOOKUP($E374,$D$6:$AN$1131,3,)=0,0,(VLOOKUP($E374,$D$6:$AN$1131,G$2,)/VLOOKUP($E374,$D$6:$AN$1131,3,))*$F374)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IF(VLOOKUP($E374,$D$6:$AN$1131,3,)=0,0,(VLOOKUP($E374,$D$6:$AN$1131,Q$2,)/VLOOKUP($E374,$D$6:$AN$1131,3,))*$F374)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>
      <c r="A375" s="69" t="s">
        <v>624</v>
      </c>
      <c r="C375" s="112" t="s">
        <v>765</v>
      </c>
      <c r="D375" s="61" t="s">
        <v>780</v>
      </c>
      <c r="E375" s="61" t="s">
        <v>1382</v>
      </c>
      <c r="F375" s="80">
        <f>VLOOKUP(C375,'Functional Assignment'!$C$2:$AP$780,'Functional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>
      <c r="A376" s="69" t="s">
        <v>625</v>
      </c>
      <c r="C376" s="112" t="s">
        <v>765</v>
      </c>
      <c r="D376" s="61" t="s">
        <v>781</v>
      </c>
      <c r="E376" s="61" t="s">
        <v>698</v>
      </c>
      <c r="F376" s="80">
        <f>VLOOKUP(C376,'Functional Assignment'!$C$2:$AP$780,'Functional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>
      <c r="A377" s="69" t="s">
        <v>626</v>
      </c>
      <c r="C377" s="112" t="s">
        <v>765</v>
      </c>
      <c r="D377" s="61" t="s">
        <v>782</v>
      </c>
      <c r="E377" s="61" t="s">
        <v>678</v>
      </c>
      <c r="F377" s="80">
        <f>VLOOKUP(C377,'Functional Assignment'!$C$2:$AP$780,'Functional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>
      <c r="A378" s="69" t="s">
        <v>627</v>
      </c>
      <c r="C378" s="112" t="s">
        <v>765</v>
      </c>
      <c r="D378" s="61" t="s">
        <v>783</v>
      </c>
      <c r="E378" s="61" t="s">
        <v>697</v>
      </c>
      <c r="F378" s="80">
        <f>VLOOKUP(C378,'Functional Assignment'!$C$2:$AP$780,'Functional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>
      <c r="A379" s="61" t="s">
        <v>378</v>
      </c>
      <c r="D379" s="61" t="s">
        <v>784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>
      <c r="F380" s="80"/>
    </row>
    <row r="381" spans="1:28" ht="15">
      <c r="A381" s="66" t="s">
        <v>634</v>
      </c>
      <c r="F381" s="80"/>
    </row>
    <row r="382" spans="1:28">
      <c r="A382" s="69" t="s">
        <v>1099</v>
      </c>
      <c r="C382" s="112" t="s">
        <v>765</v>
      </c>
      <c r="D382" s="61" t="s">
        <v>785</v>
      </c>
      <c r="E382" s="61" t="s">
        <v>1346</v>
      </c>
      <c r="F382" s="77">
        <f>VLOOKUP(C382,'Functional Assignment'!$C$2:$AP$780,'Functional Assignment'!$X$2,)</f>
        <v>0</v>
      </c>
      <c r="G382" s="77">
        <f t="shared" ref="G382:P383" si="176">IF(VLOOKUP($E382,$D$6:$AN$1131,3,)=0,0,(VLOOKUP($E382,$D$6:$AN$1131,G$2,)/VLOOKUP($E382,$D$6:$AN$1131,3,))*$F382)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IF(VLOOKUP($E382,$D$6:$AN$1131,3,)=0,0,(VLOOKUP($E382,$D$6:$AN$1131,Q$2,)/VLOOKUP($E382,$D$6:$AN$1131,3,))*$F382)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1102</v>
      </c>
      <c r="C383" s="112" t="s">
        <v>765</v>
      </c>
      <c r="D383" s="61" t="s">
        <v>786</v>
      </c>
      <c r="E383" s="61" t="s">
        <v>1344</v>
      </c>
      <c r="F383" s="80">
        <f>VLOOKUP(C383,'Functional Assignment'!$C$2:$AP$780,'Functional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712</v>
      </c>
      <c r="D384" s="61" t="s">
        <v>787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354</v>
      </c>
      <c r="F386" s="80"/>
    </row>
    <row r="387" spans="1:28">
      <c r="A387" s="69" t="s">
        <v>1102</v>
      </c>
      <c r="C387" s="112" t="s">
        <v>765</v>
      </c>
      <c r="D387" s="61" t="s">
        <v>788</v>
      </c>
      <c r="E387" s="61" t="s">
        <v>1104</v>
      </c>
      <c r="F387" s="77">
        <f>VLOOKUP(C387,'Functional Assignment'!$C$2:$AP$780,'Functional Assignment'!$Z$2,)</f>
        <v>0</v>
      </c>
      <c r="G387" s="77">
        <f t="shared" ref="G387:Z387" si="180">IF(VLOOKUP($E387,$D$6:$AN$1131,3,)=0,0,(VLOOKUP($E387,$D$6:$AN$1131,G$2,)/VLOOKUP($E387,$D$6:$AN$1131,3,))*$F387)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353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1102</v>
      </c>
      <c r="C391" s="112" t="s">
        <v>765</v>
      </c>
      <c r="D391" s="61" t="s">
        <v>789</v>
      </c>
      <c r="E391" s="61" t="s">
        <v>1105</v>
      </c>
      <c r="F391" s="77">
        <f>VLOOKUP(C391,'Functional Assignment'!$C$2:$AP$780,'Functional Assignment'!$AA$2,)</f>
        <v>0</v>
      </c>
      <c r="G391" s="77">
        <f t="shared" ref="G391:Z391" si="181">IF(VLOOKUP($E391,$D$6:$AN$1131,3,)=0,0,(VLOOKUP($E391,$D$6:$AN$1131,G$2,)/VLOOKUP($E391,$D$6:$AN$1131,3,))*$F391)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1102</v>
      </c>
      <c r="C394" s="112" t="s">
        <v>765</v>
      </c>
      <c r="D394" s="61" t="s">
        <v>790</v>
      </c>
      <c r="E394" s="61" t="s">
        <v>1106</v>
      </c>
      <c r="F394" s="77">
        <f>VLOOKUP(C394,'Functional Assignment'!$C$2:$AP$780,'Functional Assignment'!$AB$2,)</f>
        <v>0</v>
      </c>
      <c r="G394" s="77">
        <f t="shared" ref="G394:Z394" si="182">IF(VLOOKUP($E394,$D$6:$AN$1131,3,)=0,0,(VLOOKUP($E394,$D$6:$AN$1131,G$2,)/VLOOKUP($E394,$D$6:$AN$1131,3,))*$F394)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1034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1102</v>
      </c>
      <c r="C397" s="112" t="s">
        <v>765</v>
      </c>
      <c r="D397" s="61" t="s">
        <v>791</v>
      </c>
      <c r="E397" s="61" t="s">
        <v>1107</v>
      </c>
      <c r="F397" s="77">
        <f>VLOOKUP(C397,'Functional Assignment'!$C$2:$AP$780,'Functional Assignment'!$AC$2,)</f>
        <v>0</v>
      </c>
      <c r="G397" s="77">
        <f t="shared" ref="G397:Z397" si="183">IF(VLOOKUP($E397,$D$6:$AN$1131,3,)=0,0,(VLOOKUP($E397,$D$6:$AN$1131,G$2,)/VLOOKUP($E397,$D$6:$AN$1131,3,))*$F397)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1102</v>
      </c>
      <c r="C400" s="112" t="s">
        <v>765</v>
      </c>
      <c r="D400" s="61" t="s">
        <v>792</v>
      </c>
      <c r="E400" s="61" t="s">
        <v>1107</v>
      </c>
      <c r="F400" s="77">
        <f>VLOOKUP(C400,'Functional Assignment'!$C$2:$AP$780,'Functional Assignment'!$AD$2,)</f>
        <v>0</v>
      </c>
      <c r="G400" s="77">
        <f t="shared" ref="G400:Z400" si="184">IF(VLOOKUP($E400,$D$6:$AN$1131,3,)=0,0,(VLOOKUP($E400,$D$6:$AN$1131,G$2,)/VLOOKUP($E400,$D$6:$AN$1131,3,))*$F400)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1102</v>
      </c>
      <c r="C403" s="112" t="s">
        <v>765</v>
      </c>
      <c r="D403" s="61" t="s">
        <v>793</v>
      </c>
      <c r="E403" s="61" t="s">
        <v>1108</v>
      </c>
      <c r="F403" s="77">
        <f>VLOOKUP(C403,'Functional Assignment'!$C$2:$AP$780,'Functional Assignment'!$AE$2,)</f>
        <v>0</v>
      </c>
      <c r="G403" s="77">
        <f t="shared" ref="G403:Z403" si="185">IF(VLOOKUP($E403,$D$6:$AN$1131,3,)=0,0,(VLOOKUP($E403,$D$6:$AN$1131,G$2,)/VLOOKUP($E403,$D$6:$AN$1131,3,))*$F403)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931</v>
      </c>
      <c r="D405" s="61" t="s">
        <v>794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733</v>
      </c>
    </row>
    <row r="410" spans="1:28" ht="15">
      <c r="A410" s="66" t="s">
        <v>364</v>
      </c>
    </row>
    <row r="411" spans="1:28">
      <c r="A411" s="69" t="s">
        <v>359</v>
      </c>
      <c r="C411" s="61" t="s">
        <v>734</v>
      </c>
      <c r="D411" s="61" t="s">
        <v>735</v>
      </c>
      <c r="E411" s="61" t="s">
        <v>869</v>
      </c>
      <c r="F411" s="77">
        <f>VLOOKUP(C411,'Functional Assignment'!$C$2:$AP$780,'Functional Assignment'!$H$2,)</f>
        <v>0</v>
      </c>
      <c r="G411" s="77">
        <f t="shared" ref="G411:P416" si="188">IF(VLOOKUP($E411,$D$6:$AN$1131,3,)=0,0,(VLOOKUP($E411,$D$6:$AN$1131,G$2,)/VLOOKUP($E411,$D$6:$AN$1131,3,))*$F411)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IF(VLOOKUP($E411,$D$6:$AN$1131,3,)=0,0,(VLOOKUP($E411,$D$6:$AN$1131,Q$2,)/VLOOKUP($E411,$D$6:$AN$1131,3,))*$F411)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>
      <c r="A412" s="69" t="s">
        <v>1265</v>
      </c>
      <c r="C412" s="61" t="s">
        <v>734</v>
      </c>
      <c r="D412" s="61" t="s">
        <v>736</v>
      </c>
      <c r="E412" s="61" t="s">
        <v>188</v>
      </c>
      <c r="F412" s="80">
        <f>VLOOKUP(C412,'Functional Assignment'!$C$2:$AP$780,'Functional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>
      <c r="A413" s="69" t="s">
        <v>1266</v>
      </c>
      <c r="C413" s="61" t="s">
        <v>734</v>
      </c>
      <c r="D413" s="61" t="s">
        <v>737</v>
      </c>
      <c r="E413" s="61" t="s">
        <v>191</v>
      </c>
      <c r="F413" s="80">
        <f>VLOOKUP(C413,'Functional Assignment'!$C$2:$AP$780,'Functional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>
      <c r="A414" s="69" t="s">
        <v>1267</v>
      </c>
      <c r="C414" s="61" t="s">
        <v>734</v>
      </c>
      <c r="D414" s="61" t="s">
        <v>738</v>
      </c>
      <c r="E414" s="61" t="s">
        <v>1100</v>
      </c>
      <c r="F414" s="80">
        <f>VLOOKUP(C414,'Functional Assignment'!$C$2:$AP$780,'Functional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>
      <c r="A415" s="69" t="s">
        <v>1268</v>
      </c>
      <c r="C415" s="61" t="s">
        <v>734</v>
      </c>
      <c r="D415" s="61" t="s">
        <v>739</v>
      </c>
      <c r="E415" s="61" t="s">
        <v>1100</v>
      </c>
      <c r="F415" s="80">
        <f>VLOOKUP(C415,'Functional Assignment'!$C$2:$AP$780,'Functional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>
      <c r="A416" s="69" t="s">
        <v>1268</v>
      </c>
      <c r="C416" s="61" t="s">
        <v>734</v>
      </c>
      <c r="D416" s="61" t="s">
        <v>740</v>
      </c>
      <c r="E416" s="61" t="s">
        <v>1100</v>
      </c>
      <c r="F416" s="80">
        <f>VLOOKUP(C416,'Functional Assignment'!$C$2:$AP$780,'Functional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>
      <c r="A417" s="61" t="s">
        <v>387</v>
      </c>
      <c r="D417" s="61" t="s">
        <v>741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>
      <c r="F418" s="80"/>
      <c r="G418" s="80"/>
    </row>
    <row r="419" spans="1:28" ht="15">
      <c r="A419" s="66" t="s">
        <v>1140</v>
      </c>
      <c r="F419" s="80"/>
      <c r="G419" s="80"/>
    </row>
    <row r="420" spans="1:28">
      <c r="A420" s="69" t="s">
        <v>1377</v>
      </c>
      <c r="C420" s="61" t="s">
        <v>734</v>
      </c>
      <c r="D420" s="61" t="s">
        <v>742</v>
      </c>
      <c r="E420" s="61" t="s">
        <v>1381</v>
      </c>
      <c r="F420" s="77">
        <f>VLOOKUP(C420,'Functional Assignment'!$C$2:$AP$780,'Functional Assignment'!$N$2,)</f>
        <v>0</v>
      </c>
      <c r="G420" s="77">
        <f t="shared" ref="G420:P422" si="193">IF(VLOOKUP($E420,$D$6:$AN$1131,3,)=0,0,(VLOOKUP($E420,$D$6:$AN$1131,G$2,)/VLOOKUP($E420,$D$6:$AN$1131,3,))*$F420)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IF(VLOOKUP($E420,$D$6:$AN$1131,3,)=0,0,(VLOOKUP($E420,$D$6:$AN$1131,Q$2,)/VLOOKUP($E420,$D$6:$AN$1131,3,))*$F420)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hidden="1">
      <c r="A421" s="69" t="s">
        <v>1378</v>
      </c>
      <c r="C421" s="61" t="s">
        <v>734</v>
      </c>
      <c r="D421" s="61" t="s">
        <v>743</v>
      </c>
      <c r="E421" s="61" t="s">
        <v>188</v>
      </c>
      <c r="F421" s="80">
        <f>VLOOKUP(C421,'Functional Assignment'!$C$2:$AP$780,'Functional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hidden="1">
      <c r="A422" s="69" t="s">
        <v>1378</v>
      </c>
      <c r="C422" s="61" t="s">
        <v>734</v>
      </c>
      <c r="D422" s="61" t="s">
        <v>744</v>
      </c>
      <c r="E422" s="61" t="s">
        <v>191</v>
      </c>
      <c r="F422" s="80">
        <f>VLOOKUP(C422,'Functional Assignment'!$C$2:$AP$780,'Functional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hidden="1">
      <c r="A423" s="61" t="s">
        <v>1142</v>
      </c>
      <c r="D423" s="61" t="s">
        <v>745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348</v>
      </c>
      <c r="F425" s="80"/>
      <c r="G425" s="80"/>
    </row>
    <row r="426" spans="1:28">
      <c r="A426" s="69" t="s">
        <v>372</v>
      </c>
      <c r="C426" s="61" t="s">
        <v>734</v>
      </c>
      <c r="D426" s="61" t="s">
        <v>746</v>
      </c>
      <c r="E426" s="61" t="s">
        <v>1382</v>
      </c>
      <c r="F426" s="77">
        <f>VLOOKUP(C426,'Functional Assignment'!$C$2:$AP$780,'Functional Assignment'!$Q$2,)</f>
        <v>0</v>
      </c>
      <c r="G426" s="77">
        <f t="shared" ref="G426:Z426" si="196">IF(VLOOKUP($E426,$D$6:$AN$1131,3,)=0,0,(VLOOKUP($E426,$D$6:$AN$1131,G$2,)/VLOOKUP($E426,$D$6:$AN$1131,3,))*$F426)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349</v>
      </c>
      <c r="F428" s="80"/>
      <c r="G428" s="80"/>
    </row>
    <row r="429" spans="1:28">
      <c r="A429" s="69" t="s">
        <v>374</v>
      </c>
      <c r="C429" s="61" t="s">
        <v>734</v>
      </c>
      <c r="D429" s="61" t="s">
        <v>747</v>
      </c>
      <c r="E429" s="61" t="s">
        <v>1382</v>
      </c>
      <c r="F429" s="77">
        <f>VLOOKUP(C429,'Functional Assignment'!$C$2:$AP$780,'Functional Assignment'!$R$2,)</f>
        <v>0</v>
      </c>
      <c r="G429" s="77">
        <f t="shared" ref="G429:Z429" si="197">IF(VLOOKUP($E429,$D$6:$AN$1131,3,)=0,0,(VLOOKUP($E429,$D$6:$AN$1131,G$2,)/VLOOKUP($E429,$D$6:$AN$1131,3,))*$F429)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373</v>
      </c>
      <c r="F431" s="80"/>
    </row>
    <row r="432" spans="1:28">
      <c r="A432" s="69" t="s">
        <v>623</v>
      </c>
      <c r="C432" s="61" t="s">
        <v>734</v>
      </c>
      <c r="D432" s="61" t="s">
        <v>748</v>
      </c>
      <c r="E432" s="61" t="s">
        <v>1382</v>
      </c>
      <c r="F432" s="77">
        <f>VLOOKUP(C432,'Functional Assignment'!$C$2:$AP$780,'Functional Assignment'!$S$2,)</f>
        <v>0</v>
      </c>
      <c r="G432" s="77">
        <f t="shared" ref="G432:P436" si="198">IF(VLOOKUP($E432,$D$6:$AN$1131,3,)=0,0,(VLOOKUP($E432,$D$6:$AN$1131,G$2,)/VLOOKUP($E432,$D$6:$AN$1131,3,))*$F432)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IF(VLOOKUP($E432,$D$6:$AN$1131,3,)=0,0,(VLOOKUP($E432,$D$6:$AN$1131,Q$2,)/VLOOKUP($E432,$D$6:$AN$1131,3,))*$F432)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>
      <c r="A433" s="69" t="s">
        <v>624</v>
      </c>
      <c r="C433" s="61" t="s">
        <v>734</v>
      </c>
      <c r="D433" s="61" t="s">
        <v>749</v>
      </c>
      <c r="E433" s="61" t="s">
        <v>1382</v>
      </c>
      <c r="F433" s="80">
        <f>VLOOKUP(C433,'Functional Assignment'!$C$2:$AP$780,'Functional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>
      <c r="A434" s="69" t="s">
        <v>625</v>
      </c>
      <c r="C434" s="61" t="s">
        <v>734</v>
      </c>
      <c r="D434" s="61" t="s">
        <v>750</v>
      </c>
      <c r="E434" s="61" t="s">
        <v>698</v>
      </c>
      <c r="F434" s="80">
        <f>VLOOKUP(C434,'Functional Assignment'!$C$2:$AP$780,'Functional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>
      <c r="A435" s="69" t="s">
        <v>626</v>
      </c>
      <c r="C435" s="61" t="s">
        <v>734</v>
      </c>
      <c r="D435" s="61" t="s">
        <v>751</v>
      </c>
      <c r="E435" s="61" t="s">
        <v>678</v>
      </c>
      <c r="F435" s="80">
        <f>VLOOKUP(C435,'Functional Assignment'!$C$2:$AP$780,'Functional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>
      <c r="A436" s="69" t="s">
        <v>627</v>
      </c>
      <c r="C436" s="61" t="s">
        <v>734</v>
      </c>
      <c r="D436" s="61" t="s">
        <v>752</v>
      </c>
      <c r="E436" s="61" t="s">
        <v>697</v>
      </c>
      <c r="F436" s="80">
        <f>VLOOKUP(C436,'Functional Assignment'!$C$2:$AP$780,'Functional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>
      <c r="A437" s="61" t="s">
        <v>378</v>
      </c>
      <c r="D437" s="61" t="s">
        <v>753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>
      <c r="F438" s="80"/>
    </row>
    <row r="439" spans="1:28" ht="15">
      <c r="A439" s="66" t="s">
        <v>634</v>
      </c>
      <c r="F439" s="80"/>
    </row>
    <row r="440" spans="1:28">
      <c r="A440" s="69" t="s">
        <v>1099</v>
      </c>
      <c r="C440" s="61" t="s">
        <v>734</v>
      </c>
      <c r="D440" s="61" t="s">
        <v>754</v>
      </c>
      <c r="E440" s="61" t="s">
        <v>1346</v>
      </c>
      <c r="F440" s="77">
        <f>VLOOKUP(C440,'Functional Assignment'!$C$2:$AP$780,'Functional Assignment'!$X$2,)</f>
        <v>0</v>
      </c>
      <c r="G440" s="77">
        <f t="shared" ref="G440:P441" si="203">IF(VLOOKUP($E440,$D$6:$AN$1131,3,)=0,0,(VLOOKUP($E440,$D$6:$AN$1131,G$2,)/VLOOKUP($E440,$D$6:$AN$1131,3,))*$F440)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IF(VLOOKUP($E440,$D$6:$AN$1131,3,)=0,0,(VLOOKUP($E440,$D$6:$AN$1131,Q$2,)/VLOOKUP($E440,$D$6:$AN$1131,3,))*$F440)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1102</v>
      </c>
      <c r="C441" s="61" t="s">
        <v>734</v>
      </c>
      <c r="D441" s="61" t="s">
        <v>795</v>
      </c>
      <c r="E441" s="61" t="s">
        <v>1344</v>
      </c>
      <c r="F441" s="80">
        <f>VLOOKUP(C441,'Functional Assignment'!$C$2:$AP$780,'Functional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712</v>
      </c>
      <c r="D442" s="61" t="s">
        <v>796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354</v>
      </c>
      <c r="F444" s="80"/>
    </row>
    <row r="445" spans="1:28">
      <c r="A445" s="69" t="s">
        <v>1102</v>
      </c>
      <c r="C445" s="61" t="s">
        <v>734</v>
      </c>
      <c r="D445" s="61" t="s">
        <v>797</v>
      </c>
      <c r="E445" s="61" t="s">
        <v>1104</v>
      </c>
      <c r="F445" s="77">
        <f>VLOOKUP(C445,'Functional Assignment'!$C$2:$AP$780,'Functional Assignment'!$Z$2,)</f>
        <v>0</v>
      </c>
      <c r="G445" s="77">
        <f t="shared" ref="G445:Z445" si="206">IF(VLOOKUP($E445,$D$6:$AN$1131,3,)=0,0,(VLOOKUP($E445,$D$6:$AN$1131,G$2,)/VLOOKUP($E445,$D$6:$AN$1131,3,))*$F445)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353</v>
      </c>
      <c r="F447" s="80"/>
    </row>
    <row r="448" spans="1:28">
      <c r="A448" s="69" t="s">
        <v>1102</v>
      </c>
      <c r="C448" s="61" t="s">
        <v>734</v>
      </c>
      <c r="D448" s="61" t="s">
        <v>798</v>
      </c>
      <c r="E448" s="61" t="s">
        <v>1105</v>
      </c>
      <c r="F448" s="77">
        <f>VLOOKUP(C448,'Functional Assignment'!$C$2:$AP$780,'Functional Assignment'!$AA$2,)</f>
        <v>0</v>
      </c>
      <c r="G448" s="77">
        <f t="shared" ref="G448:Z448" si="207">IF(VLOOKUP($E448,$D$6:$AN$1131,3,)=0,0,(VLOOKUP($E448,$D$6:$AN$1131,G$2,)/VLOOKUP($E448,$D$6:$AN$1131,3,))*$F448)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371</v>
      </c>
      <c r="F450" s="80"/>
    </row>
    <row r="451" spans="1:28">
      <c r="A451" s="69" t="s">
        <v>1102</v>
      </c>
      <c r="C451" s="61" t="s">
        <v>734</v>
      </c>
      <c r="D451" s="61" t="s">
        <v>799</v>
      </c>
      <c r="E451" s="61" t="s">
        <v>1106</v>
      </c>
      <c r="F451" s="77">
        <f>VLOOKUP(C451,'Functional Assignment'!$C$2:$AP$780,'Functional Assignment'!$AB$2,)</f>
        <v>0</v>
      </c>
      <c r="G451" s="77">
        <f t="shared" ref="G451:Z451" si="208">IF(VLOOKUP($E451,$D$6:$AN$1131,3,)=0,0,(VLOOKUP($E451,$D$6:$AN$1131,G$2,)/VLOOKUP($E451,$D$6:$AN$1131,3,))*$F451)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1034</v>
      </c>
      <c r="F453" s="80"/>
    </row>
    <row r="454" spans="1:28">
      <c r="A454" s="69" t="s">
        <v>1102</v>
      </c>
      <c r="C454" s="61" t="s">
        <v>734</v>
      </c>
      <c r="D454" s="61" t="s">
        <v>800</v>
      </c>
      <c r="E454" s="61" t="s">
        <v>1107</v>
      </c>
      <c r="F454" s="77">
        <f>VLOOKUP(C454,'Functional Assignment'!$C$2:$AP$780,'Functional Assignment'!$AC$2,)</f>
        <v>0</v>
      </c>
      <c r="G454" s="77">
        <f t="shared" ref="G454:Z454" si="209">IF(VLOOKUP($E454,$D$6:$AN$1131,3,)=0,0,(VLOOKUP($E454,$D$6:$AN$1131,G$2,)/VLOOKUP($E454,$D$6:$AN$1131,3,))*$F454)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351</v>
      </c>
      <c r="F456" s="80"/>
    </row>
    <row r="457" spans="1:28">
      <c r="A457" s="69" t="s">
        <v>1102</v>
      </c>
      <c r="C457" s="61" t="s">
        <v>734</v>
      </c>
      <c r="D457" s="61" t="s">
        <v>801</v>
      </c>
      <c r="E457" s="61" t="s">
        <v>1107</v>
      </c>
      <c r="F457" s="77">
        <f>VLOOKUP(C457,'Functional Assignment'!$C$2:$AP$780,'Functional Assignment'!$AD$2,)</f>
        <v>0</v>
      </c>
      <c r="G457" s="77">
        <f t="shared" ref="G457:Z457" si="210">IF(VLOOKUP($E457,$D$6:$AN$1131,3,)=0,0,(VLOOKUP($E457,$D$6:$AN$1131,G$2,)/VLOOKUP($E457,$D$6:$AN$1131,3,))*$F457)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350</v>
      </c>
      <c r="F459" s="80"/>
    </row>
    <row r="460" spans="1:28">
      <c r="A460" s="69" t="s">
        <v>1102</v>
      </c>
      <c r="C460" s="61" t="s">
        <v>734</v>
      </c>
      <c r="D460" s="61" t="s">
        <v>802</v>
      </c>
      <c r="E460" s="61" t="s">
        <v>1108</v>
      </c>
      <c r="F460" s="77">
        <f>VLOOKUP(C460,'Functional Assignment'!$C$2:$AP$780,'Functional Assignment'!$AE$2,)</f>
        <v>0</v>
      </c>
      <c r="G460" s="77">
        <f t="shared" ref="G460:Z460" si="211">IF(VLOOKUP($E460,$D$6:$AN$1131,3,)=0,0,(VLOOKUP($E460,$D$6:$AN$1131,G$2,)/VLOOKUP($E460,$D$6:$AN$1131,3,))*$F460)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931</v>
      </c>
      <c r="D462" s="61" t="s">
        <v>803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805</v>
      </c>
    </row>
    <row r="467" spans="1:28" ht="15">
      <c r="A467" s="66" t="s">
        <v>364</v>
      </c>
    </row>
    <row r="468" spans="1:28">
      <c r="A468" s="69" t="s">
        <v>359</v>
      </c>
      <c r="C468" s="61" t="s">
        <v>1083</v>
      </c>
      <c r="D468" s="61" t="s">
        <v>534</v>
      </c>
      <c r="E468" s="61" t="s">
        <v>869</v>
      </c>
      <c r="F468" s="77">
        <f>VLOOKUP(C468,'Functional Assignment'!$C$2:$AP$780,'Functional Assignment'!$H$2,)</f>
        <v>6289766.8709144518</v>
      </c>
      <c r="G468" s="77">
        <f t="shared" ref="G468:P473" si="213">IF(VLOOKUP($E468,$D$6:$AN$1131,3,)=0,0,(VLOOKUP($E468,$D$6:$AN$1131,G$2,)/VLOOKUP($E468,$D$6:$AN$1131,3,))*$F468)</f>
        <v>2837256.5179858506</v>
      </c>
      <c r="H468" s="77">
        <f t="shared" si="213"/>
        <v>716858.50638323254</v>
      </c>
      <c r="I468" s="77">
        <f t="shared" si="213"/>
        <v>0</v>
      </c>
      <c r="J468" s="77">
        <f t="shared" si="213"/>
        <v>72525.300563827477</v>
      </c>
      <c r="K468" s="77">
        <f t="shared" si="213"/>
        <v>918339.46845404664</v>
      </c>
      <c r="L468" s="77">
        <f t="shared" si="213"/>
        <v>0</v>
      </c>
      <c r="M468" s="77">
        <f t="shared" si="213"/>
        <v>0</v>
      </c>
      <c r="N468" s="77">
        <f t="shared" si="213"/>
        <v>758597.15876169119</v>
      </c>
      <c r="O468" s="77">
        <f t="shared" si="213"/>
        <v>483344.82820121438</v>
      </c>
      <c r="P468" s="77">
        <f t="shared" si="213"/>
        <v>429951.08296628838</v>
      </c>
      <c r="Q468" s="77">
        <f t="shared" ref="Q468:Z473" si="214">IF(VLOOKUP($E468,$D$6:$AN$1131,3,)=0,0,(VLOOKUP($E468,$D$6:$AN$1131,Q$2,)/VLOOKUP($E468,$D$6:$AN$1131,3,))*$F468)</f>
        <v>49143.30843129853</v>
      </c>
      <c r="R468" s="77">
        <f t="shared" si="214"/>
        <v>21229.704823044223</v>
      </c>
      <c r="S468" s="77">
        <f t="shared" si="214"/>
        <v>1515.2954415165279</v>
      </c>
      <c r="T468" s="77">
        <f t="shared" si="214"/>
        <v>49.022884521098348</v>
      </c>
      <c r="U468" s="77">
        <f t="shared" si="214"/>
        <v>956.67601792017456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6289766.8709144527</v>
      </c>
      <c r="AB468" s="59" t="str">
        <f t="shared" ref="AB468:AB474" si="216">IF(ABS(F468-AA468)&lt;0.01,"ok","err")</f>
        <v>ok</v>
      </c>
    </row>
    <row r="469" spans="1:28">
      <c r="A469" s="69" t="s">
        <v>1265</v>
      </c>
      <c r="C469" s="61" t="s">
        <v>1083</v>
      </c>
      <c r="D469" s="61" t="s">
        <v>535</v>
      </c>
      <c r="E469" s="61" t="s">
        <v>188</v>
      </c>
      <c r="F469" s="80">
        <f>VLOOKUP(C469,'Functional Assignment'!$C$2:$AP$780,'Functional Assignment'!$I$2,)</f>
        <v>6588928.9038168211</v>
      </c>
      <c r="G469" s="80">
        <f t="shared" si="213"/>
        <v>2972205.7848197641</v>
      </c>
      <c r="H469" s="80">
        <f t="shared" si="213"/>
        <v>750954.6585100576</v>
      </c>
      <c r="I469" s="80">
        <f t="shared" si="213"/>
        <v>0</v>
      </c>
      <c r="J469" s="80">
        <f t="shared" si="213"/>
        <v>75974.842780385894</v>
      </c>
      <c r="K469" s="80">
        <f t="shared" si="213"/>
        <v>962018.71888026339</v>
      </c>
      <c r="L469" s="80">
        <f t="shared" si="213"/>
        <v>0</v>
      </c>
      <c r="M469" s="80">
        <f t="shared" si="213"/>
        <v>0</v>
      </c>
      <c r="N469" s="80">
        <f t="shared" si="213"/>
        <v>794678.53869622503</v>
      </c>
      <c r="O469" s="80">
        <f t="shared" si="213"/>
        <v>506334.30052429572</v>
      </c>
      <c r="P469" s="80">
        <f t="shared" si="213"/>
        <v>450400.97286977054</v>
      </c>
      <c r="Q469" s="80">
        <f t="shared" si="214"/>
        <v>51480.726074206803</v>
      </c>
      <c r="R469" s="80">
        <f t="shared" si="214"/>
        <v>22239.459521926376</v>
      </c>
      <c r="S469" s="80">
        <f t="shared" si="214"/>
        <v>1587.3678845871993</v>
      </c>
      <c r="T469" s="80">
        <f t="shared" si="214"/>
        <v>51.354574406122282</v>
      </c>
      <c r="U469" s="80">
        <f t="shared" si="214"/>
        <v>1002.1786809319649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6588928.9038168211</v>
      </c>
      <c r="AB469" s="59" t="str">
        <f t="shared" si="216"/>
        <v>ok</v>
      </c>
    </row>
    <row r="470" spans="1:28">
      <c r="A470" s="69" t="s">
        <v>1266</v>
      </c>
      <c r="C470" s="61" t="s">
        <v>1083</v>
      </c>
      <c r="D470" s="61" t="s">
        <v>536</v>
      </c>
      <c r="E470" s="61" t="s">
        <v>191</v>
      </c>
      <c r="F470" s="80">
        <f>VLOOKUP(C470,'Functional Assignment'!$C$2:$AP$780,'Functional Assignment'!$J$2,)</f>
        <v>5416077.3409332</v>
      </c>
      <c r="G470" s="80">
        <f t="shared" si="213"/>
        <v>2443143.1327826083</v>
      </c>
      <c r="H470" s="80">
        <f t="shared" si="213"/>
        <v>617282.19706066279</v>
      </c>
      <c r="I470" s="80">
        <f t="shared" si="213"/>
        <v>0</v>
      </c>
      <c r="J470" s="80">
        <f t="shared" si="213"/>
        <v>62451.064576739605</v>
      </c>
      <c r="K470" s="80">
        <f t="shared" si="213"/>
        <v>790776.14297260507</v>
      </c>
      <c r="L470" s="80">
        <f t="shared" si="213"/>
        <v>0</v>
      </c>
      <c r="M470" s="80">
        <f t="shared" si="213"/>
        <v>0</v>
      </c>
      <c r="N470" s="80">
        <f t="shared" si="213"/>
        <v>653223.07913586625</v>
      </c>
      <c r="O470" s="80">
        <f t="shared" si="213"/>
        <v>416205.08766126138</v>
      </c>
      <c r="P470" s="80">
        <f t="shared" si="213"/>
        <v>370228.08093757677</v>
      </c>
      <c r="Q470" s="80">
        <f t="shared" si="214"/>
        <v>42316.983238927358</v>
      </c>
      <c r="R470" s="80">
        <f t="shared" si="214"/>
        <v>18280.760735107058</v>
      </c>
      <c r="S470" s="80">
        <f t="shared" si="214"/>
        <v>1304.8110484934157</v>
      </c>
      <c r="T470" s="80">
        <f t="shared" si="214"/>
        <v>42.213286993147911</v>
      </c>
      <c r="U470" s="80">
        <f t="shared" si="214"/>
        <v>823.78749635888289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5416077.340933199</v>
      </c>
      <c r="AB470" s="59" t="str">
        <f t="shared" si="216"/>
        <v>ok</v>
      </c>
    </row>
    <row r="471" spans="1:28">
      <c r="A471" s="69" t="s">
        <v>1267</v>
      </c>
      <c r="C471" s="61" t="s">
        <v>1083</v>
      </c>
      <c r="D471" s="61" t="s">
        <v>537</v>
      </c>
      <c r="E471" s="61" t="s">
        <v>1100</v>
      </c>
      <c r="F471" s="80">
        <f>VLOOKUP(C471,'Functional Assignment'!$C$2:$AP$780,'Functional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>
      <c r="A472" s="69" t="s">
        <v>1268</v>
      </c>
      <c r="C472" s="61" t="s">
        <v>1083</v>
      </c>
      <c r="D472" s="61" t="s">
        <v>538</v>
      </c>
      <c r="E472" s="61" t="s">
        <v>1100</v>
      </c>
      <c r="F472" s="80">
        <f>VLOOKUP(C472,'Functional Assignment'!$C$2:$AP$780,'Functional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>
      <c r="A473" s="69" t="s">
        <v>1268</v>
      </c>
      <c r="C473" s="61" t="s">
        <v>1083</v>
      </c>
      <c r="D473" s="61" t="s">
        <v>539</v>
      </c>
      <c r="E473" s="61" t="s">
        <v>1100</v>
      </c>
      <c r="F473" s="80">
        <f>VLOOKUP(C473,'Functional Assignment'!$C$2:$AP$780,'Functional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>
      <c r="A474" s="61" t="s">
        <v>387</v>
      </c>
      <c r="D474" s="61" t="s">
        <v>540</v>
      </c>
      <c r="F474" s="77">
        <f>SUM(F468:F473)</f>
        <v>18294773.115664475</v>
      </c>
      <c r="G474" s="77">
        <f t="shared" ref="G474:P474" si="217">SUM(G468:G473)</f>
        <v>8252605.4355882229</v>
      </c>
      <c r="H474" s="77">
        <f t="shared" si="217"/>
        <v>2085095.3619539528</v>
      </c>
      <c r="I474" s="77">
        <f t="shared" si="217"/>
        <v>0</v>
      </c>
      <c r="J474" s="77">
        <f t="shared" si="217"/>
        <v>210951.20792095299</v>
      </c>
      <c r="K474" s="77">
        <f t="shared" si="217"/>
        <v>2671134.3303069151</v>
      </c>
      <c r="L474" s="77">
        <f t="shared" si="217"/>
        <v>0</v>
      </c>
      <c r="M474" s="77">
        <f t="shared" si="217"/>
        <v>0</v>
      </c>
      <c r="N474" s="77">
        <f t="shared" si="217"/>
        <v>2206498.7765937825</v>
      </c>
      <c r="O474" s="77">
        <f>SUM(O468:O473)</f>
        <v>1405884.2163867715</v>
      </c>
      <c r="P474" s="77">
        <f t="shared" si="217"/>
        <v>1250580.1367736356</v>
      </c>
      <c r="Q474" s="77">
        <f t="shared" ref="Q474:W474" si="218">SUM(Q468:Q473)</f>
        <v>142941.0177444327</v>
      </c>
      <c r="R474" s="77">
        <f t="shared" si="218"/>
        <v>61749.925080077664</v>
      </c>
      <c r="S474" s="77">
        <f t="shared" si="218"/>
        <v>4407.4743745971427</v>
      </c>
      <c r="T474" s="77">
        <f t="shared" si="218"/>
        <v>142.59074592036853</v>
      </c>
      <c r="U474" s="77">
        <f t="shared" si="218"/>
        <v>2782.6421952110222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18294773.115664471</v>
      </c>
      <c r="AB474" s="59" t="str">
        <f t="shared" si="216"/>
        <v>ok</v>
      </c>
    </row>
    <row r="475" spans="1:28">
      <c r="F475" s="80"/>
      <c r="G475" s="80"/>
    </row>
    <row r="476" spans="1:28" ht="15">
      <c r="A476" s="66" t="s">
        <v>1140</v>
      </c>
      <c r="F476" s="80"/>
      <c r="G476" s="80"/>
    </row>
    <row r="477" spans="1:28">
      <c r="A477" s="69" t="s">
        <v>1377</v>
      </c>
      <c r="C477" s="61" t="s">
        <v>1083</v>
      </c>
      <c r="D477" s="61" t="s">
        <v>541</v>
      </c>
      <c r="E477" s="61" t="s">
        <v>1381</v>
      </c>
      <c r="F477" s="77">
        <f>VLOOKUP(C477,'Functional Assignment'!$C$2:$AP$780,'Functional Assignment'!$N$2,)</f>
        <v>3464936.7094208836</v>
      </c>
      <c r="G477" s="77">
        <f t="shared" ref="G477:P479" si="219">IF(VLOOKUP($E477,$D$6:$AN$1131,3,)=0,0,(VLOOKUP($E477,$D$6:$AN$1131,G$2,)/VLOOKUP($E477,$D$6:$AN$1131,3,))*$F477)</f>
        <v>1539775.9588957594</v>
      </c>
      <c r="H477" s="77">
        <f t="shared" si="219"/>
        <v>443220.22363264218</v>
      </c>
      <c r="I477" s="77">
        <f t="shared" si="219"/>
        <v>0</v>
      </c>
      <c r="J477" s="77">
        <f t="shared" si="219"/>
        <v>39380.504978614452</v>
      </c>
      <c r="K477" s="77">
        <f t="shared" si="219"/>
        <v>457074.0912242984</v>
      </c>
      <c r="L477" s="77">
        <f t="shared" si="219"/>
        <v>0</v>
      </c>
      <c r="M477" s="77">
        <f t="shared" si="219"/>
        <v>0</v>
      </c>
      <c r="N477" s="77">
        <f t="shared" si="219"/>
        <v>415797.94747155847</v>
      </c>
      <c r="O477" s="77">
        <f t="shared" si="219"/>
        <v>246878.99904519375</v>
      </c>
      <c r="P477" s="77">
        <f t="shared" si="219"/>
        <v>255721.62865599897</v>
      </c>
      <c r="Q477" s="77">
        <f t="shared" ref="Q477:Z479" si="220">IF(VLOOKUP($E477,$D$6:$AN$1131,3,)=0,0,(VLOOKUP($E477,$D$6:$AN$1131,Q$2,)/VLOOKUP($E477,$D$6:$AN$1131,3,))*$F477)</f>
        <v>25777.866092265445</v>
      </c>
      <c r="R477" s="77">
        <f t="shared" si="220"/>
        <v>13492.505982881619</v>
      </c>
      <c r="S477" s="77">
        <f t="shared" si="220"/>
        <v>26579.643643465304</v>
      </c>
      <c r="T477" s="77">
        <f t="shared" si="220"/>
        <v>850.09372977657756</v>
      </c>
      <c r="U477" s="77">
        <f t="shared" si="220"/>
        <v>387.24606842956462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3464936.7094208845</v>
      </c>
      <c r="AB477" s="59" t="str">
        <f>IF(ABS(F477-AA477)&lt;0.01,"ok","err")</f>
        <v>ok</v>
      </c>
    </row>
    <row r="478" spans="1:28" hidden="1">
      <c r="A478" s="69" t="s">
        <v>1378</v>
      </c>
      <c r="C478" s="61" t="s">
        <v>1083</v>
      </c>
      <c r="D478" s="61" t="s">
        <v>542</v>
      </c>
      <c r="E478" s="61" t="s">
        <v>188</v>
      </c>
      <c r="F478" s="80">
        <f>VLOOKUP(C478,'Functional Assignment'!$C$2:$AP$780,'Functional Assignment'!$O$2,)</f>
        <v>0</v>
      </c>
      <c r="G478" s="80">
        <f t="shared" si="219"/>
        <v>0</v>
      </c>
      <c r="H478" s="80">
        <f t="shared" si="219"/>
        <v>0</v>
      </c>
      <c r="I478" s="80">
        <f t="shared" si="219"/>
        <v>0</v>
      </c>
      <c r="J478" s="80">
        <f t="shared" si="219"/>
        <v>0</v>
      </c>
      <c r="K478" s="80">
        <f t="shared" si="219"/>
        <v>0</v>
      </c>
      <c r="L478" s="80">
        <f t="shared" si="219"/>
        <v>0</v>
      </c>
      <c r="M478" s="80">
        <f t="shared" si="219"/>
        <v>0</v>
      </c>
      <c r="N478" s="80">
        <f t="shared" si="219"/>
        <v>0</v>
      </c>
      <c r="O478" s="80">
        <f t="shared" si="219"/>
        <v>0</v>
      </c>
      <c r="P478" s="80">
        <f t="shared" si="219"/>
        <v>0</v>
      </c>
      <c r="Q478" s="80">
        <f t="shared" si="220"/>
        <v>0</v>
      </c>
      <c r="R478" s="80">
        <f t="shared" si="220"/>
        <v>0</v>
      </c>
      <c r="S478" s="80">
        <f t="shared" si="220"/>
        <v>0</v>
      </c>
      <c r="T478" s="80">
        <f t="shared" si="220"/>
        <v>0</v>
      </c>
      <c r="U478" s="80">
        <f t="shared" si="220"/>
        <v>0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0</v>
      </c>
      <c r="AB478" s="59" t="str">
        <f>IF(ABS(F478-AA478)&lt;0.01,"ok","err")</f>
        <v>ok</v>
      </c>
    </row>
    <row r="479" spans="1:28" hidden="1">
      <c r="A479" s="69" t="s">
        <v>1378</v>
      </c>
      <c r="C479" s="61" t="s">
        <v>1083</v>
      </c>
      <c r="D479" s="61" t="s">
        <v>543</v>
      </c>
      <c r="E479" s="61" t="s">
        <v>191</v>
      </c>
      <c r="F479" s="80">
        <f>VLOOKUP(C479,'Functional Assignment'!$C$2:$AP$780,'Functional Assignment'!$P$2,)</f>
        <v>0</v>
      </c>
      <c r="G479" s="80">
        <f t="shared" si="219"/>
        <v>0</v>
      </c>
      <c r="H479" s="80">
        <f t="shared" si="219"/>
        <v>0</v>
      </c>
      <c r="I479" s="80">
        <f t="shared" si="219"/>
        <v>0</v>
      </c>
      <c r="J479" s="80">
        <f t="shared" si="219"/>
        <v>0</v>
      </c>
      <c r="K479" s="80">
        <f t="shared" si="219"/>
        <v>0</v>
      </c>
      <c r="L479" s="80">
        <f t="shared" si="219"/>
        <v>0</v>
      </c>
      <c r="M479" s="80">
        <f t="shared" si="219"/>
        <v>0</v>
      </c>
      <c r="N479" s="80">
        <f t="shared" si="219"/>
        <v>0</v>
      </c>
      <c r="O479" s="80">
        <f t="shared" si="219"/>
        <v>0</v>
      </c>
      <c r="P479" s="80">
        <f t="shared" si="219"/>
        <v>0</v>
      </c>
      <c r="Q479" s="80">
        <f t="shared" si="220"/>
        <v>0</v>
      </c>
      <c r="R479" s="80">
        <f t="shared" si="220"/>
        <v>0</v>
      </c>
      <c r="S479" s="80">
        <f t="shared" si="220"/>
        <v>0</v>
      </c>
      <c r="T479" s="80">
        <f t="shared" si="220"/>
        <v>0</v>
      </c>
      <c r="U479" s="80">
        <f t="shared" si="220"/>
        <v>0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0</v>
      </c>
      <c r="AB479" s="59" t="str">
        <f>IF(ABS(F479-AA479)&lt;0.01,"ok","err")</f>
        <v>ok</v>
      </c>
    </row>
    <row r="480" spans="1:28" hidden="1">
      <c r="A480" s="61" t="s">
        <v>1142</v>
      </c>
      <c r="D480" s="61" t="s">
        <v>544</v>
      </c>
      <c r="F480" s="77">
        <f>SUM(F477:F479)</f>
        <v>3464936.7094208836</v>
      </c>
      <c r="G480" s="77">
        <f t="shared" ref="G480:W480" si="221">SUM(G477:G479)</f>
        <v>1539775.9588957594</v>
      </c>
      <c r="H480" s="77">
        <f t="shared" si="221"/>
        <v>443220.22363264218</v>
      </c>
      <c r="I480" s="77">
        <f t="shared" si="221"/>
        <v>0</v>
      </c>
      <c r="J480" s="77">
        <f t="shared" si="221"/>
        <v>39380.504978614452</v>
      </c>
      <c r="K480" s="77">
        <f t="shared" si="221"/>
        <v>457074.0912242984</v>
      </c>
      <c r="L480" s="77">
        <f t="shared" si="221"/>
        <v>0</v>
      </c>
      <c r="M480" s="77">
        <f t="shared" si="221"/>
        <v>0</v>
      </c>
      <c r="N480" s="77">
        <f t="shared" si="221"/>
        <v>415797.94747155847</v>
      </c>
      <c r="O480" s="77">
        <f>SUM(O477:O479)</f>
        <v>246878.99904519375</v>
      </c>
      <c r="P480" s="77">
        <f t="shared" si="221"/>
        <v>255721.62865599897</v>
      </c>
      <c r="Q480" s="77">
        <f t="shared" si="221"/>
        <v>25777.866092265445</v>
      </c>
      <c r="R480" s="77">
        <f t="shared" si="221"/>
        <v>13492.505982881619</v>
      </c>
      <c r="S480" s="77">
        <f t="shared" si="221"/>
        <v>26579.643643465304</v>
      </c>
      <c r="T480" s="77">
        <f t="shared" si="221"/>
        <v>850.09372977657756</v>
      </c>
      <c r="U480" s="77">
        <f t="shared" si="221"/>
        <v>387.24606842956462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3464936.7094208845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348</v>
      </c>
      <c r="F482" s="80"/>
      <c r="G482" s="80"/>
    </row>
    <row r="483" spans="1:28">
      <c r="A483" s="69" t="s">
        <v>372</v>
      </c>
      <c r="C483" s="61" t="s">
        <v>1083</v>
      </c>
      <c r="D483" s="61" t="s">
        <v>545</v>
      </c>
      <c r="E483" s="61" t="s">
        <v>1382</v>
      </c>
      <c r="F483" s="77">
        <f>VLOOKUP(C483,'Functional Assignment'!$C$2:$AP$780,'Functional Assignment'!$Q$2,)</f>
        <v>0</v>
      </c>
      <c r="G483" s="77">
        <f t="shared" ref="G483:Z483" si="222">IF(VLOOKUP($E483,$D$6:$AN$1131,3,)=0,0,(VLOOKUP($E483,$D$6:$AN$1131,G$2,)/VLOOKUP($E483,$D$6:$AN$1131,3,))*$F483)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349</v>
      </c>
      <c r="F485" s="80"/>
      <c r="G485" s="80"/>
    </row>
    <row r="486" spans="1:28">
      <c r="A486" s="69" t="s">
        <v>374</v>
      </c>
      <c r="C486" s="61" t="s">
        <v>1083</v>
      </c>
      <c r="D486" s="61" t="s">
        <v>546</v>
      </c>
      <c r="E486" s="61" t="s">
        <v>1382</v>
      </c>
      <c r="F486" s="77">
        <f>VLOOKUP(C486,'Functional Assignment'!$C$2:$AP$780,'Functional Assignment'!$R$2,)</f>
        <v>1206640.0129257792</v>
      </c>
      <c r="G486" s="77">
        <f t="shared" ref="G486:Z486" si="223">IF(VLOOKUP($E486,$D$6:$AN$1131,3,)=0,0,(VLOOKUP($E486,$D$6:$AN$1131,G$2,)/VLOOKUP($E486,$D$6:$AN$1131,3,))*$F486)</f>
        <v>578943.83398633345</v>
      </c>
      <c r="H486" s="77">
        <f t="shared" si="223"/>
        <v>166647.37105921618</v>
      </c>
      <c r="I486" s="77">
        <f t="shared" si="223"/>
        <v>0</v>
      </c>
      <c r="J486" s="77">
        <f t="shared" si="223"/>
        <v>14806.76484453438</v>
      </c>
      <c r="K486" s="77">
        <f t="shared" si="223"/>
        <v>171856.31796653406</v>
      </c>
      <c r="L486" s="77">
        <f t="shared" si="223"/>
        <v>0</v>
      </c>
      <c r="M486" s="77">
        <f t="shared" si="223"/>
        <v>0</v>
      </c>
      <c r="N486" s="77">
        <f t="shared" si="223"/>
        <v>156336.80762587409</v>
      </c>
      <c r="O486" s="77">
        <f t="shared" si="223"/>
        <v>92824.591403825718</v>
      </c>
      <c r="P486" s="77">
        <f t="shared" si="223"/>
        <v>0</v>
      </c>
      <c r="Q486" s="77">
        <f t="shared" si="223"/>
        <v>9692.2779844835768</v>
      </c>
      <c r="R486" s="77">
        <f t="shared" si="223"/>
        <v>5073.077741397472</v>
      </c>
      <c r="S486" s="77">
        <f t="shared" si="223"/>
        <v>9993.7401334501774</v>
      </c>
      <c r="T486" s="77">
        <f t="shared" si="223"/>
        <v>319.62865787146131</v>
      </c>
      <c r="U486" s="77">
        <f t="shared" si="223"/>
        <v>145.60152225881308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1206640.0129257792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373</v>
      </c>
      <c r="F488" s="80"/>
    </row>
    <row r="489" spans="1:28">
      <c r="A489" s="69" t="s">
        <v>623</v>
      </c>
      <c r="C489" s="61" t="s">
        <v>1083</v>
      </c>
      <c r="D489" s="61" t="s">
        <v>547</v>
      </c>
      <c r="E489" s="61" t="s">
        <v>1382</v>
      </c>
      <c r="F489" s="77">
        <f>VLOOKUP(C489,'Functional Assignment'!$C$2:$AP$780,'Functional Assignment'!$S$2,)</f>
        <v>0</v>
      </c>
      <c r="G489" s="77">
        <f t="shared" ref="G489:P493" si="224">IF(VLOOKUP($E489,$D$6:$AN$1131,3,)=0,0,(VLOOKUP($E489,$D$6:$AN$1131,G$2,)/VLOOKUP($E489,$D$6:$AN$1131,3,))*$F489)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IF(VLOOKUP($E489,$D$6:$AN$1131,3,)=0,0,(VLOOKUP($E489,$D$6:$AN$1131,Q$2,)/VLOOKUP($E489,$D$6:$AN$1131,3,))*$F489)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>
      <c r="A490" s="69" t="s">
        <v>624</v>
      </c>
      <c r="C490" s="61" t="s">
        <v>1083</v>
      </c>
      <c r="D490" s="61" t="s">
        <v>548</v>
      </c>
      <c r="E490" s="61" t="s">
        <v>1382</v>
      </c>
      <c r="F490" s="80">
        <f>VLOOKUP(C490,'Functional Assignment'!$C$2:$AP$780,'Functional Assignment'!$T$2,)</f>
        <v>2063478.5371666257</v>
      </c>
      <c r="G490" s="80">
        <f t="shared" si="224"/>
        <v>990053.50631385006</v>
      </c>
      <c r="H490" s="80">
        <f t="shared" si="224"/>
        <v>284984.14586976491</v>
      </c>
      <c r="I490" s="80">
        <f t="shared" si="224"/>
        <v>0</v>
      </c>
      <c r="J490" s="80">
        <f t="shared" si="224"/>
        <v>25321.090908866929</v>
      </c>
      <c r="K490" s="80">
        <f t="shared" si="224"/>
        <v>293891.98087386735</v>
      </c>
      <c r="L490" s="80">
        <f t="shared" si="224"/>
        <v>0</v>
      </c>
      <c r="M490" s="80">
        <f t="shared" si="224"/>
        <v>0</v>
      </c>
      <c r="N490" s="80">
        <f t="shared" si="224"/>
        <v>267352.02185358154</v>
      </c>
      <c r="O490" s="80">
        <f t="shared" si="224"/>
        <v>158739.59924353828</v>
      </c>
      <c r="P490" s="80">
        <f t="shared" si="224"/>
        <v>0</v>
      </c>
      <c r="Q490" s="80">
        <f t="shared" si="225"/>
        <v>16574.792301757243</v>
      </c>
      <c r="R490" s="80">
        <f t="shared" si="225"/>
        <v>8675.4847548680846</v>
      </c>
      <c r="S490" s="80">
        <f t="shared" si="225"/>
        <v>17090.323584904712</v>
      </c>
      <c r="T490" s="80">
        <f t="shared" si="225"/>
        <v>546.59788198297031</v>
      </c>
      <c r="U490" s="80">
        <f t="shared" si="225"/>
        <v>248.99357964381545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2063478.5371666257</v>
      </c>
      <c r="AB490" s="59" t="str">
        <f t="shared" si="227"/>
        <v>ok</v>
      </c>
    </row>
    <row r="491" spans="1:28">
      <c r="A491" s="69" t="s">
        <v>625</v>
      </c>
      <c r="C491" s="61" t="s">
        <v>1083</v>
      </c>
      <c r="D491" s="61" t="s">
        <v>549</v>
      </c>
      <c r="E491" s="61" t="s">
        <v>698</v>
      </c>
      <c r="F491" s="80">
        <f>VLOOKUP(C491,'Functional Assignment'!$C$2:$AP$780,'Functional Assignment'!$U$2,)</f>
        <v>3283761.2807699526</v>
      </c>
      <c r="G491" s="80">
        <f t="shared" si="224"/>
        <v>2830974.0632652221</v>
      </c>
      <c r="H491" s="80">
        <f t="shared" si="224"/>
        <v>351720.8173370958</v>
      </c>
      <c r="I491" s="80">
        <f t="shared" si="224"/>
        <v>0</v>
      </c>
      <c r="J491" s="80">
        <f t="shared" si="224"/>
        <v>559.80500139865376</v>
      </c>
      <c r="K491" s="80">
        <f t="shared" si="224"/>
        <v>21958.092010880064</v>
      </c>
      <c r="L491" s="80">
        <f t="shared" si="224"/>
        <v>0</v>
      </c>
      <c r="M491" s="80">
        <f t="shared" si="224"/>
        <v>0</v>
      </c>
      <c r="N491" s="80">
        <f t="shared" si="224"/>
        <v>820.26982843830513</v>
      </c>
      <c r="O491" s="80">
        <f t="shared" si="224"/>
        <v>2145.9191720281729</v>
      </c>
      <c r="P491" s="80">
        <f t="shared" si="224"/>
        <v>0</v>
      </c>
      <c r="Q491" s="80">
        <f t="shared" si="225"/>
        <v>7.7750694638701905</v>
      </c>
      <c r="R491" s="80">
        <f t="shared" si="225"/>
        <v>7.7750694638701905</v>
      </c>
      <c r="S491" s="80">
        <f t="shared" si="225"/>
        <v>74642.394646368019</v>
      </c>
      <c r="T491" s="80">
        <f t="shared" si="225"/>
        <v>142.54294017095347</v>
      </c>
      <c r="U491" s="80">
        <f t="shared" si="225"/>
        <v>781.82642942250254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3283761.2807699521</v>
      </c>
      <c r="AB491" s="59" t="str">
        <f t="shared" si="227"/>
        <v>ok</v>
      </c>
    </row>
    <row r="492" spans="1:28">
      <c r="A492" s="69" t="s">
        <v>626</v>
      </c>
      <c r="C492" s="61" t="s">
        <v>1083</v>
      </c>
      <c r="D492" s="61" t="s">
        <v>550</v>
      </c>
      <c r="E492" s="61" t="s">
        <v>678</v>
      </c>
      <c r="F492" s="80">
        <f>VLOOKUP(C492,'Functional Assignment'!$C$2:$AP$780,'Functional Assignment'!$V$2,)</f>
        <v>567258.00445145834</v>
      </c>
      <c r="G492" s="80">
        <f t="shared" si="224"/>
        <v>476047.4660236318</v>
      </c>
      <c r="H492" s="80">
        <f t="shared" si="224"/>
        <v>87114.539153384336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3913.8032816122345</v>
      </c>
      <c r="T492" s="80">
        <f t="shared" si="225"/>
        <v>125.17472671592917</v>
      </c>
      <c r="U492" s="80">
        <f t="shared" si="225"/>
        <v>57.02126611406554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567258.00445145834</v>
      </c>
      <c r="AB492" s="59" t="str">
        <f t="shared" si="227"/>
        <v>ok</v>
      </c>
    </row>
    <row r="493" spans="1:28">
      <c r="A493" s="69" t="s">
        <v>627</v>
      </c>
      <c r="C493" s="61" t="s">
        <v>1083</v>
      </c>
      <c r="D493" s="61" t="s">
        <v>551</v>
      </c>
      <c r="E493" s="61" t="s">
        <v>697</v>
      </c>
      <c r="F493" s="80">
        <f>VLOOKUP(C493,'Functional Assignment'!$C$2:$AP$780,'Functional Assignment'!$W$2,)</f>
        <v>862037.06715107756</v>
      </c>
      <c r="G493" s="80">
        <f t="shared" si="224"/>
        <v>748989.75124013587</v>
      </c>
      <c r="H493" s="80">
        <f t="shared" si="224"/>
        <v>93054.645360983835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19748.110490870858</v>
      </c>
      <c r="T493" s="80">
        <f t="shared" si="225"/>
        <v>37.712532476027079</v>
      </c>
      <c r="U493" s="80">
        <f t="shared" si="225"/>
        <v>206.84752661093643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862037.06715107756</v>
      </c>
      <c r="AB493" s="59" t="str">
        <f t="shared" si="227"/>
        <v>ok</v>
      </c>
    </row>
    <row r="494" spans="1:28">
      <c r="A494" s="61" t="s">
        <v>378</v>
      </c>
      <c r="D494" s="61" t="s">
        <v>552</v>
      </c>
      <c r="F494" s="77">
        <f>SUM(F489:F493)</f>
        <v>6776534.8895391151</v>
      </c>
      <c r="G494" s="77">
        <f t="shared" ref="G494:W494" si="228">SUM(G489:G493)</f>
        <v>5046064.7868428398</v>
      </c>
      <c r="H494" s="77">
        <f t="shared" si="228"/>
        <v>816874.14772122877</v>
      </c>
      <c r="I494" s="77">
        <f t="shared" si="228"/>
        <v>0</v>
      </c>
      <c r="J494" s="77">
        <f t="shared" si="228"/>
        <v>25880.895910265583</v>
      </c>
      <c r="K494" s="77">
        <f t="shared" si="228"/>
        <v>315850.07288474741</v>
      </c>
      <c r="L494" s="77">
        <f t="shared" si="228"/>
        <v>0</v>
      </c>
      <c r="M494" s="77">
        <f t="shared" si="228"/>
        <v>0</v>
      </c>
      <c r="N494" s="77">
        <f t="shared" si="228"/>
        <v>268172.29168201983</v>
      </c>
      <c r="O494" s="77">
        <f>SUM(O489:O493)</f>
        <v>160885.51841556645</v>
      </c>
      <c r="P494" s="77">
        <f t="shared" si="228"/>
        <v>0</v>
      </c>
      <c r="Q494" s="77">
        <f t="shared" si="228"/>
        <v>16582.567371221114</v>
      </c>
      <c r="R494" s="77">
        <f t="shared" si="228"/>
        <v>8683.2598243319553</v>
      </c>
      <c r="S494" s="77">
        <f t="shared" si="228"/>
        <v>115394.63200375583</v>
      </c>
      <c r="T494" s="77">
        <f t="shared" si="228"/>
        <v>852.02808134587997</v>
      </c>
      <c r="U494" s="77">
        <f t="shared" si="228"/>
        <v>1294.6888017913202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6776534.8895391161</v>
      </c>
      <c r="AB494" s="59" t="str">
        <f t="shared" si="227"/>
        <v>ok</v>
      </c>
    </row>
    <row r="495" spans="1:28">
      <c r="F495" s="80"/>
    </row>
    <row r="496" spans="1:28" ht="15">
      <c r="A496" s="66" t="s">
        <v>634</v>
      </c>
      <c r="F496" s="80"/>
    </row>
    <row r="497" spans="1:28">
      <c r="A497" s="69" t="s">
        <v>1099</v>
      </c>
      <c r="C497" s="61" t="s">
        <v>1083</v>
      </c>
      <c r="D497" s="61" t="s">
        <v>553</v>
      </c>
      <c r="E497" s="61" t="s">
        <v>1346</v>
      </c>
      <c r="F497" s="77">
        <f>VLOOKUP(C497,'Functional Assignment'!$C$2:$AP$780,'Functional Assignment'!$X$2,)</f>
        <v>784121.70729214803</v>
      </c>
      <c r="G497" s="77">
        <f t="shared" ref="G497:P498" si="229">IF(VLOOKUP($E497,$D$6:$AN$1131,3,)=0,0,(VLOOKUP($E497,$D$6:$AN$1131,G$2,)/VLOOKUP($E497,$D$6:$AN$1131,3,))*$F497)</f>
        <v>544024.21404075983</v>
      </c>
      <c r="H497" s="77">
        <f t="shared" si="229"/>
        <v>99553.977443270895</v>
      </c>
      <c r="I497" s="77">
        <f t="shared" si="229"/>
        <v>0</v>
      </c>
      <c r="J497" s="77">
        <f t="shared" si="229"/>
        <v>0</v>
      </c>
      <c r="K497" s="77">
        <f t="shared" si="229"/>
        <v>87677.89300651419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48184.739181734752</v>
      </c>
      <c r="P497" s="77">
        <f t="shared" si="229"/>
        <v>0</v>
      </c>
      <c r="Q497" s="77">
        <f t="shared" ref="Q497:Z498" si="230">IF(VLOOKUP($E497,$D$6:$AN$1131,3,)=0,0,(VLOOKUP($E497,$D$6:$AN$1131,Q$2,)/VLOOKUP($E497,$D$6:$AN$1131,3,))*$F497)</f>
        <v>0</v>
      </c>
      <c r="R497" s="77">
        <f t="shared" si="230"/>
        <v>0</v>
      </c>
      <c r="S497" s="77">
        <f t="shared" si="230"/>
        <v>4472.671122428671</v>
      </c>
      <c r="T497" s="77">
        <f t="shared" si="230"/>
        <v>143.04893351962457</v>
      </c>
      <c r="U497" s="77">
        <f t="shared" si="230"/>
        <v>65.163563920270036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784121.70729214826</v>
      </c>
      <c r="AB497" s="59" t="str">
        <f>IF(ABS(F497-AA497)&lt;0.01,"ok","err")</f>
        <v>ok</v>
      </c>
    </row>
    <row r="498" spans="1:28">
      <c r="A498" s="69" t="s">
        <v>1102</v>
      </c>
      <c r="C498" s="61" t="s">
        <v>1083</v>
      </c>
      <c r="D498" s="61" t="s">
        <v>554</v>
      </c>
      <c r="E498" s="61" t="s">
        <v>1344</v>
      </c>
      <c r="F498" s="80">
        <f>VLOOKUP(C498,'Functional Assignment'!$C$2:$AP$780,'Functional Assignment'!$Y$2,)</f>
        <v>548377.36188634671</v>
      </c>
      <c r="G498" s="80">
        <f t="shared" si="229"/>
        <v>472964.3955536455</v>
      </c>
      <c r="H498" s="80">
        <f t="shared" si="229"/>
        <v>58761.196696943713</v>
      </c>
      <c r="I498" s="80">
        <f t="shared" si="229"/>
        <v>0</v>
      </c>
      <c r="J498" s="80">
        <f t="shared" si="229"/>
        <v>0</v>
      </c>
      <c r="K498" s="80">
        <f t="shared" si="229"/>
        <v>3668.4884719356246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358.5138335512184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12470.335042871326</v>
      </c>
      <c r="T498" s="80">
        <f t="shared" si="230"/>
        <v>23.814324692411844</v>
      </c>
      <c r="U498" s="80">
        <f t="shared" si="230"/>
        <v>130.617962706865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548377.36188634648</v>
      </c>
      <c r="AB498" s="59" t="str">
        <f>IF(ABS(F498-AA498)&lt;0.01,"ok","err")</f>
        <v>ok</v>
      </c>
    </row>
    <row r="499" spans="1:28">
      <c r="A499" s="61" t="s">
        <v>712</v>
      </c>
      <c r="D499" s="61" t="s">
        <v>555</v>
      </c>
      <c r="F499" s="77">
        <f>F497+F498</f>
        <v>1332499.0691784946</v>
      </c>
      <c r="G499" s="77">
        <f t="shared" ref="G499:W499" si="231">G497+G498</f>
        <v>1016988.6095944054</v>
      </c>
      <c r="H499" s="77">
        <f t="shared" si="231"/>
        <v>158315.1741402146</v>
      </c>
      <c r="I499" s="77">
        <f t="shared" si="231"/>
        <v>0</v>
      </c>
      <c r="J499" s="77">
        <f t="shared" si="231"/>
        <v>0</v>
      </c>
      <c r="K499" s="77">
        <f t="shared" si="231"/>
        <v>91346.38147844981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48543.253015285969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16943.006165299998</v>
      </c>
      <c r="T499" s="77">
        <f t="shared" si="231"/>
        <v>166.86325821203641</v>
      </c>
      <c r="U499" s="77">
        <f t="shared" si="231"/>
        <v>195.78152662713504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1332499.0691784951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354</v>
      </c>
      <c r="F501" s="80"/>
    </row>
    <row r="502" spans="1:28">
      <c r="A502" s="69" t="s">
        <v>1102</v>
      </c>
      <c r="C502" s="61" t="s">
        <v>1083</v>
      </c>
      <c r="D502" s="61" t="s">
        <v>556</v>
      </c>
      <c r="E502" s="61" t="s">
        <v>1104</v>
      </c>
      <c r="F502" s="77">
        <f>VLOOKUP(C502,'Functional Assignment'!$C$2:$AP$780,'Functional Assignment'!$Z$2,)</f>
        <v>272334.4512778669</v>
      </c>
      <c r="G502" s="77">
        <f t="shared" ref="G502:Z502" si="232">IF(VLOOKUP($E502,$D$6:$AN$1131,3,)=0,0,(VLOOKUP($E502,$D$6:$AN$1131,G$2,)/VLOOKUP($E502,$D$6:$AN$1131,3,))*$F502)</f>
        <v>209320.72571293413</v>
      </c>
      <c r="H502" s="77">
        <f t="shared" si="232"/>
        <v>52679.383284422962</v>
      </c>
      <c r="I502" s="77">
        <f t="shared" si="232"/>
        <v>0</v>
      </c>
      <c r="J502" s="77">
        <f t="shared" si="232"/>
        <v>0</v>
      </c>
      <c r="K502" s="77">
        <f t="shared" si="232"/>
        <v>9190.25594842188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1144.0863320878996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272334.45127786684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353</v>
      </c>
      <c r="F504" s="80"/>
    </row>
    <row r="505" spans="1:28">
      <c r="A505" s="69" t="s">
        <v>1102</v>
      </c>
      <c r="C505" s="61" t="s">
        <v>1083</v>
      </c>
      <c r="D505" s="61" t="s">
        <v>557</v>
      </c>
      <c r="E505" s="61" t="s">
        <v>1105</v>
      </c>
      <c r="F505" s="77">
        <f>VLOOKUP(C505,'Functional Assignment'!$C$2:$AP$780,'Functional Assignment'!$AA$2,)</f>
        <v>315900.35665521439</v>
      </c>
      <c r="G505" s="77">
        <f t="shared" ref="G505:Z505" si="233">IF(VLOOKUP($E505,$D$6:$AN$1131,3,)=0,0,(VLOOKUP($E505,$D$6:$AN$1131,G$2,)/VLOOKUP($E505,$D$6:$AN$1131,3,))*$F505)</f>
        <v>221104.96569796884</v>
      </c>
      <c r="H505" s="77">
        <f t="shared" si="233"/>
        <v>65006.129059049759</v>
      </c>
      <c r="I505" s="77">
        <f t="shared" si="233"/>
        <v>0</v>
      </c>
      <c r="J505" s="77">
        <f t="shared" si="233"/>
        <v>2530.5827203185604</v>
      </c>
      <c r="K505" s="77">
        <f t="shared" si="233"/>
        <v>17487.268451289197</v>
      </c>
      <c r="L505" s="77">
        <f t="shared" si="233"/>
        <v>0</v>
      </c>
      <c r="M505" s="77">
        <f t="shared" si="233"/>
        <v>0</v>
      </c>
      <c r="N505" s="77">
        <f t="shared" si="233"/>
        <v>3962.6522942662104</v>
      </c>
      <c r="O505" s="77">
        <f t="shared" si="233"/>
        <v>1842.2709994444583</v>
      </c>
      <c r="P505" s="77">
        <f t="shared" si="233"/>
        <v>3241.6095196751589</v>
      </c>
      <c r="Q505" s="77">
        <f t="shared" si="233"/>
        <v>37.560685253708158</v>
      </c>
      <c r="R505" s="77">
        <f t="shared" si="233"/>
        <v>37.560685253708158</v>
      </c>
      <c r="S505" s="77">
        <f t="shared" si="233"/>
        <v>0</v>
      </c>
      <c r="T505" s="77">
        <f t="shared" si="233"/>
        <v>100.19610237817373</v>
      </c>
      <c r="U505" s="77">
        <f t="shared" si="233"/>
        <v>549.56044031664987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315900.35665521445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371</v>
      </c>
      <c r="F507" s="80"/>
    </row>
    <row r="508" spans="1:28">
      <c r="A508" s="69" t="s">
        <v>1102</v>
      </c>
      <c r="C508" s="61" t="s">
        <v>1083</v>
      </c>
      <c r="D508" s="61" t="s">
        <v>558</v>
      </c>
      <c r="E508" s="61" t="s">
        <v>1106</v>
      </c>
      <c r="F508" s="77">
        <f>VLOOKUP(C508,'Functional Assignment'!$C$2:$AP$780,'Functional Assignment'!$AB$2,)</f>
        <v>865590.31416392652</v>
      </c>
      <c r="G508" s="77">
        <f t="shared" ref="G508:Z508" si="234">IF(VLOOKUP($E508,$D$6:$AN$1131,3,)=0,0,(VLOOKUP($E508,$D$6:$AN$1131,G$2,)/VLOOKUP($E508,$D$6:$AN$1131,3,))*$F508)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865590.31416392652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865590.31416392652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1034</v>
      </c>
      <c r="F510" s="80"/>
    </row>
    <row r="511" spans="1:28">
      <c r="A511" s="69" t="s">
        <v>1102</v>
      </c>
      <c r="C511" s="61" t="s">
        <v>1083</v>
      </c>
      <c r="D511" s="61" t="s">
        <v>559</v>
      </c>
      <c r="E511" s="61" t="s">
        <v>1107</v>
      </c>
      <c r="F511" s="77">
        <f>VLOOKUP(C511,'Functional Assignment'!$C$2:$AP$780,'Functional Assignment'!$AC$2,)</f>
        <v>0</v>
      </c>
      <c r="G511" s="77">
        <f t="shared" ref="G511:Z511" si="235">IF(VLOOKUP($E511,$D$6:$AN$1131,3,)=0,0,(VLOOKUP($E511,$D$6:$AN$1131,G$2,)/VLOOKUP($E511,$D$6:$AN$1131,3,))*$F511)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351</v>
      </c>
      <c r="F513" s="80"/>
    </row>
    <row r="514" spans="1:28">
      <c r="A514" s="69" t="s">
        <v>1102</v>
      </c>
      <c r="C514" s="61" t="s">
        <v>1083</v>
      </c>
      <c r="D514" s="61" t="s">
        <v>560</v>
      </c>
      <c r="E514" s="61" t="s">
        <v>1107</v>
      </c>
      <c r="F514" s="77">
        <f>VLOOKUP(C514,'Functional Assignment'!$C$2:$AP$780,'Functional Assignment'!$AD$2,)</f>
        <v>0</v>
      </c>
      <c r="G514" s="77">
        <f t="shared" ref="G514:Z514" si="236">IF(VLOOKUP($E514,$D$6:$AN$1131,3,)=0,0,(VLOOKUP($E514,$D$6:$AN$1131,G$2,)/VLOOKUP($E514,$D$6:$AN$1131,3,))*$F514)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350</v>
      </c>
      <c r="F516" s="80"/>
    </row>
    <row r="517" spans="1:28">
      <c r="A517" s="69" t="s">
        <v>1102</v>
      </c>
      <c r="C517" s="61" t="s">
        <v>1083</v>
      </c>
      <c r="D517" s="61" t="s">
        <v>561</v>
      </c>
      <c r="E517" s="61" t="s">
        <v>1108</v>
      </c>
      <c r="F517" s="77">
        <f>VLOOKUP(C517,'Functional Assignment'!$C$2:$AP$780,'Functional Assignment'!$AE$2,)</f>
        <v>0</v>
      </c>
      <c r="G517" s="77">
        <f t="shared" ref="G517:Z517" si="237">IF(VLOOKUP($E517,$D$6:$AN$1131,3,)=0,0,(VLOOKUP($E517,$D$6:$AN$1131,G$2,)/VLOOKUP($E517,$D$6:$AN$1131,3,))*$F517)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931</v>
      </c>
      <c r="D519" s="61" t="s">
        <v>1118</v>
      </c>
      <c r="F519" s="77">
        <f>F474+F480+F483+F486+F494+F499+F502+F505+F508+F511+F514+F517</f>
        <v>32529208.918825753</v>
      </c>
      <c r="G519" s="77">
        <f t="shared" ref="G519:Z519" si="238">G474+G480+G483+G486+G494+G499+G502+G505+G508+G511+G514+G517</f>
        <v>16864804.316318464</v>
      </c>
      <c r="H519" s="77">
        <f t="shared" si="238"/>
        <v>3787837.7908507269</v>
      </c>
      <c r="I519" s="77">
        <f t="shared" si="238"/>
        <v>0</v>
      </c>
      <c r="J519" s="77">
        <f t="shared" si="238"/>
        <v>293549.95637468598</v>
      </c>
      <c r="K519" s="77">
        <f t="shared" si="238"/>
        <v>3733938.7182606556</v>
      </c>
      <c r="L519" s="77">
        <f t="shared" si="238"/>
        <v>0</v>
      </c>
      <c r="M519" s="77">
        <f t="shared" si="238"/>
        <v>0</v>
      </c>
      <c r="N519" s="77">
        <f t="shared" si="238"/>
        <v>3050768.4756675009</v>
      </c>
      <c r="O519" s="77">
        <f>O474+O480+O483+O486+O494+O499+O502+O505+O508+O511+O514+O517</f>
        <v>1958002.9355981757</v>
      </c>
      <c r="P519" s="77">
        <f t="shared" si="238"/>
        <v>1509543.3749493097</v>
      </c>
      <c r="Q519" s="77">
        <f t="shared" si="238"/>
        <v>195031.28987765653</v>
      </c>
      <c r="R519" s="77">
        <f t="shared" si="238"/>
        <v>89036.329313942406</v>
      </c>
      <c r="S519" s="77">
        <f t="shared" si="238"/>
        <v>1038908.810484495</v>
      </c>
      <c r="T519" s="77">
        <f t="shared" si="238"/>
        <v>2431.4005755044973</v>
      </c>
      <c r="U519" s="77">
        <f t="shared" si="238"/>
        <v>5355.5205546345051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32529208.918825749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637</v>
      </c>
    </row>
    <row r="524" spans="1:28" ht="15">
      <c r="A524" s="66" t="s">
        <v>364</v>
      </c>
    </row>
    <row r="525" spans="1:28">
      <c r="A525" s="69" t="s">
        <v>359</v>
      </c>
      <c r="C525" s="61" t="s">
        <v>533</v>
      </c>
      <c r="D525" s="61" t="s">
        <v>562</v>
      </c>
      <c r="E525" s="61" t="s">
        <v>869</v>
      </c>
      <c r="F525" s="77">
        <f>VLOOKUP(C525,'Functional Assignment'!$C$2:$AP$780,'Functional Assignment'!$H$2,)</f>
        <v>-193847.67227717277</v>
      </c>
      <c r="G525" s="77">
        <f t="shared" ref="G525:P530" si="239">IF(VLOOKUP($E525,$D$6:$AN$1131,3,)=0,0,(VLOOKUP($E525,$D$6:$AN$1131,G$2,)/VLOOKUP($E525,$D$6:$AN$1131,3,))*$F525)</f>
        <v>-87442.91846620242</v>
      </c>
      <c r="H525" s="77">
        <f t="shared" si="239"/>
        <v>-22093.243782543759</v>
      </c>
      <c r="I525" s="77">
        <f t="shared" si="239"/>
        <v>0</v>
      </c>
      <c r="J525" s="77">
        <f t="shared" si="239"/>
        <v>-2235.1958322195019</v>
      </c>
      <c r="K525" s="77">
        <f t="shared" si="239"/>
        <v>-28302.792770154218</v>
      </c>
      <c r="L525" s="77">
        <f t="shared" si="239"/>
        <v>0</v>
      </c>
      <c r="M525" s="77">
        <f t="shared" si="239"/>
        <v>0</v>
      </c>
      <c r="N525" s="77">
        <f t="shared" si="239"/>
        <v>-23379.609521306658</v>
      </c>
      <c r="O525" s="77">
        <f t="shared" si="239"/>
        <v>-14896.461470978698</v>
      </c>
      <c r="P525" s="77">
        <f t="shared" si="239"/>
        <v>-13250.89122324613</v>
      </c>
      <c r="Q525" s="77">
        <f t="shared" ref="Q525:Z530" si="240">IF(VLOOKUP($E525,$D$6:$AN$1131,3,)=0,0,(VLOOKUP($E525,$D$6:$AN$1131,Q$2,)/VLOOKUP($E525,$D$6:$AN$1131,3,))*$F525)</f>
        <v>-1514.573774023102</v>
      </c>
      <c r="R525" s="77">
        <f t="shared" si="240"/>
        <v>-654.28957027150909</v>
      </c>
      <c r="S525" s="77">
        <f t="shared" si="240"/>
        <v>-46.700696572476332</v>
      </c>
      <c r="T525" s="77">
        <f t="shared" si="240"/>
        <v>-1.510862365451384</v>
      </c>
      <c r="U525" s="77">
        <f t="shared" si="240"/>
        <v>-29.484307288842121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-193847.67227717271</v>
      </c>
      <c r="AB525" s="59" t="str">
        <f t="shared" ref="AB525:AB531" si="242">IF(ABS(F525-AA525)&lt;0.01,"ok","err")</f>
        <v>ok</v>
      </c>
    </row>
    <row r="526" spans="1:28">
      <c r="A526" s="69" t="s">
        <v>1265</v>
      </c>
      <c r="C526" s="61" t="s">
        <v>533</v>
      </c>
      <c r="D526" s="61" t="s">
        <v>563</v>
      </c>
      <c r="E526" s="61" t="s">
        <v>188</v>
      </c>
      <c r="F526" s="80">
        <f>VLOOKUP(C526,'Functional Assignment'!$C$2:$AP$780,'Functional Assignment'!$I$2,)</f>
        <v>-203067.70616745905</v>
      </c>
      <c r="G526" s="80">
        <f t="shared" si="239"/>
        <v>-91601.991733644827</v>
      </c>
      <c r="H526" s="80">
        <f t="shared" si="239"/>
        <v>-23144.071239115689</v>
      </c>
      <c r="I526" s="80">
        <f t="shared" si="239"/>
        <v>0</v>
      </c>
      <c r="J526" s="80">
        <f t="shared" si="239"/>
        <v>-2341.509109456194</v>
      </c>
      <c r="K526" s="80">
        <f t="shared" si="239"/>
        <v>-29648.966832834987</v>
      </c>
      <c r="L526" s="80">
        <f t="shared" si="239"/>
        <v>0</v>
      </c>
      <c r="M526" s="80">
        <f t="shared" si="239"/>
        <v>0</v>
      </c>
      <c r="N526" s="80">
        <f t="shared" si="239"/>
        <v>-24491.620770117985</v>
      </c>
      <c r="O526" s="80">
        <f t="shared" si="239"/>
        <v>-15604.986252289375</v>
      </c>
      <c r="P526" s="80">
        <f t="shared" si="239"/>
        <v>-13881.147262535251</v>
      </c>
      <c r="Q526" s="80">
        <f t="shared" si="240"/>
        <v>-1586.6118922103806</v>
      </c>
      <c r="R526" s="80">
        <f t="shared" si="240"/>
        <v>-685.40973767459502</v>
      </c>
      <c r="S526" s="80">
        <f t="shared" si="240"/>
        <v>-48.92193554862736</v>
      </c>
      <c r="T526" s="80">
        <f t="shared" si="240"/>
        <v>-1.5827239568204141</v>
      </c>
      <c r="U526" s="80">
        <f t="shared" si="240"/>
        <v>-30.886678074321765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-203067.70616745908</v>
      </c>
      <c r="AB526" s="59" t="str">
        <f t="shared" si="242"/>
        <v>ok</v>
      </c>
    </row>
    <row r="527" spans="1:28">
      <c r="A527" s="69" t="s">
        <v>1266</v>
      </c>
      <c r="C527" s="61" t="s">
        <v>533</v>
      </c>
      <c r="D527" s="61" t="s">
        <v>564</v>
      </c>
      <c r="E527" s="61" t="s">
        <v>191</v>
      </c>
      <c r="F527" s="80">
        <f>VLOOKUP(C527,'Functional Assignment'!$C$2:$AP$780,'Functional Assignment'!$J$2,)</f>
        <v>-166920.96972115582</v>
      </c>
      <c r="G527" s="80">
        <f t="shared" si="239"/>
        <v>-75296.528321249702</v>
      </c>
      <c r="H527" s="80">
        <f t="shared" si="239"/>
        <v>-19024.348516267295</v>
      </c>
      <c r="I527" s="80">
        <f t="shared" si="239"/>
        <v>0</v>
      </c>
      <c r="J527" s="80">
        <f t="shared" si="239"/>
        <v>-1924.7125923559572</v>
      </c>
      <c r="K527" s="80">
        <f t="shared" si="239"/>
        <v>-24371.350759662389</v>
      </c>
      <c r="L527" s="80">
        <f t="shared" si="239"/>
        <v>0</v>
      </c>
      <c r="M527" s="80">
        <f t="shared" si="239"/>
        <v>0</v>
      </c>
      <c r="N527" s="80">
        <f t="shared" si="239"/>
        <v>-20132.029686786358</v>
      </c>
      <c r="O527" s="80">
        <f t="shared" si="239"/>
        <v>-12827.24607904621</v>
      </c>
      <c r="P527" s="80">
        <f t="shared" si="239"/>
        <v>-11410.256242288968</v>
      </c>
      <c r="Q527" s="80">
        <f t="shared" si="240"/>
        <v>-1304.1896253088923</v>
      </c>
      <c r="R527" s="80">
        <f t="shared" si="240"/>
        <v>-563.40449315273816</v>
      </c>
      <c r="S527" s="80">
        <f t="shared" si="240"/>
        <v>-40.213666055195517</v>
      </c>
      <c r="T527" s="80">
        <f t="shared" si="240"/>
        <v>-1.3009937555285385</v>
      </c>
      <c r="U527" s="80">
        <f t="shared" si="240"/>
        <v>-25.388745226576674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-166920.96972115579</v>
      </c>
      <c r="AB527" s="59" t="str">
        <f t="shared" si="242"/>
        <v>ok</v>
      </c>
    </row>
    <row r="528" spans="1:28">
      <c r="A528" s="69" t="s">
        <v>1267</v>
      </c>
      <c r="C528" s="61" t="s">
        <v>533</v>
      </c>
      <c r="D528" s="61" t="s">
        <v>565</v>
      </c>
      <c r="E528" s="61" t="s">
        <v>1100</v>
      </c>
      <c r="F528" s="80">
        <f>VLOOKUP(C528,'Functional Assignment'!$C$2:$AP$780,'Functional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>
      <c r="A529" s="69" t="s">
        <v>1268</v>
      </c>
      <c r="C529" s="61" t="s">
        <v>533</v>
      </c>
      <c r="D529" s="61" t="s">
        <v>566</v>
      </c>
      <c r="E529" s="61" t="s">
        <v>1100</v>
      </c>
      <c r="F529" s="80">
        <f>VLOOKUP(C529,'Functional Assignment'!$C$2:$AP$780,'Functional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>
      <c r="A530" s="69" t="s">
        <v>1268</v>
      </c>
      <c r="C530" s="61" t="s">
        <v>533</v>
      </c>
      <c r="D530" s="61" t="s">
        <v>567</v>
      </c>
      <c r="E530" s="61" t="s">
        <v>1100</v>
      </c>
      <c r="F530" s="80">
        <f>VLOOKUP(C530,'Functional Assignment'!$C$2:$AP$780,'Functional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>
      <c r="A531" s="61" t="s">
        <v>387</v>
      </c>
      <c r="D531" s="61" t="s">
        <v>1119</v>
      </c>
      <c r="F531" s="77">
        <f>SUM(F525:F530)</f>
        <v>-563836.34816578764</v>
      </c>
      <c r="G531" s="77">
        <f t="shared" ref="G531:P531" si="243">SUM(G525:G530)</f>
        <v>-254341.43852109695</v>
      </c>
      <c r="H531" s="77">
        <f t="shared" si="243"/>
        <v>-64261.663537926746</v>
      </c>
      <c r="I531" s="77">
        <f t="shared" si="243"/>
        <v>0</v>
      </c>
      <c r="J531" s="77">
        <f t="shared" si="243"/>
        <v>-6501.4175340316533</v>
      </c>
      <c r="K531" s="77">
        <f t="shared" si="243"/>
        <v>-82323.110362651583</v>
      </c>
      <c r="L531" s="77">
        <f t="shared" si="243"/>
        <v>0</v>
      </c>
      <c r="M531" s="77">
        <f t="shared" si="243"/>
        <v>0</v>
      </c>
      <c r="N531" s="77">
        <f t="shared" si="243"/>
        <v>-68003.25997821099</v>
      </c>
      <c r="O531" s="77">
        <f>SUM(O525:O530)</f>
        <v>-43328.693802314287</v>
      </c>
      <c r="P531" s="77">
        <f t="shared" si="243"/>
        <v>-38542.294728070352</v>
      </c>
      <c r="Q531" s="77">
        <f t="shared" ref="Q531:W531" si="244">SUM(Q525:Q530)</f>
        <v>-4405.3752915423747</v>
      </c>
      <c r="R531" s="77">
        <f t="shared" si="244"/>
        <v>-1903.1038010988423</v>
      </c>
      <c r="S531" s="77">
        <f t="shared" si="244"/>
        <v>-135.83629817629921</v>
      </c>
      <c r="T531" s="77">
        <f t="shared" si="244"/>
        <v>-4.3945800778003363</v>
      </c>
      <c r="U531" s="77">
        <f t="shared" si="244"/>
        <v>-85.759730589740556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-563836.34816578764</v>
      </c>
      <c r="AB531" s="59" t="str">
        <f t="shared" si="242"/>
        <v>ok</v>
      </c>
    </row>
    <row r="532" spans="1:28">
      <c r="F532" s="80"/>
      <c r="G532" s="80"/>
    </row>
    <row r="533" spans="1:28" ht="15">
      <c r="A533" s="66" t="s">
        <v>1140</v>
      </c>
      <c r="F533" s="80"/>
      <c r="G533" s="80"/>
    </row>
    <row r="534" spans="1:28">
      <c r="A534" s="69" t="s">
        <v>1377</v>
      </c>
      <c r="C534" s="61" t="s">
        <v>533</v>
      </c>
      <c r="D534" s="61" t="s">
        <v>568</v>
      </c>
      <c r="E534" s="61" t="s">
        <v>1381</v>
      </c>
      <c r="F534" s="77">
        <f>VLOOKUP(C534,'Functional Assignment'!$C$2:$AP$780,'Functional Assignment'!$N$2,)</f>
        <v>-106787.72830435807</v>
      </c>
      <c r="G534" s="77">
        <f t="shared" ref="G534:P536" si="245">IF(VLOOKUP($E534,$D$6:$AN$1131,3,)=0,0,(VLOOKUP($E534,$D$6:$AN$1131,G$2,)/VLOOKUP($E534,$D$6:$AN$1131,3,))*$F534)</f>
        <v>-47455.174664828104</v>
      </c>
      <c r="H534" s="77">
        <f t="shared" si="245"/>
        <v>-13659.839930579874</v>
      </c>
      <c r="I534" s="77">
        <f t="shared" si="245"/>
        <v>0</v>
      </c>
      <c r="J534" s="77">
        <f t="shared" si="245"/>
        <v>-1213.6887391653304</v>
      </c>
      <c r="K534" s="77">
        <f t="shared" si="245"/>
        <v>-14086.809648185364</v>
      </c>
      <c r="L534" s="77">
        <f t="shared" si="245"/>
        <v>0</v>
      </c>
      <c r="M534" s="77">
        <f t="shared" si="245"/>
        <v>0</v>
      </c>
      <c r="N534" s="77">
        <f t="shared" si="245"/>
        <v>-12814.698208881206</v>
      </c>
      <c r="O534" s="77">
        <f t="shared" si="245"/>
        <v>-7608.6952475666849</v>
      </c>
      <c r="P534" s="77">
        <f t="shared" si="245"/>
        <v>-7881.2209551235674</v>
      </c>
      <c r="Q534" s="77">
        <f t="shared" ref="Q534:Z536" si="246">IF(VLOOKUP($E534,$D$6:$AN$1131,3,)=0,0,(VLOOKUP($E534,$D$6:$AN$1131,Q$2,)/VLOOKUP($E534,$D$6:$AN$1131,3,))*$F534)</f>
        <v>-794.46177271937893</v>
      </c>
      <c r="R534" s="77">
        <f t="shared" si="246"/>
        <v>-415.83272188706258</v>
      </c>
      <c r="S534" s="77">
        <f t="shared" si="246"/>
        <v>-819.17218173356684</v>
      </c>
      <c r="T534" s="77">
        <f t="shared" si="246"/>
        <v>-26.199491033067705</v>
      </c>
      <c r="U534" s="77">
        <f t="shared" si="246"/>
        <v>-11.934742654880644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-106787.7283043581</v>
      </c>
      <c r="AB534" s="59" t="str">
        <f>IF(ABS(F534-AA534)&lt;0.01,"ok","err")</f>
        <v>ok</v>
      </c>
    </row>
    <row r="535" spans="1:28" hidden="1">
      <c r="A535" s="69" t="s">
        <v>1378</v>
      </c>
      <c r="C535" s="61" t="s">
        <v>533</v>
      </c>
      <c r="D535" s="61" t="s">
        <v>569</v>
      </c>
      <c r="E535" s="61" t="s">
        <v>188</v>
      </c>
      <c r="F535" s="80">
        <f>VLOOKUP(C535,'Functional Assignment'!$C$2:$AP$780,'Functional Assignment'!$O$2,)</f>
        <v>0</v>
      </c>
      <c r="G535" s="80">
        <f t="shared" si="245"/>
        <v>0</v>
      </c>
      <c r="H535" s="80">
        <f t="shared" si="245"/>
        <v>0</v>
      </c>
      <c r="I535" s="80">
        <f t="shared" si="245"/>
        <v>0</v>
      </c>
      <c r="J535" s="80">
        <f t="shared" si="245"/>
        <v>0</v>
      </c>
      <c r="K535" s="80">
        <f t="shared" si="245"/>
        <v>0</v>
      </c>
      <c r="L535" s="80">
        <f t="shared" si="245"/>
        <v>0</v>
      </c>
      <c r="M535" s="80">
        <f t="shared" si="245"/>
        <v>0</v>
      </c>
      <c r="N535" s="80">
        <f t="shared" si="245"/>
        <v>0</v>
      </c>
      <c r="O535" s="80">
        <f t="shared" si="245"/>
        <v>0</v>
      </c>
      <c r="P535" s="80">
        <f t="shared" si="245"/>
        <v>0</v>
      </c>
      <c r="Q535" s="80">
        <f t="shared" si="246"/>
        <v>0</v>
      </c>
      <c r="R535" s="80">
        <f t="shared" si="246"/>
        <v>0</v>
      </c>
      <c r="S535" s="80">
        <f t="shared" si="246"/>
        <v>0</v>
      </c>
      <c r="T535" s="80">
        <f t="shared" si="246"/>
        <v>0</v>
      </c>
      <c r="U535" s="80">
        <f t="shared" si="246"/>
        <v>0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0</v>
      </c>
      <c r="AB535" s="59" t="str">
        <f>IF(ABS(F535-AA535)&lt;0.01,"ok","err")</f>
        <v>ok</v>
      </c>
    </row>
    <row r="536" spans="1:28" hidden="1">
      <c r="A536" s="69" t="s">
        <v>1378</v>
      </c>
      <c r="C536" s="61" t="s">
        <v>533</v>
      </c>
      <c r="D536" s="61" t="s">
        <v>570</v>
      </c>
      <c r="E536" s="61" t="s">
        <v>191</v>
      </c>
      <c r="F536" s="80">
        <f>VLOOKUP(C536,'Functional Assignment'!$C$2:$AP$780,'Functional Assignment'!$P$2,)</f>
        <v>0</v>
      </c>
      <c r="G536" s="80">
        <f t="shared" si="245"/>
        <v>0</v>
      </c>
      <c r="H536" s="80">
        <f t="shared" si="245"/>
        <v>0</v>
      </c>
      <c r="I536" s="80">
        <f t="shared" si="245"/>
        <v>0</v>
      </c>
      <c r="J536" s="80">
        <f t="shared" si="245"/>
        <v>0</v>
      </c>
      <c r="K536" s="80">
        <f t="shared" si="245"/>
        <v>0</v>
      </c>
      <c r="L536" s="80">
        <f t="shared" si="245"/>
        <v>0</v>
      </c>
      <c r="M536" s="80">
        <f t="shared" si="245"/>
        <v>0</v>
      </c>
      <c r="N536" s="80">
        <f t="shared" si="245"/>
        <v>0</v>
      </c>
      <c r="O536" s="80">
        <f t="shared" si="245"/>
        <v>0</v>
      </c>
      <c r="P536" s="80">
        <f t="shared" si="245"/>
        <v>0</v>
      </c>
      <c r="Q536" s="80">
        <f t="shared" si="246"/>
        <v>0</v>
      </c>
      <c r="R536" s="80">
        <f t="shared" si="246"/>
        <v>0</v>
      </c>
      <c r="S536" s="80">
        <f t="shared" si="246"/>
        <v>0</v>
      </c>
      <c r="T536" s="80">
        <f t="shared" si="246"/>
        <v>0</v>
      </c>
      <c r="U536" s="80">
        <f t="shared" si="246"/>
        <v>0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0</v>
      </c>
      <c r="AB536" s="59" t="str">
        <f>IF(ABS(F536-AA536)&lt;0.01,"ok","err")</f>
        <v>ok</v>
      </c>
    </row>
    <row r="537" spans="1:28" hidden="1">
      <c r="A537" s="61" t="s">
        <v>1142</v>
      </c>
      <c r="D537" s="61" t="s">
        <v>571</v>
      </c>
      <c r="F537" s="77">
        <f>SUM(F534:F536)</f>
        <v>-106787.72830435807</v>
      </c>
      <c r="G537" s="77">
        <f t="shared" ref="G537:W537" si="247">SUM(G534:G536)</f>
        <v>-47455.174664828104</v>
      </c>
      <c r="H537" s="77">
        <f t="shared" si="247"/>
        <v>-13659.839930579874</v>
      </c>
      <c r="I537" s="77">
        <f t="shared" si="247"/>
        <v>0</v>
      </c>
      <c r="J537" s="77">
        <f t="shared" si="247"/>
        <v>-1213.6887391653304</v>
      </c>
      <c r="K537" s="77">
        <f t="shared" si="247"/>
        <v>-14086.809648185364</v>
      </c>
      <c r="L537" s="77">
        <f t="shared" si="247"/>
        <v>0</v>
      </c>
      <c r="M537" s="77">
        <f t="shared" si="247"/>
        <v>0</v>
      </c>
      <c r="N537" s="77">
        <f t="shared" si="247"/>
        <v>-12814.698208881206</v>
      </c>
      <c r="O537" s="77">
        <f>SUM(O534:O536)</f>
        <v>-7608.6952475666849</v>
      </c>
      <c r="P537" s="77">
        <f t="shared" si="247"/>
        <v>-7881.2209551235674</v>
      </c>
      <c r="Q537" s="77">
        <f t="shared" si="247"/>
        <v>-794.46177271937893</v>
      </c>
      <c r="R537" s="77">
        <f t="shared" si="247"/>
        <v>-415.83272188706258</v>
      </c>
      <c r="S537" s="77">
        <f t="shared" si="247"/>
        <v>-819.17218173356684</v>
      </c>
      <c r="T537" s="77">
        <f t="shared" si="247"/>
        <v>-26.199491033067705</v>
      </c>
      <c r="U537" s="77">
        <f t="shared" si="247"/>
        <v>-11.934742654880644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-106787.7283043581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348</v>
      </c>
      <c r="F539" s="80"/>
      <c r="G539" s="80"/>
    </row>
    <row r="540" spans="1:28">
      <c r="A540" s="69" t="s">
        <v>372</v>
      </c>
      <c r="C540" s="61" t="s">
        <v>533</v>
      </c>
      <c r="D540" s="61" t="s">
        <v>572</v>
      </c>
      <c r="E540" s="61" t="s">
        <v>1382</v>
      </c>
      <c r="F540" s="77">
        <f>VLOOKUP(C540,'Functional Assignment'!$C$2:$AP$780,'Functional Assignment'!$Q$2,)</f>
        <v>0</v>
      </c>
      <c r="G540" s="77">
        <f t="shared" ref="G540:Z540" si="248">IF(VLOOKUP($E540,$D$6:$AN$1131,3,)=0,0,(VLOOKUP($E540,$D$6:$AN$1131,G$2,)/VLOOKUP($E540,$D$6:$AN$1131,3,))*$F540)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349</v>
      </c>
      <c r="F542" s="80"/>
      <c r="G542" s="80"/>
    </row>
    <row r="543" spans="1:28">
      <c r="A543" s="69" t="s">
        <v>374</v>
      </c>
      <c r="C543" s="61" t="s">
        <v>533</v>
      </c>
      <c r="D543" s="61" t="s">
        <v>573</v>
      </c>
      <c r="E543" s="61" t="s">
        <v>1382</v>
      </c>
      <c r="F543" s="77">
        <f>VLOOKUP(C543,'Functional Assignment'!$C$2:$AP$780,'Functional Assignment'!$R$2,)</f>
        <v>-37188.080668584982</v>
      </c>
      <c r="G543" s="77">
        <f t="shared" ref="G543:Z543" si="249">IF(VLOOKUP($E543,$D$6:$AN$1131,3,)=0,0,(VLOOKUP($E543,$D$6:$AN$1131,G$2,)/VLOOKUP($E543,$D$6:$AN$1131,3,))*$F543)</f>
        <v>-17842.778103023131</v>
      </c>
      <c r="H543" s="77">
        <f t="shared" si="249"/>
        <v>-5135.9940096226055</v>
      </c>
      <c r="I543" s="77">
        <f t="shared" si="249"/>
        <v>0</v>
      </c>
      <c r="J543" s="77">
        <f t="shared" si="249"/>
        <v>-456.33756512364425</v>
      </c>
      <c r="K543" s="77">
        <f t="shared" si="249"/>
        <v>-5296.5313162862694</v>
      </c>
      <c r="L543" s="77">
        <f t="shared" si="249"/>
        <v>0</v>
      </c>
      <c r="M543" s="77">
        <f t="shared" si="249"/>
        <v>0</v>
      </c>
      <c r="N543" s="77">
        <f t="shared" si="249"/>
        <v>-4818.2272684319396</v>
      </c>
      <c r="O543" s="77">
        <f t="shared" si="249"/>
        <v>-2860.810478830228</v>
      </c>
      <c r="P543" s="77">
        <f t="shared" si="249"/>
        <v>0</v>
      </c>
      <c r="Q543" s="77">
        <f t="shared" si="249"/>
        <v>-298.7114729233632</v>
      </c>
      <c r="R543" s="77">
        <f t="shared" si="249"/>
        <v>-156.34988253675334</v>
      </c>
      <c r="S543" s="77">
        <f t="shared" si="249"/>
        <v>-308.00239531463359</v>
      </c>
      <c r="T543" s="77">
        <f t="shared" si="249"/>
        <v>-9.8508056964679724</v>
      </c>
      <c r="U543" s="77">
        <f t="shared" si="249"/>
        <v>-4.4873707959513602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-37188.080668584997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373</v>
      </c>
      <c r="F545" s="80"/>
    </row>
    <row r="546" spans="1:28">
      <c r="A546" s="69" t="s">
        <v>623</v>
      </c>
      <c r="C546" s="61" t="s">
        <v>533</v>
      </c>
      <c r="D546" s="61" t="s">
        <v>574</v>
      </c>
      <c r="E546" s="61" t="s">
        <v>1382</v>
      </c>
      <c r="F546" s="77">
        <f>VLOOKUP(C546,'Functional Assignment'!$C$2:$AP$780,'Functional Assignment'!$S$2,)</f>
        <v>0</v>
      </c>
      <c r="G546" s="77">
        <f t="shared" ref="G546:P550" si="250">IF(VLOOKUP($E546,$D$6:$AN$1131,3,)=0,0,(VLOOKUP($E546,$D$6:$AN$1131,G$2,)/VLOOKUP($E546,$D$6:$AN$1131,3,))*$F546)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IF(VLOOKUP($E546,$D$6:$AN$1131,3,)=0,0,(VLOOKUP($E546,$D$6:$AN$1131,Q$2,)/VLOOKUP($E546,$D$6:$AN$1131,3,))*$F546)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>
      <c r="A547" s="69" t="s">
        <v>624</v>
      </c>
      <c r="C547" s="61" t="s">
        <v>533</v>
      </c>
      <c r="D547" s="61" t="s">
        <v>575</v>
      </c>
      <c r="E547" s="61" t="s">
        <v>1382</v>
      </c>
      <c r="F547" s="80">
        <f>VLOOKUP(C547,'Functional Assignment'!$C$2:$AP$780,'Functional Assignment'!$T$2,)</f>
        <v>-63595.443111471155</v>
      </c>
      <c r="G547" s="80">
        <f t="shared" si="250"/>
        <v>-30512.985865387149</v>
      </c>
      <c r="H547" s="80">
        <f t="shared" si="250"/>
        <v>-8783.0780451041574</v>
      </c>
      <c r="I547" s="80">
        <f t="shared" si="250"/>
        <v>0</v>
      </c>
      <c r="J547" s="80">
        <f t="shared" si="250"/>
        <v>-780.38417527053934</v>
      </c>
      <c r="K547" s="80">
        <f t="shared" si="250"/>
        <v>-9057.6133523759399</v>
      </c>
      <c r="L547" s="80">
        <f t="shared" si="250"/>
        <v>0</v>
      </c>
      <c r="M547" s="80">
        <f t="shared" si="250"/>
        <v>0</v>
      </c>
      <c r="N547" s="80">
        <f t="shared" si="250"/>
        <v>-8239.6642321622057</v>
      </c>
      <c r="O547" s="80">
        <f t="shared" si="250"/>
        <v>-4892.2801819358046</v>
      </c>
      <c r="P547" s="80">
        <f t="shared" si="250"/>
        <v>0</v>
      </c>
      <c r="Q547" s="80">
        <f t="shared" si="251"/>
        <v>-510.82734417883393</v>
      </c>
      <c r="R547" s="80">
        <f t="shared" si="251"/>
        <v>-267.37438129607119</v>
      </c>
      <c r="S547" s="80">
        <f t="shared" si="251"/>
        <v>-526.71577713273643</v>
      </c>
      <c r="T547" s="80">
        <f t="shared" si="251"/>
        <v>-16.845890995420447</v>
      </c>
      <c r="U547" s="80">
        <f t="shared" si="251"/>
        <v>-7.6738656323039649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-63595.44311147117</v>
      </c>
      <c r="AB547" s="59" t="str">
        <f t="shared" si="253"/>
        <v>ok</v>
      </c>
    </row>
    <row r="548" spans="1:28">
      <c r="A548" s="69" t="s">
        <v>625</v>
      </c>
      <c r="C548" s="61" t="s">
        <v>533</v>
      </c>
      <c r="D548" s="61" t="s">
        <v>576</v>
      </c>
      <c r="E548" s="61" t="s">
        <v>698</v>
      </c>
      <c r="F548" s="80">
        <f>VLOOKUP(C548,'Functional Assignment'!$C$2:$AP$780,'Functional Assignment'!$U$2,)</f>
        <v>-101203.98635674978</v>
      </c>
      <c r="G548" s="80">
        <f t="shared" si="250"/>
        <v>-87249.296150976064</v>
      </c>
      <c r="H548" s="80">
        <f t="shared" si="250"/>
        <v>-10839.871036795384</v>
      </c>
      <c r="I548" s="80">
        <f t="shared" si="250"/>
        <v>0</v>
      </c>
      <c r="J548" s="80">
        <f t="shared" si="250"/>
        <v>-17.252928236825337</v>
      </c>
      <c r="K548" s="80">
        <f t="shared" si="250"/>
        <v>-676.73812262269746</v>
      </c>
      <c r="L548" s="80">
        <f t="shared" si="250"/>
        <v>0</v>
      </c>
      <c r="M548" s="80">
        <f t="shared" si="250"/>
        <v>0</v>
      </c>
      <c r="N548" s="80">
        <f t="shared" si="250"/>
        <v>-25.280332347014905</v>
      </c>
      <c r="O548" s="80">
        <f t="shared" si="250"/>
        <v>-66.136224907830453</v>
      </c>
      <c r="P548" s="80">
        <f t="shared" si="250"/>
        <v>0</v>
      </c>
      <c r="Q548" s="80">
        <f t="shared" si="251"/>
        <v>-0.23962400328924077</v>
      </c>
      <c r="R548" s="80">
        <f t="shared" si="251"/>
        <v>-0.23962400328924077</v>
      </c>
      <c r="S548" s="80">
        <f t="shared" si="251"/>
        <v>-2300.4436813552202</v>
      </c>
      <c r="T548" s="80">
        <f t="shared" si="251"/>
        <v>-4.393106726969414</v>
      </c>
      <c r="U548" s="80">
        <f t="shared" si="251"/>
        <v>-24.09552477519588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-101203.98635674978</v>
      </c>
      <c r="AB548" s="59" t="str">
        <f t="shared" si="253"/>
        <v>ok</v>
      </c>
    </row>
    <row r="549" spans="1:28">
      <c r="A549" s="69" t="s">
        <v>626</v>
      </c>
      <c r="C549" s="61" t="s">
        <v>533</v>
      </c>
      <c r="D549" s="61" t="s">
        <v>577</v>
      </c>
      <c r="E549" s="61" t="s">
        <v>678</v>
      </c>
      <c r="F549" s="80">
        <f>VLOOKUP(C549,'Functional Assignment'!$C$2:$AP$780,'Functional Assignment'!$V$2,)</f>
        <v>-17482.626304005174</v>
      </c>
      <c r="G549" s="80">
        <f t="shared" si="250"/>
        <v>-14671.5601827562</v>
      </c>
      <c r="H549" s="80">
        <f t="shared" si="250"/>
        <v>-2684.829339934985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-120.62158605585792</v>
      </c>
      <c r="T549" s="80">
        <f t="shared" si="251"/>
        <v>-3.857826514051117</v>
      </c>
      <c r="U549" s="80">
        <f t="shared" si="251"/>
        <v>-1.7573687440822119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-17482.626304005174</v>
      </c>
      <c r="AB549" s="59" t="str">
        <f t="shared" si="253"/>
        <v>ok</v>
      </c>
    </row>
    <row r="550" spans="1:28">
      <c r="A550" s="69" t="s">
        <v>627</v>
      </c>
      <c r="C550" s="61" t="s">
        <v>533</v>
      </c>
      <c r="D550" s="61" t="s">
        <v>578</v>
      </c>
      <c r="E550" s="61" t="s">
        <v>697</v>
      </c>
      <c r="F550" s="80">
        <f>VLOOKUP(C550,'Functional Assignment'!$C$2:$AP$780,'Functional Assignment'!$W$2,)</f>
        <v>-26567.579103227159</v>
      </c>
      <c r="G550" s="80">
        <f t="shared" si="250"/>
        <v>-23083.513716343874</v>
      </c>
      <c r="H550" s="80">
        <f t="shared" si="250"/>
        <v>-2867.9006341584764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-608.62752612183408</v>
      </c>
      <c r="T550" s="80">
        <f t="shared" si="251"/>
        <v>-1.1622826070010255</v>
      </c>
      <c r="U550" s="80">
        <f t="shared" si="251"/>
        <v>-6.3749439959753227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-26567.579103227159</v>
      </c>
      <c r="AB550" s="59" t="str">
        <f t="shared" si="253"/>
        <v>ok</v>
      </c>
    </row>
    <row r="551" spans="1:28">
      <c r="A551" s="61" t="s">
        <v>378</v>
      </c>
      <c r="D551" s="61" t="s">
        <v>579</v>
      </c>
      <c r="F551" s="77">
        <f>SUM(F546:F550)</f>
        <v>-208849.63487545328</v>
      </c>
      <c r="G551" s="77">
        <f t="shared" ref="G551:W551" si="254">SUM(G546:G550)</f>
        <v>-155517.3559154633</v>
      </c>
      <c r="H551" s="77">
        <f t="shared" si="254"/>
        <v>-25175.679055993001</v>
      </c>
      <c r="I551" s="77">
        <f t="shared" si="254"/>
        <v>0</v>
      </c>
      <c r="J551" s="77">
        <f t="shared" si="254"/>
        <v>-797.63710350736471</v>
      </c>
      <c r="K551" s="77">
        <f t="shared" si="254"/>
        <v>-9734.3514749986371</v>
      </c>
      <c r="L551" s="77">
        <f t="shared" si="254"/>
        <v>0</v>
      </c>
      <c r="M551" s="77">
        <f t="shared" si="254"/>
        <v>0</v>
      </c>
      <c r="N551" s="77">
        <f t="shared" si="254"/>
        <v>-8264.9445645092201</v>
      </c>
      <c r="O551" s="77">
        <f>SUM(O546:O550)</f>
        <v>-4958.4164068436348</v>
      </c>
      <c r="P551" s="77">
        <f t="shared" si="254"/>
        <v>0</v>
      </c>
      <c r="Q551" s="77">
        <f t="shared" si="254"/>
        <v>-511.06696818212316</v>
      </c>
      <c r="R551" s="77">
        <f t="shared" si="254"/>
        <v>-267.61400529936043</v>
      </c>
      <c r="S551" s="77">
        <f t="shared" si="254"/>
        <v>-3556.4085706656488</v>
      </c>
      <c r="T551" s="77">
        <f t="shared" si="254"/>
        <v>-26.259106843442002</v>
      </c>
      <c r="U551" s="77">
        <f t="shared" si="254"/>
        <v>-39.901703147557377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-208849.63487545334</v>
      </c>
      <c r="AB551" s="59" t="str">
        <f t="shared" si="253"/>
        <v>ok</v>
      </c>
    </row>
    <row r="552" spans="1:28">
      <c r="F552" s="80"/>
    </row>
    <row r="553" spans="1:28" ht="15">
      <c r="A553" s="66" t="s">
        <v>634</v>
      </c>
      <c r="F553" s="80"/>
    </row>
    <row r="554" spans="1:28">
      <c r="A554" s="69" t="s">
        <v>1099</v>
      </c>
      <c r="C554" s="61" t="s">
        <v>533</v>
      </c>
      <c r="D554" s="61" t="s">
        <v>580</v>
      </c>
      <c r="E554" s="61" t="s">
        <v>1346</v>
      </c>
      <c r="F554" s="77">
        <f>VLOOKUP(C554,'Functional Assignment'!$C$2:$AP$780,'Functional Assignment'!$X$2,)</f>
        <v>-24166.2641652864</v>
      </c>
      <c r="G554" s="77">
        <f t="shared" ref="G554:P555" si="255">IF(VLOOKUP($E554,$D$6:$AN$1131,3,)=0,0,(VLOOKUP($E554,$D$6:$AN$1131,G$2,)/VLOOKUP($E554,$D$6:$AN$1131,3,))*$F554)</f>
        <v>-16766.57175353901</v>
      </c>
      <c r="H554" s="77">
        <f t="shared" si="255"/>
        <v>-3068.207008204502</v>
      </c>
      <c r="I554" s="77">
        <f t="shared" si="255"/>
        <v>0</v>
      </c>
      <c r="J554" s="77">
        <f t="shared" si="255"/>
        <v>0</v>
      </c>
      <c r="K554" s="77">
        <f t="shared" si="255"/>
        <v>-2702.1916421218257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-1485.0311182207577</v>
      </c>
      <c r="P554" s="77">
        <f t="shared" si="255"/>
        <v>0</v>
      </c>
      <c r="Q554" s="77">
        <f t="shared" ref="Q554:Z555" si="256">IF(VLOOKUP($E554,$D$6:$AN$1131,3,)=0,0,(VLOOKUP($E554,$D$6:$AN$1131,Q$2,)/VLOOKUP($E554,$D$6:$AN$1131,3,))*$F554)</f>
        <v>0</v>
      </c>
      <c r="R554" s="77">
        <f t="shared" si="256"/>
        <v>0</v>
      </c>
      <c r="S554" s="77">
        <f t="shared" si="256"/>
        <v>-137.84563144199242</v>
      </c>
      <c r="T554" s="77">
        <f t="shared" si="256"/>
        <v>-4.4087012052451016</v>
      </c>
      <c r="U554" s="77">
        <f t="shared" si="256"/>
        <v>-2.0083105530734242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-24166.264165286408</v>
      </c>
      <c r="AB554" s="59" t="str">
        <f>IF(ABS(F554-AA554)&lt;0.01,"ok","err")</f>
        <v>ok</v>
      </c>
    </row>
    <row r="555" spans="1:28">
      <c r="A555" s="69" t="s">
        <v>1102</v>
      </c>
      <c r="C555" s="61" t="s">
        <v>533</v>
      </c>
      <c r="D555" s="61" t="s">
        <v>581</v>
      </c>
      <c r="E555" s="61" t="s">
        <v>1344</v>
      </c>
      <c r="F555" s="80">
        <f>VLOOKUP(C555,'Functional Assignment'!$C$2:$AP$780,'Functional Assignment'!$Y$2,)</f>
        <v>-16900.733733508026</v>
      </c>
      <c r="G555" s="80">
        <f t="shared" si="255"/>
        <v>-14576.541393294061</v>
      </c>
      <c r="H555" s="80">
        <f t="shared" si="255"/>
        <v>-1810.9925906152966</v>
      </c>
      <c r="I555" s="80">
        <f t="shared" si="255"/>
        <v>0</v>
      </c>
      <c r="J555" s="80">
        <f t="shared" si="255"/>
        <v>0</v>
      </c>
      <c r="K555" s="80">
        <f t="shared" si="255"/>
        <v>-113.06109839282077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-11.049228618383665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-384.32989174137902</v>
      </c>
      <c r="T555" s="80">
        <f t="shared" si="256"/>
        <v>-0.7339463454240357</v>
      </c>
      <c r="U555" s="80">
        <f t="shared" si="256"/>
        <v>-4.0255845006591056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-16900.733733508019</v>
      </c>
      <c r="AB555" s="59" t="str">
        <f>IF(ABS(F555-AA555)&lt;0.01,"ok","err")</f>
        <v>ok</v>
      </c>
    </row>
    <row r="556" spans="1:28">
      <c r="A556" s="61" t="s">
        <v>712</v>
      </c>
      <c r="D556" s="61" t="s">
        <v>582</v>
      </c>
      <c r="F556" s="77">
        <f>F554+F555</f>
        <v>-41066.997898794427</v>
      </c>
      <c r="G556" s="77">
        <f t="shared" ref="G556:W556" si="257">G554+G555</f>
        <v>-31343.113146833071</v>
      </c>
      <c r="H556" s="77">
        <f t="shared" si="257"/>
        <v>-4879.1995988197987</v>
      </c>
      <c r="I556" s="77">
        <f t="shared" si="257"/>
        <v>0</v>
      </c>
      <c r="J556" s="77">
        <f t="shared" si="257"/>
        <v>0</v>
      </c>
      <c r="K556" s="77">
        <f t="shared" si="257"/>
        <v>-2815.2527405146466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-1496.0803468391414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-522.17552318337141</v>
      </c>
      <c r="T556" s="77">
        <f t="shared" si="257"/>
        <v>-5.1426475506691371</v>
      </c>
      <c r="U556" s="77">
        <f t="shared" si="257"/>
        <v>-6.0338950537325298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-41066.997898794427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354</v>
      </c>
      <c r="F558" s="80"/>
    </row>
    <row r="559" spans="1:28">
      <c r="A559" s="69" t="s">
        <v>1102</v>
      </c>
      <c r="C559" s="61" t="s">
        <v>533</v>
      </c>
      <c r="D559" s="61" t="s">
        <v>583</v>
      </c>
      <c r="E559" s="61" t="s">
        <v>1104</v>
      </c>
      <c r="F559" s="77">
        <f>VLOOKUP(C559,'Functional Assignment'!$C$2:$AP$780,'Functional Assignment'!$Z$2,)</f>
        <v>-8393.220375975623</v>
      </c>
      <c r="G559" s="77">
        <f t="shared" ref="G559:Z559" si="258">IF(VLOOKUP($E559,$D$6:$AN$1131,3,)=0,0,(VLOOKUP($E559,$D$6:$AN$1131,G$2,)/VLOOKUP($E559,$D$6:$AN$1131,3,))*$F559)</f>
        <v>-6451.1668352060151</v>
      </c>
      <c r="H559" s="77">
        <f t="shared" si="258"/>
        <v>-1623.5539466342309</v>
      </c>
      <c r="I559" s="77">
        <f t="shared" si="258"/>
        <v>0</v>
      </c>
      <c r="J559" s="77">
        <f t="shared" si="258"/>
        <v>0</v>
      </c>
      <c r="K559" s="77">
        <f t="shared" si="258"/>
        <v>-283.23938864430647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-35.260205491069982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-8393.2203759756212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353</v>
      </c>
      <c r="F561" s="80"/>
    </row>
    <row r="562" spans="1:28">
      <c r="A562" s="69" t="s">
        <v>1102</v>
      </c>
      <c r="C562" s="61" t="s">
        <v>533</v>
      </c>
      <c r="D562" s="61" t="s">
        <v>584</v>
      </c>
      <c r="E562" s="61" t="s">
        <v>1105</v>
      </c>
      <c r="F562" s="77">
        <f>VLOOKUP(C562,'Functional Assignment'!$C$2:$AP$780,'Functional Assignment'!$AA$2,)</f>
        <v>-9735.9011972790304</v>
      </c>
      <c r="G562" s="77">
        <f t="shared" ref="G562:Z562" si="259">IF(VLOOKUP($E562,$D$6:$AN$1131,3,)=0,0,(VLOOKUP($E562,$D$6:$AN$1131,G$2,)/VLOOKUP($E562,$D$6:$AN$1131,3,))*$F562)</f>
        <v>-6814.3515982562949</v>
      </c>
      <c r="H562" s="77">
        <f t="shared" si="259"/>
        <v>-2003.4584843069404</v>
      </c>
      <c r="I562" s="77">
        <f t="shared" si="259"/>
        <v>0</v>
      </c>
      <c r="J562" s="77">
        <f t="shared" si="259"/>
        <v>-77.991375500260688</v>
      </c>
      <c r="K562" s="77">
        <f t="shared" si="259"/>
        <v>-538.94943220297887</v>
      </c>
      <c r="L562" s="77">
        <f t="shared" si="259"/>
        <v>0</v>
      </c>
      <c r="M562" s="77">
        <f t="shared" si="259"/>
        <v>0</v>
      </c>
      <c r="N562" s="77">
        <f t="shared" si="259"/>
        <v>-122.12708977171101</v>
      </c>
      <c r="O562" s="77">
        <f t="shared" si="259"/>
        <v>-56.777930291417654</v>
      </c>
      <c r="P562" s="77">
        <f t="shared" si="259"/>
        <v>-99.904888800623439</v>
      </c>
      <c r="Q562" s="77">
        <f t="shared" si="259"/>
        <v>-1.1576027466512893</v>
      </c>
      <c r="R562" s="77">
        <f t="shared" si="259"/>
        <v>-1.1576027466512893</v>
      </c>
      <c r="S562" s="77">
        <f t="shared" si="259"/>
        <v>0</v>
      </c>
      <c r="T562" s="77">
        <f t="shared" si="259"/>
        <v>-3.087996998278324</v>
      </c>
      <c r="U562" s="77">
        <f t="shared" si="259"/>
        <v>-16.937195657223533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-9735.9011972790286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371</v>
      </c>
      <c r="F564" s="80"/>
    </row>
    <row r="565" spans="1:28">
      <c r="A565" s="69" t="s">
        <v>1102</v>
      </c>
      <c r="C565" s="61" t="s">
        <v>533</v>
      </c>
      <c r="D565" s="61" t="s">
        <v>585</v>
      </c>
      <c r="E565" s="61" t="s">
        <v>1106</v>
      </c>
      <c r="F565" s="77">
        <f>VLOOKUP(C565,'Functional Assignment'!$C$2:$AP$780,'Functional Assignment'!$AB$2,)</f>
        <v>-26677.088513766957</v>
      </c>
      <c r="G565" s="77">
        <f t="shared" ref="G565:Z565" si="260">IF(VLOOKUP($E565,$D$6:$AN$1131,3,)=0,0,(VLOOKUP($E565,$D$6:$AN$1131,G$2,)/VLOOKUP($E565,$D$6:$AN$1131,3,))*$F565)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-26677.088513766957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-26677.088513766957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1034</v>
      </c>
      <c r="F567" s="80"/>
    </row>
    <row r="568" spans="1:28">
      <c r="A568" s="69" t="s">
        <v>1102</v>
      </c>
      <c r="C568" s="61" t="s">
        <v>533</v>
      </c>
      <c r="D568" s="61" t="s">
        <v>586</v>
      </c>
      <c r="E568" s="61" t="s">
        <v>1107</v>
      </c>
      <c r="F568" s="77">
        <f>VLOOKUP(C568,'Functional Assignment'!$C$2:$AP$780,'Functional Assignment'!$AC$2,)</f>
        <v>0</v>
      </c>
      <c r="G568" s="77">
        <f t="shared" ref="G568:Z568" si="261">IF(VLOOKUP($E568,$D$6:$AN$1131,3,)=0,0,(VLOOKUP($E568,$D$6:$AN$1131,G$2,)/VLOOKUP($E568,$D$6:$AN$1131,3,))*$F568)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351</v>
      </c>
      <c r="F570" s="80"/>
    </row>
    <row r="571" spans="1:28">
      <c r="A571" s="69" t="s">
        <v>1102</v>
      </c>
      <c r="C571" s="61" t="s">
        <v>533</v>
      </c>
      <c r="D571" s="61" t="s">
        <v>587</v>
      </c>
      <c r="E571" s="61" t="s">
        <v>1107</v>
      </c>
      <c r="F571" s="77">
        <f>VLOOKUP(C571,'Functional Assignment'!$C$2:$AP$780,'Functional Assignment'!$AD$2,)</f>
        <v>0</v>
      </c>
      <c r="G571" s="77">
        <f t="shared" ref="G571:Z571" si="262">IF(VLOOKUP($E571,$D$6:$AN$1131,3,)=0,0,(VLOOKUP($E571,$D$6:$AN$1131,G$2,)/VLOOKUP($E571,$D$6:$AN$1131,3,))*$F571)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350</v>
      </c>
      <c r="F573" s="80"/>
    </row>
    <row r="574" spans="1:28">
      <c r="A574" s="69" t="s">
        <v>1102</v>
      </c>
      <c r="C574" s="61" t="s">
        <v>533</v>
      </c>
      <c r="D574" s="61" t="s">
        <v>588</v>
      </c>
      <c r="E574" s="61" t="s">
        <v>1108</v>
      </c>
      <c r="F574" s="77">
        <f>VLOOKUP(C574,'Functional Assignment'!$C$2:$AP$780,'Functional Assignment'!$AE$2,)</f>
        <v>0</v>
      </c>
      <c r="G574" s="77">
        <f t="shared" ref="G574:Z574" si="263">IF(VLOOKUP($E574,$D$6:$AN$1131,3,)=0,0,(VLOOKUP($E574,$D$6:$AN$1131,G$2,)/VLOOKUP($E574,$D$6:$AN$1131,3,))*$F574)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931</v>
      </c>
      <c r="D576" s="61" t="s">
        <v>1120</v>
      </c>
      <c r="F576" s="77">
        <f>F531+F537+F540+F543+F551+F556+F559+F562+F565+F568+F571+F574</f>
        <v>-1002535.0000000001</v>
      </c>
      <c r="G576" s="77">
        <f t="shared" ref="G576:Z576" si="264">G531+G537+G540+G543+G551+G556+G559+G562+G565+G568+G571+G574</f>
        <v>-519765.37878470687</v>
      </c>
      <c r="H576" s="77">
        <f t="shared" si="264"/>
        <v>-116739.38856388321</v>
      </c>
      <c r="I576" s="77">
        <f t="shared" si="264"/>
        <v>0</v>
      </c>
      <c r="J576" s="77">
        <f t="shared" si="264"/>
        <v>-9047.0723173282513</v>
      </c>
      <c r="K576" s="77">
        <f t="shared" si="264"/>
        <v>-115078.24436348377</v>
      </c>
      <c r="L576" s="77">
        <f t="shared" si="264"/>
        <v>0</v>
      </c>
      <c r="M576" s="77">
        <f t="shared" si="264"/>
        <v>0</v>
      </c>
      <c r="N576" s="77">
        <f t="shared" si="264"/>
        <v>-94023.257109805054</v>
      </c>
      <c r="O576" s="77">
        <f>O531+O537+O540+O543+O551+O556+O559+O562+O565+O568+O571+O574</f>
        <v>-60344.734418176464</v>
      </c>
      <c r="P576" s="77">
        <f t="shared" si="264"/>
        <v>-46523.420571994538</v>
      </c>
      <c r="Q576" s="77">
        <f t="shared" si="264"/>
        <v>-6010.7731081138918</v>
      </c>
      <c r="R576" s="77">
        <f t="shared" si="264"/>
        <v>-2744.05801356867</v>
      </c>
      <c r="S576" s="77">
        <f t="shared" si="264"/>
        <v>-32018.683482840475</v>
      </c>
      <c r="T576" s="77">
        <f t="shared" si="264"/>
        <v>-74.934628199725481</v>
      </c>
      <c r="U576" s="77">
        <f t="shared" si="264"/>
        <v>-165.054637899086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-1002534.9999999998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1079</v>
      </c>
    </row>
    <row r="582" spans="1:28" ht="15">
      <c r="A582" s="66" t="s">
        <v>364</v>
      </c>
    </row>
    <row r="583" spans="1:28">
      <c r="A583" s="69" t="s">
        <v>359</v>
      </c>
      <c r="C583" s="61" t="s">
        <v>1084</v>
      </c>
      <c r="D583" s="61" t="s">
        <v>562</v>
      </c>
      <c r="E583" s="61" t="s">
        <v>869</v>
      </c>
      <c r="F583" s="77">
        <f>VLOOKUP(C583,'Functional Assignment'!$C$2:$AP$780,'Functional Assignment'!$H$2,)</f>
        <v>0</v>
      </c>
      <c r="G583" s="77">
        <f t="shared" ref="G583:P588" si="265">IF(VLOOKUP($E583,$D$6:$AN$1131,3,)=0,0,(VLOOKUP($E583,$D$6:$AN$1131,G$2,)/VLOOKUP($E583,$D$6:$AN$1131,3,))*$F583)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IF(VLOOKUP($E583,$D$6:$AN$1131,3,)=0,0,(VLOOKUP($E583,$D$6:$AN$1131,Q$2,)/VLOOKUP($E583,$D$6:$AN$1131,3,))*$F583)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>
      <c r="A584" s="69" t="s">
        <v>1265</v>
      </c>
      <c r="C584" s="61" t="s">
        <v>1084</v>
      </c>
      <c r="D584" s="61" t="s">
        <v>563</v>
      </c>
      <c r="E584" s="61" t="s">
        <v>188</v>
      </c>
      <c r="F584" s="80">
        <f>VLOOKUP(C584,'Functional Assignment'!$C$2:$AP$780,'Functional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>
      <c r="A585" s="69" t="s">
        <v>1266</v>
      </c>
      <c r="C585" s="61" t="s">
        <v>1084</v>
      </c>
      <c r="D585" s="61" t="s">
        <v>564</v>
      </c>
      <c r="E585" s="61" t="s">
        <v>191</v>
      </c>
      <c r="F585" s="80">
        <f>VLOOKUP(C585,'Functional Assignment'!$C$2:$AP$780,'Functional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>
      <c r="A586" s="69" t="s">
        <v>1267</v>
      </c>
      <c r="C586" s="61" t="s">
        <v>1084</v>
      </c>
      <c r="D586" s="61" t="s">
        <v>565</v>
      </c>
      <c r="E586" s="61" t="s">
        <v>1100</v>
      </c>
      <c r="F586" s="80">
        <f>VLOOKUP(C586,'Functional Assignment'!$C$2:$AP$780,'Functional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>
      <c r="A587" s="69" t="s">
        <v>1268</v>
      </c>
      <c r="C587" s="61" t="s">
        <v>1084</v>
      </c>
      <c r="D587" s="61" t="s">
        <v>566</v>
      </c>
      <c r="E587" s="61" t="s">
        <v>1100</v>
      </c>
      <c r="F587" s="80">
        <f>VLOOKUP(C587,'Functional Assignment'!$C$2:$AP$780,'Functional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>
      <c r="A588" s="69" t="s">
        <v>1268</v>
      </c>
      <c r="C588" s="61" t="s">
        <v>1084</v>
      </c>
      <c r="D588" s="61" t="s">
        <v>567</v>
      </c>
      <c r="E588" s="61" t="s">
        <v>1100</v>
      </c>
      <c r="F588" s="80">
        <f>VLOOKUP(C588,'Functional Assignment'!$C$2:$AP$780,'Functional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>
      <c r="A589" s="61" t="s">
        <v>387</v>
      </c>
      <c r="D589" s="61" t="s">
        <v>1119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>
      <c r="F590" s="80"/>
      <c r="G590" s="80"/>
    </row>
    <row r="591" spans="1:28" ht="15">
      <c r="A591" s="66" t="s">
        <v>1140</v>
      </c>
      <c r="F591" s="80"/>
      <c r="G591" s="80"/>
    </row>
    <row r="592" spans="1:28">
      <c r="A592" s="69" t="s">
        <v>1377</v>
      </c>
      <c r="C592" s="61" t="s">
        <v>1084</v>
      </c>
      <c r="D592" s="61" t="s">
        <v>568</v>
      </c>
      <c r="E592" s="61" t="s">
        <v>1381</v>
      </c>
      <c r="F592" s="77">
        <f>VLOOKUP(C592,'Functional Assignment'!$C$2:$AP$780,'Functional Assignment'!$N$2,)</f>
        <v>0</v>
      </c>
      <c r="G592" s="77">
        <f t="shared" ref="G592:P594" si="271">IF(VLOOKUP($E592,$D$6:$AN$1131,3,)=0,0,(VLOOKUP($E592,$D$6:$AN$1131,G$2,)/VLOOKUP($E592,$D$6:$AN$1131,3,))*$F592)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IF(VLOOKUP($E592,$D$6:$AN$1131,3,)=0,0,(VLOOKUP($E592,$D$6:$AN$1131,Q$2,)/VLOOKUP($E592,$D$6:$AN$1131,3,))*$F592)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hidden="1">
      <c r="A593" s="69" t="s">
        <v>1378</v>
      </c>
      <c r="C593" s="61" t="s">
        <v>1084</v>
      </c>
      <c r="D593" s="61" t="s">
        <v>569</v>
      </c>
      <c r="E593" s="61" t="s">
        <v>188</v>
      </c>
      <c r="F593" s="80">
        <f>VLOOKUP(C593,'Functional Assignment'!$C$2:$AP$780,'Functional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hidden="1">
      <c r="A594" s="69" t="s">
        <v>1378</v>
      </c>
      <c r="C594" s="61" t="s">
        <v>1084</v>
      </c>
      <c r="D594" s="61" t="s">
        <v>570</v>
      </c>
      <c r="E594" s="61" t="s">
        <v>191</v>
      </c>
      <c r="F594" s="80">
        <f>VLOOKUP(C594,'Functional Assignment'!$C$2:$AP$780,'Functional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hidden="1">
      <c r="A595" s="61" t="s">
        <v>1142</v>
      </c>
      <c r="D595" s="61" t="s">
        <v>571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348</v>
      </c>
      <c r="F597" s="80"/>
      <c r="G597" s="80"/>
    </row>
    <row r="598" spans="1:28">
      <c r="A598" s="69" t="s">
        <v>372</v>
      </c>
      <c r="C598" s="61" t="s">
        <v>1084</v>
      </c>
      <c r="D598" s="61" t="s">
        <v>572</v>
      </c>
      <c r="E598" s="61" t="s">
        <v>1382</v>
      </c>
      <c r="F598" s="77">
        <f>VLOOKUP(C598,'Functional Assignment'!$C$2:$AP$780,'Functional Assignment'!$Q$2,)</f>
        <v>0</v>
      </c>
      <c r="G598" s="77">
        <f t="shared" ref="G598:Z598" si="274">IF(VLOOKUP($E598,$D$6:$AN$1131,3,)=0,0,(VLOOKUP($E598,$D$6:$AN$1131,G$2,)/VLOOKUP($E598,$D$6:$AN$1131,3,))*$F598)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349</v>
      </c>
      <c r="F600" s="80"/>
      <c r="G600" s="80"/>
    </row>
    <row r="601" spans="1:28">
      <c r="A601" s="69" t="s">
        <v>374</v>
      </c>
      <c r="C601" s="61" t="s">
        <v>1084</v>
      </c>
      <c r="D601" s="61" t="s">
        <v>573</v>
      </c>
      <c r="E601" s="61" t="s">
        <v>1382</v>
      </c>
      <c r="F601" s="77">
        <f>VLOOKUP(C601,'Functional Assignment'!$C$2:$AP$780,'Functional Assignment'!$R$2,)</f>
        <v>0</v>
      </c>
      <c r="G601" s="77">
        <f t="shared" ref="G601:Z601" si="275">IF(VLOOKUP($E601,$D$6:$AN$1131,3,)=0,0,(VLOOKUP($E601,$D$6:$AN$1131,G$2,)/VLOOKUP($E601,$D$6:$AN$1131,3,))*$F601)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373</v>
      </c>
      <c r="F603" s="80"/>
    </row>
    <row r="604" spans="1:28">
      <c r="A604" s="69" t="s">
        <v>623</v>
      </c>
      <c r="C604" s="61" t="s">
        <v>1084</v>
      </c>
      <c r="D604" s="61" t="s">
        <v>574</v>
      </c>
      <c r="E604" s="61" t="s">
        <v>1382</v>
      </c>
      <c r="F604" s="77">
        <f>VLOOKUP(C604,'Functional Assignment'!$C$2:$AP$780,'Functional Assignment'!$S$2,)</f>
        <v>0</v>
      </c>
      <c r="G604" s="77">
        <f t="shared" ref="G604:P608" si="276">IF(VLOOKUP($E604,$D$6:$AN$1131,3,)=0,0,(VLOOKUP($E604,$D$6:$AN$1131,G$2,)/VLOOKUP($E604,$D$6:$AN$1131,3,))*$F604)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IF(VLOOKUP($E604,$D$6:$AN$1131,3,)=0,0,(VLOOKUP($E604,$D$6:$AN$1131,Q$2,)/VLOOKUP($E604,$D$6:$AN$1131,3,))*$F604)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>
      <c r="A605" s="69" t="s">
        <v>624</v>
      </c>
      <c r="C605" s="61" t="s">
        <v>1084</v>
      </c>
      <c r="D605" s="61" t="s">
        <v>575</v>
      </c>
      <c r="E605" s="61" t="s">
        <v>1382</v>
      </c>
      <c r="F605" s="80">
        <f>VLOOKUP(C605,'Functional Assignment'!$C$2:$AP$780,'Functional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>
      <c r="A606" s="69" t="s">
        <v>625</v>
      </c>
      <c r="C606" s="61" t="s">
        <v>1084</v>
      </c>
      <c r="D606" s="61" t="s">
        <v>576</v>
      </c>
      <c r="E606" s="61" t="s">
        <v>698</v>
      </c>
      <c r="F606" s="80">
        <f>VLOOKUP(C606,'Functional Assignment'!$C$2:$AP$780,'Functional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>
      <c r="A607" s="69" t="s">
        <v>626</v>
      </c>
      <c r="C607" s="61" t="s">
        <v>1084</v>
      </c>
      <c r="D607" s="61" t="s">
        <v>577</v>
      </c>
      <c r="E607" s="61" t="s">
        <v>678</v>
      </c>
      <c r="F607" s="80">
        <f>VLOOKUP(C607,'Functional Assignment'!$C$2:$AP$780,'Functional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>
      <c r="A608" s="69" t="s">
        <v>627</v>
      </c>
      <c r="C608" s="61" t="s">
        <v>1084</v>
      </c>
      <c r="D608" s="61" t="s">
        <v>578</v>
      </c>
      <c r="E608" s="61" t="s">
        <v>697</v>
      </c>
      <c r="F608" s="80">
        <f>VLOOKUP(C608,'Functional Assignment'!$C$2:$AP$780,'Functional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>
      <c r="A609" s="61" t="s">
        <v>378</v>
      </c>
      <c r="D609" s="61" t="s">
        <v>579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>
      <c r="F610" s="80"/>
    </row>
    <row r="611" spans="1:28" ht="15">
      <c r="A611" s="66" t="s">
        <v>634</v>
      </c>
      <c r="F611" s="80"/>
    </row>
    <row r="612" spans="1:28">
      <c r="A612" s="69" t="s">
        <v>1099</v>
      </c>
      <c r="C612" s="61" t="s">
        <v>1084</v>
      </c>
      <c r="D612" s="61" t="s">
        <v>580</v>
      </c>
      <c r="E612" s="61" t="s">
        <v>1346</v>
      </c>
      <c r="F612" s="77">
        <f>VLOOKUP(C612,'Functional Assignment'!$C$2:$AP$780,'Functional Assignment'!$X$2,)</f>
        <v>0</v>
      </c>
      <c r="G612" s="77">
        <f t="shared" ref="G612:P613" si="281">IF(VLOOKUP($E612,$D$6:$AN$1131,3,)=0,0,(VLOOKUP($E612,$D$6:$AN$1131,G$2,)/VLOOKUP($E612,$D$6:$AN$1131,3,))*$F612)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IF(VLOOKUP($E612,$D$6:$AN$1131,3,)=0,0,(VLOOKUP($E612,$D$6:$AN$1131,Q$2,)/VLOOKUP($E612,$D$6:$AN$1131,3,))*$F612)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1102</v>
      </c>
      <c r="C613" s="61" t="s">
        <v>1084</v>
      </c>
      <c r="D613" s="61" t="s">
        <v>581</v>
      </c>
      <c r="E613" s="61" t="s">
        <v>1344</v>
      </c>
      <c r="F613" s="80">
        <f>VLOOKUP(C613,'Functional Assignment'!$C$2:$AP$780,'Functional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712</v>
      </c>
      <c r="D614" s="61" t="s">
        <v>582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354</v>
      </c>
      <c r="F616" s="80"/>
    </row>
    <row r="617" spans="1:28">
      <c r="A617" s="69" t="s">
        <v>1102</v>
      </c>
      <c r="C617" s="61" t="s">
        <v>1084</v>
      </c>
      <c r="D617" s="61" t="s">
        <v>583</v>
      </c>
      <c r="E617" s="61" t="s">
        <v>1104</v>
      </c>
      <c r="F617" s="77">
        <f>VLOOKUP(C617,'Functional Assignment'!$C$2:$AP$780,'Functional Assignment'!$Z$2,)</f>
        <v>0</v>
      </c>
      <c r="G617" s="77">
        <f t="shared" ref="G617:Z617" si="284">IF(VLOOKUP($E617,$D$6:$AN$1131,3,)=0,0,(VLOOKUP($E617,$D$6:$AN$1131,G$2,)/VLOOKUP($E617,$D$6:$AN$1131,3,))*$F617)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353</v>
      </c>
      <c r="F619" s="80"/>
    </row>
    <row r="620" spans="1:28">
      <c r="A620" s="69" t="s">
        <v>1102</v>
      </c>
      <c r="C620" s="61" t="s">
        <v>1084</v>
      </c>
      <c r="D620" s="61" t="s">
        <v>584</v>
      </c>
      <c r="E620" s="61" t="s">
        <v>1105</v>
      </c>
      <c r="F620" s="77">
        <f>VLOOKUP(C620,'Functional Assignment'!$C$2:$AP$780,'Functional Assignment'!$AA$2,)</f>
        <v>0</v>
      </c>
      <c r="G620" s="77">
        <f t="shared" ref="G620:Z620" si="285">IF(VLOOKUP($E620,$D$6:$AN$1131,3,)=0,0,(VLOOKUP($E620,$D$6:$AN$1131,G$2,)/VLOOKUP($E620,$D$6:$AN$1131,3,))*$F620)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371</v>
      </c>
      <c r="F622" s="80"/>
    </row>
    <row r="623" spans="1:28">
      <c r="A623" s="69" t="s">
        <v>1102</v>
      </c>
      <c r="C623" s="61" t="s">
        <v>1084</v>
      </c>
      <c r="D623" s="61" t="s">
        <v>585</v>
      </c>
      <c r="E623" s="61" t="s">
        <v>1106</v>
      </c>
      <c r="F623" s="77">
        <f>VLOOKUP(C623,'Functional Assignment'!$C$2:$AP$780,'Functional Assignment'!$AB$2,)</f>
        <v>0</v>
      </c>
      <c r="G623" s="77">
        <f t="shared" ref="G623:Z623" si="286">IF(VLOOKUP($E623,$D$6:$AN$1131,3,)=0,0,(VLOOKUP($E623,$D$6:$AN$1131,G$2,)/VLOOKUP($E623,$D$6:$AN$1131,3,))*$F623)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1034</v>
      </c>
      <c r="F625" s="80"/>
    </row>
    <row r="626" spans="1:28">
      <c r="A626" s="69" t="s">
        <v>1102</v>
      </c>
      <c r="C626" s="61" t="s">
        <v>1084</v>
      </c>
      <c r="D626" s="61" t="s">
        <v>586</v>
      </c>
      <c r="E626" s="61" t="s">
        <v>1107</v>
      </c>
      <c r="F626" s="77">
        <f>VLOOKUP(C626,'Functional Assignment'!$C$2:$AP$780,'Functional Assignment'!$AC$2,)</f>
        <v>0</v>
      </c>
      <c r="G626" s="77">
        <f t="shared" ref="G626:Z626" si="287">IF(VLOOKUP($E626,$D$6:$AN$1131,3,)=0,0,(VLOOKUP($E626,$D$6:$AN$1131,G$2,)/VLOOKUP($E626,$D$6:$AN$1131,3,))*$F626)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351</v>
      </c>
      <c r="F628" s="80"/>
    </row>
    <row r="629" spans="1:28">
      <c r="A629" s="69" t="s">
        <v>1102</v>
      </c>
      <c r="C629" s="61" t="s">
        <v>1084</v>
      </c>
      <c r="D629" s="61" t="s">
        <v>587</v>
      </c>
      <c r="E629" s="61" t="s">
        <v>1107</v>
      </c>
      <c r="F629" s="77">
        <f>VLOOKUP(C629,'Functional Assignment'!$C$2:$AP$780,'Functional Assignment'!$AD$2,)</f>
        <v>0</v>
      </c>
      <c r="G629" s="77">
        <f t="shared" ref="G629:Z629" si="288">IF(VLOOKUP($E629,$D$6:$AN$1131,3,)=0,0,(VLOOKUP($E629,$D$6:$AN$1131,G$2,)/VLOOKUP($E629,$D$6:$AN$1131,3,))*$F629)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350</v>
      </c>
      <c r="F631" s="80"/>
    </row>
    <row r="632" spans="1:28">
      <c r="A632" s="69" t="s">
        <v>1102</v>
      </c>
      <c r="C632" s="61" t="s">
        <v>1084</v>
      </c>
      <c r="D632" s="61" t="s">
        <v>588</v>
      </c>
      <c r="E632" s="61" t="s">
        <v>1108</v>
      </c>
      <c r="F632" s="77">
        <f>VLOOKUP(C632,'Functional Assignment'!$C$2:$AP$780,'Functional Assignment'!$AE$2,)</f>
        <v>0</v>
      </c>
      <c r="G632" s="77">
        <f t="shared" ref="G632:Z632" si="289">IF(VLOOKUP($E632,$D$6:$AN$1131,3,)=0,0,(VLOOKUP($E632,$D$6:$AN$1131,G$2,)/VLOOKUP($E632,$D$6:$AN$1131,3,))*$F632)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931</v>
      </c>
      <c r="D634" s="61" t="s">
        <v>1120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806</v>
      </c>
    </row>
    <row r="639" spans="1:28" ht="15">
      <c r="A639" s="66" t="s">
        <v>364</v>
      </c>
    </row>
    <row r="640" spans="1:28">
      <c r="A640" s="69" t="s">
        <v>359</v>
      </c>
      <c r="C640" s="61" t="s">
        <v>1085</v>
      </c>
      <c r="D640" s="61" t="s">
        <v>807</v>
      </c>
      <c r="E640" s="61" t="s">
        <v>869</v>
      </c>
      <c r="F640" s="77">
        <f>VLOOKUP(C640,'Functional Assignment'!$C$2:$AP$780,'Functional Assignment'!$H$2,)</f>
        <v>12024043.976316927</v>
      </c>
      <c r="G640" s="77">
        <f t="shared" ref="G640:P645" si="291">IF(VLOOKUP($E640,$D$6:$AN$1131,3,)=0,0,(VLOOKUP($E640,$D$6:$AN$1131,G$2,)/VLOOKUP($E640,$D$6:$AN$1131,3,))*$F640)</f>
        <v>5423936.6648248723</v>
      </c>
      <c r="H640" s="77">
        <f t="shared" si="291"/>
        <v>1370406.6275346205</v>
      </c>
      <c r="I640" s="77">
        <f t="shared" si="291"/>
        <v>0</v>
      </c>
      <c r="J640" s="77">
        <f t="shared" si="291"/>
        <v>138645.42538255951</v>
      </c>
      <c r="K640" s="77">
        <f t="shared" si="291"/>
        <v>1755574.4720747622</v>
      </c>
      <c r="L640" s="77">
        <f t="shared" si="291"/>
        <v>0</v>
      </c>
      <c r="M640" s="77">
        <f t="shared" si="291"/>
        <v>0</v>
      </c>
      <c r="N640" s="77">
        <f t="shared" si="291"/>
        <v>1450197.7234544961</v>
      </c>
      <c r="O640" s="77">
        <f t="shared" si="291"/>
        <v>924002.36595284112</v>
      </c>
      <c r="P640" s="77">
        <f t="shared" si="291"/>
        <v>821930.4205308524</v>
      </c>
      <c r="Q640" s="77">
        <f t="shared" ref="Q640:Z645" si="292">IF(VLOOKUP($E640,$D$6:$AN$1131,3,)=0,0,(VLOOKUP($E640,$D$6:$AN$1131,Q$2,)/VLOOKUP($E640,$D$6:$AN$1131,3,))*$F640)</f>
        <v>93946.455225888276</v>
      </c>
      <c r="R640" s="77">
        <f t="shared" si="292"/>
        <v>40584.477872611322</v>
      </c>
      <c r="S640" s="77">
        <f t="shared" si="292"/>
        <v>2896.7653968482227</v>
      </c>
      <c r="T640" s="77">
        <f t="shared" si="292"/>
        <v>93.716242815513752</v>
      </c>
      <c r="U640" s="77">
        <f t="shared" si="292"/>
        <v>1828.8618237590631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12024043.976316929</v>
      </c>
      <c r="AB640" s="59" t="str">
        <f t="shared" ref="AB640:AB646" si="294">IF(ABS(F640-AA640)&lt;0.01,"ok","err")</f>
        <v>ok</v>
      </c>
    </row>
    <row r="641" spans="1:28">
      <c r="A641" s="69" t="s">
        <v>1265</v>
      </c>
      <c r="C641" s="61" t="s">
        <v>1085</v>
      </c>
      <c r="D641" s="61" t="s">
        <v>808</v>
      </c>
      <c r="E641" s="61" t="s">
        <v>188</v>
      </c>
      <c r="F641" s="80">
        <f>VLOOKUP(C641,'Functional Assignment'!$C$2:$AP$780,'Functional Assignment'!$I$2,)</f>
        <v>12595947.11891138</v>
      </c>
      <c r="G641" s="80">
        <f t="shared" si="291"/>
        <v>5681916.9608015325</v>
      </c>
      <c r="H641" s="80">
        <f t="shared" si="291"/>
        <v>1435587.6813018059</v>
      </c>
      <c r="I641" s="80">
        <f t="shared" si="291"/>
        <v>0</v>
      </c>
      <c r="J641" s="80">
        <f t="shared" si="291"/>
        <v>145239.85855652386</v>
      </c>
      <c r="K641" s="80">
        <f t="shared" si="291"/>
        <v>1839075.3773954441</v>
      </c>
      <c r="L641" s="80">
        <f t="shared" si="291"/>
        <v>0</v>
      </c>
      <c r="M641" s="80">
        <f t="shared" si="291"/>
        <v>0</v>
      </c>
      <c r="N641" s="80">
        <f t="shared" si="291"/>
        <v>1519173.9046012482</v>
      </c>
      <c r="O641" s="80">
        <f t="shared" si="291"/>
        <v>967950.96243951214</v>
      </c>
      <c r="P641" s="80">
        <f t="shared" si="291"/>
        <v>861024.13903532841</v>
      </c>
      <c r="Q641" s="80">
        <f t="shared" si="292"/>
        <v>98414.858126370018</v>
      </c>
      <c r="R641" s="80">
        <f t="shared" si="292"/>
        <v>42514.809338598774</v>
      </c>
      <c r="S641" s="80">
        <f t="shared" si="292"/>
        <v>3034.5451020022801</v>
      </c>
      <c r="T641" s="80">
        <f t="shared" si="292"/>
        <v>98.173696055364118</v>
      </c>
      <c r="U641" s="80">
        <f t="shared" si="292"/>
        <v>1915.8485169580354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12595947.118911382</v>
      </c>
      <c r="AB641" s="59" t="str">
        <f t="shared" si="294"/>
        <v>ok</v>
      </c>
    </row>
    <row r="642" spans="1:28">
      <c r="A642" s="69" t="s">
        <v>1266</v>
      </c>
      <c r="C642" s="61" t="s">
        <v>1085</v>
      </c>
      <c r="D642" s="61" t="s">
        <v>809</v>
      </c>
      <c r="E642" s="61" t="s">
        <v>191</v>
      </c>
      <c r="F642" s="80">
        <f>VLOOKUP(C642,'Functional Assignment'!$C$2:$AP$780,'Functional Assignment'!$J$2,)</f>
        <v>10353826.057951551</v>
      </c>
      <c r="G642" s="80">
        <f t="shared" si="291"/>
        <v>4670516.5822376208</v>
      </c>
      <c r="H642" s="80">
        <f t="shared" si="291"/>
        <v>1180048.2331987994</v>
      </c>
      <c r="I642" s="80">
        <f t="shared" si="291"/>
        <v>0</v>
      </c>
      <c r="J642" s="80">
        <f t="shared" si="291"/>
        <v>119386.67398166252</v>
      </c>
      <c r="K642" s="80">
        <f t="shared" si="291"/>
        <v>1511713.758818933</v>
      </c>
      <c r="L642" s="80">
        <f t="shared" si="291"/>
        <v>0</v>
      </c>
      <c r="M642" s="80">
        <f t="shared" si="291"/>
        <v>0</v>
      </c>
      <c r="N642" s="80">
        <f t="shared" si="291"/>
        <v>1248755.8268964714</v>
      </c>
      <c r="O642" s="80">
        <f t="shared" si="291"/>
        <v>795652.4271746598</v>
      </c>
      <c r="P642" s="80">
        <f t="shared" si="291"/>
        <v>707758.93889587582</v>
      </c>
      <c r="Q642" s="80">
        <f t="shared" si="292"/>
        <v>80896.681522943749</v>
      </c>
      <c r="R642" s="80">
        <f t="shared" si="292"/>
        <v>34947.029915513805</v>
      </c>
      <c r="S642" s="80">
        <f t="shared" si="292"/>
        <v>2494.3858412971722</v>
      </c>
      <c r="T642" s="80">
        <f t="shared" si="292"/>
        <v>80.698447113780389</v>
      </c>
      <c r="U642" s="80">
        <f t="shared" si="292"/>
        <v>1574.8210206587721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10353826.057951549</v>
      </c>
      <c r="AB642" s="59" t="str">
        <f t="shared" si="294"/>
        <v>ok</v>
      </c>
    </row>
    <row r="643" spans="1:28">
      <c r="A643" s="69" t="s">
        <v>1267</v>
      </c>
      <c r="C643" s="61" t="s">
        <v>1085</v>
      </c>
      <c r="D643" s="61" t="s">
        <v>810</v>
      </c>
      <c r="E643" s="61" t="s">
        <v>1100</v>
      </c>
      <c r="F643" s="80">
        <f>VLOOKUP(C643,'Functional Assignment'!$C$2:$AP$780,'Functional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>
      <c r="A644" s="69" t="s">
        <v>1268</v>
      </c>
      <c r="C644" s="61" t="s">
        <v>1085</v>
      </c>
      <c r="D644" s="61" t="s">
        <v>811</v>
      </c>
      <c r="E644" s="61" t="s">
        <v>1100</v>
      </c>
      <c r="F644" s="80">
        <f>VLOOKUP(C644,'Functional Assignment'!$C$2:$AP$780,'Functional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>
      <c r="A645" s="69" t="s">
        <v>1268</v>
      </c>
      <c r="C645" s="61" t="s">
        <v>1085</v>
      </c>
      <c r="D645" s="61" t="s">
        <v>812</v>
      </c>
      <c r="E645" s="61" t="s">
        <v>1100</v>
      </c>
      <c r="F645" s="80">
        <f>VLOOKUP(C645,'Functional Assignment'!$C$2:$AP$780,'Functional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>
      <c r="A646" s="61" t="s">
        <v>387</v>
      </c>
      <c r="D646" s="61" t="s">
        <v>813</v>
      </c>
      <c r="F646" s="77">
        <f>SUM(F640:F645)</f>
        <v>34973817.153179854</v>
      </c>
      <c r="G646" s="77">
        <f t="shared" ref="G646:W646" si="295">SUM(G640:G645)</f>
        <v>15776370.207864024</v>
      </c>
      <c r="H646" s="77">
        <f t="shared" si="295"/>
        <v>3986042.5420352258</v>
      </c>
      <c r="I646" s="77">
        <f t="shared" si="295"/>
        <v>0</v>
      </c>
      <c r="J646" s="77">
        <f t="shared" si="295"/>
        <v>403271.95792074583</v>
      </c>
      <c r="K646" s="77">
        <f t="shared" si="295"/>
        <v>5106363.6082891393</v>
      </c>
      <c r="L646" s="77">
        <f t="shared" si="295"/>
        <v>0</v>
      </c>
      <c r="M646" s="77">
        <f t="shared" si="295"/>
        <v>0</v>
      </c>
      <c r="N646" s="77">
        <f t="shared" si="295"/>
        <v>4218127.4549522158</v>
      </c>
      <c r="O646" s="77">
        <f>SUM(O640:O645)</f>
        <v>2687605.7555670133</v>
      </c>
      <c r="P646" s="77">
        <f t="shared" si="295"/>
        <v>2390713.4984620567</v>
      </c>
      <c r="Q646" s="77">
        <f t="shared" si="295"/>
        <v>273257.99487520207</v>
      </c>
      <c r="R646" s="77">
        <f t="shared" si="295"/>
        <v>118046.31712672389</v>
      </c>
      <c r="S646" s="77">
        <f t="shared" si="295"/>
        <v>8425.6963401476751</v>
      </c>
      <c r="T646" s="77">
        <f t="shared" si="295"/>
        <v>272.58838598465826</v>
      </c>
      <c r="U646" s="77">
        <f t="shared" si="295"/>
        <v>5319.5313613758708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34973817.153179862</v>
      </c>
      <c r="AB646" s="59" t="str">
        <f t="shared" si="294"/>
        <v>ok</v>
      </c>
    </row>
    <row r="647" spans="1:28">
      <c r="F647" s="80"/>
      <c r="G647" s="80"/>
    </row>
    <row r="648" spans="1:28" ht="15">
      <c r="A648" s="66" t="s">
        <v>1140</v>
      </c>
      <c r="F648" s="80"/>
      <c r="G648" s="80"/>
    </row>
    <row r="649" spans="1:28">
      <c r="A649" s="69" t="s">
        <v>1377</v>
      </c>
      <c r="C649" s="61" t="s">
        <v>1085</v>
      </c>
      <c r="D649" s="61" t="s">
        <v>814</v>
      </c>
      <c r="E649" s="61" t="s">
        <v>1381</v>
      </c>
      <c r="F649" s="77">
        <f>VLOOKUP(C649,'Functional Assignment'!$C$2:$AP$780,'Functional Assignment'!$N$2,)</f>
        <v>6623862.5730136754</v>
      </c>
      <c r="G649" s="77">
        <f t="shared" ref="G649:P651" si="296">IF(VLOOKUP($E649,$D$6:$AN$1131,3,)=0,0,(VLOOKUP($E649,$D$6:$AN$1131,G$2,)/VLOOKUP($E649,$D$6:$AN$1131,3,))*$F649)</f>
        <v>2943564.3996685096</v>
      </c>
      <c r="H649" s="77">
        <f t="shared" si="296"/>
        <v>847296.81870976905</v>
      </c>
      <c r="I649" s="77">
        <f t="shared" si="296"/>
        <v>0</v>
      </c>
      <c r="J649" s="77">
        <f t="shared" si="296"/>
        <v>75283.064283682295</v>
      </c>
      <c r="K649" s="77">
        <f t="shared" si="296"/>
        <v>873781.02974379854</v>
      </c>
      <c r="L649" s="77">
        <f t="shared" si="296"/>
        <v>0</v>
      </c>
      <c r="M649" s="77">
        <f t="shared" si="296"/>
        <v>0</v>
      </c>
      <c r="N649" s="77">
        <f t="shared" si="296"/>
        <v>794874.10396396159</v>
      </c>
      <c r="O649" s="77">
        <f t="shared" si="296"/>
        <v>471954.52586256748</v>
      </c>
      <c r="P649" s="77">
        <f t="shared" si="296"/>
        <v>488858.83559116413</v>
      </c>
      <c r="Q649" s="77">
        <f t="shared" ref="Q649:Z651" si="297">IF(VLOOKUP($E649,$D$6:$AN$1131,3,)=0,0,(VLOOKUP($E649,$D$6:$AN$1131,Q$2,)/VLOOKUP($E649,$D$6:$AN$1131,3,))*$F649)</f>
        <v>49279.123037503829</v>
      </c>
      <c r="R649" s="77">
        <f t="shared" si="297"/>
        <v>25793.401984277523</v>
      </c>
      <c r="S649" s="77">
        <f t="shared" si="297"/>
        <v>50811.868007660283</v>
      </c>
      <c r="T649" s="77">
        <f t="shared" si="297"/>
        <v>1625.1102148303889</v>
      </c>
      <c r="U649" s="77">
        <f t="shared" si="297"/>
        <v>740.2919459518788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6623862.5730136763</v>
      </c>
      <c r="AB649" s="59" t="str">
        <f>IF(ABS(F649-AA649)&lt;0.01,"ok","err")</f>
        <v>ok</v>
      </c>
    </row>
    <row r="650" spans="1:28" hidden="1">
      <c r="A650" s="69" t="s">
        <v>1378</v>
      </c>
      <c r="C650" s="61" t="s">
        <v>1085</v>
      </c>
      <c r="D650" s="61" t="s">
        <v>815</v>
      </c>
      <c r="E650" s="61" t="s">
        <v>188</v>
      </c>
      <c r="F650" s="80">
        <f>VLOOKUP(C650,'Functional Assignment'!$C$2:$AP$780,'Functional Assignment'!$O$2,)</f>
        <v>0</v>
      </c>
      <c r="G650" s="80">
        <f t="shared" si="296"/>
        <v>0</v>
      </c>
      <c r="H650" s="80">
        <f t="shared" si="296"/>
        <v>0</v>
      </c>
      <c r="I650" s="80">
        <f t="shared" si="296"/>
        <v>0</v>
      </c>
      <c r="J650" s="80">
        <f t="shared" si="296"/>
        <v>0</v>
      </c>
      <c r="K650" s="80">
        <f t="shared" si="296"/>
        <v>0</v>
      </c>
      <c r="L650" s="80">
        <f t="shared" si="296"/>
        <v>0</v>
      </c>
      <c r="M650" s="80">
        <f t="shared" si="296"/>
        <v>0</v>
      </c>
      <c r="N650" s="80">
        <f t="shared" si="296"/>
        <v>0</v>
      </c>
      <c r="O650" s="80">
        <f t="shared" si="296"/>
        <v>0</v>
      </c>
      <c r="P650" s="80">
        <f t="shared" si="296"/>
        <v>0</v>
      </c>
      <c r="Q650" s="80">
        <f t="shared" si="297"/>
        <v>0</v>
      </c>
      <c r="R650" s="80">
        <f t="shared" si="297"/>
        <v>0</v>
      </c>
      <c r="S650" s="80">
        <f t="shared" si="297"/>
        <v>0</v>
      </c>
      <c r="T650" s="80">
        <f t="shared" si="297"/>
        <v>0</v>
      </c>
      <c r="U650" s="80">
        <f t="shared" si="297"/>
        <v>0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0</v>
      </c>
      <c r="AB650" s="59" t="str">
        <f>IF(ABS(F650-AA650)&lt;0.01,"ok","err")</f>
        <v>ok</v>
      </c>
    </row>
    <row r="651" spans="1:28" hidden="1">
      <c r="A651" s="69" t="s">
        <v>1378</v>
      </c>
      <c r="C651" s="61" t="s">
        <v>1085</v>
      </c>
      <c r="D651" s="61" t="s">
        <v>816</v>
      </c>
      <c r="E651" s="61" t="s">
        <v>191</v>
      </c>
      <c r="F651" s="80">
        <f>VLOOKUP(C651,'Functional Assignment'!$C$2:$AP$780,'Functional Assignment'!$P$2,)</f>
        <v>0</v>
      </c>
      <c r="G651" s="80">
        <f t="shared" si="296"/>
        <v>0</v>
      </c>
      <c r="H651" s="80">
        <f t="shared" si="296"/>
        <v>0</v>
      </c>
      <c r="I651" s="80">
        <f t="shared" si="296"/>
        <v>0</v>
      </c>
      <c r="J651" s="80">
        <f t="shared" si="296"/>
        <v>0</v>
      </c>
      <c r="K651" s="80">
        <f t="shared" si="296"/>
        <v>0</v>
      </c>
      <c r="L651" s="80">
        <f t="shared" si="296"/>
        <v>0</v>
      </c>
      <c r="M651" s="80">
        <f t="shared" si="296"/>
        <v>0</v>
      </c>
      <c r="N651" s="80">
        <f t="shared" si="296"/>
        <v>0</v>
      </c>
      <c r="O651" s="80">
        <f t="shared" si="296"/>
        <v>0</v>
      </c>
      <c r="P651" s="80">
        <f t="shared" si="296"/>
        <v>0</v>
      </c>
      <c r="Q651" s="80">
        <f t="shared" si="297"/>
        <v>0</v>
      </c>
      <c r="R651" s="80">
        <f t="shared" si="297"/>
        <v>0</v>
      </c>
      <c r="S651" s="80">
        <f t="shared" si="297"/>
        <v>0</v>
      </c>
      <c r="T651" s="80">
        <f t="shared" si="297"/>
        <v>0</v>
      </c>
      <c r="U651" s="80">
        <f t="shared" si="297"/>
        <v>0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0</v>
      </c>
      <c r="AB651" s="59" t="str">
        <f>IF(ABS(F651-AA651)&lt;0.01,"ok","err")</f>
        <v>ok</v>
      </c>
    </row>
    <row r="652" spans="1:28" hidden="1">
      <c r="A652" s="61" t="s">
        <v>1142</v>
      </c>
      <c r="D652" s="61" t="s">
        <v>817</v>
      </c>
      <c r="F652" s="77">
        <f>SUM(F649:F651)</f>
        <v>6623862.5730136754</v>
      </c>
      <c r="G652" s="77">
        <f t="shared" ref="G652:W652" si="298">SUM(G649:G651)</f>
        <v>2943564.3996685096</v>
      </c>
      <c r="H652" s="77">
        <f t="shared" si="298"/>
        <v>847296.81870976905</v>
      </c>
      <c r="I652" s="77">
        <f t="shared" si="298"/>
        <v>0</v>
      </c>
      <c r="J652" s="77">
        <f t="shared" si="298"/>
        <v>75283.064283682295</v>
      </c>
      <c r="K652" s="77">
        <f t="shared" si="298"/>
        <v>873781.02974379854</v>
      </c>
      <c r="L652" s="77">
        <f t="shared" si="298"/>
        <v>0</v>
      </c>
      <c r="M652" s="77">
        <f t="shared" si="298"/>
        <v>0</v>
      </c>
      <c r="N652" s="77">
        <f t="shared" si="298"/>
        <v>794874.10396396159</v>
      </c>
      <c r="O652" s="77">
        <f>SUM(O649:O651)</f>
        <v>471954.52586256748</v>
      </c>
      <c r="P652" s="77">
        <f t="shared" si="298"/>
        <v>488858.83559116413</v>
      </c>
      <c r="Q652" s="77">
        <f t="shared" si="298"/>
        <v>49279.123037503829</v>
      </c>
      <c r="R652" s="77">
        <f t="shared" si="298"/>
        <v>25793.401984277523</v>
      </c>
      <c r="S652" s="77">
        <f t="shared" si="298"/>
        <v>50811.868007660283</v>
      </c>
      <c r="T652" s="77">
        <f t="shared" si="298"/>
        <v>1625.1102148303889</v>
      </c>
      <c r="U652" s="77">
        <f t="shared" si="298"/>
        <v>740.2919459518788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6623862.5730136763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348</v>
      </c>
      <c r="F654" s="80"/>
      <c r="G654" s="80"/>
    </row>
    <row r="655" spans="1:28">
      <c r="A655" s="69" t="s">
        <v>372</v>
      </c>
      <c r="C655" s="61" t="s">
        <v>1085</v>
      </c>
      <c r="D655" s="61" t="s">
        <v>818</v>
      </c>
      <c r="E655" s="61" t="s">
        <v>1382</v>
      </c>
      <c r="F655" s="77">
        <f>VLOOKUP(C655,'Functional Assignment'!$C$2:$AP$780,'Functional Assignment'!$Q$2,)</f>
        <v>0</v>
      </c>
      <c r="G655" s="77">
        <f t="shared" ref="G655:Z655" si="299">IF(VLOOKUP($E655,$D$6:$AN$1131,3,)=0,0,(VLOOKUP($E655,$D$6:$AN$1131,G$2,)/VLOOKUP($E655,$D$6:$AN$1131,3,))*$F655)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349</v>
      </c>
      <c r="F657" s="80"/>
      <c r="G657" s="80"/>
    </row>
    <row r="658" spans="1:28">
      <c r="A658" s="69" t="s">
        <v>374</v>
      </c>
      <c r="C658" s="61" t="s">
        <v>1085</v>
      </c>
      <c r="D658" s="61" t="s">
        <v>819</v>
      </c>
      <c r="E658" s="61" t="s">
        <v>1382</v>
      </c>
      <c r="F658" s="77">
        <f>VLOOKUP(C658,'Functional Assignment'!$C$2:$AP$780,'Functional Assignment'!$R$2,)</f>
        <v>2306713.8857077891</v>
      </c>
      <c r="G658" s="77">
        <f t="shared" ref="G658:Z658" si="300">IF(VLOOKUP($E658,$D$6:$AN$1131,3,)=0,0,(VLOOKUP($E658,$D$6:$AN$1131,G$2,)/VLOOKUP($E658,$D$6:$AN$1131,3,))*$F658)</f>
        <v>1106757.4144695008</v>
      </c>
      <c r="H658" s="77">
        <f t="shared" si="300"/>
        <v>318577.04097422247</v>
      </c>
      <c r="I658" s="77">
        <f t="shared" si="300"/>
        <v>0</v>
      </c>
      <c r="J658" s="77">
        <f t="shared" si="300"/>
        <v>28305.849054748916</v>
      </c>
      <c r="K658" s="77">
        <f t="shared" si="300"/>
        <v>328534.89918571198</v>
      </c>
      <c r="L658" s="77">
        <f t="shared" si="300"/>
        <v>0</v>
      </c>
      <c r="M658" s="77">
        <f t="shared" si="300"/>
        <v>0</v>
      </c>
      <c r="N658" s="77">
        <f t="shared" si="300"/>
        <v>298866.50627755473</v>
      </c>
      <c r="O658" s="77">
        <f t="shared" si="300"/>
        <v>177451.24613195405</v>
      </c>
      <c r="P658" s="77">
        <f t="shared" si="300"/>
        <v>0</v>
      </c>
      <c r="Q658" s="77">
        <f t="shared" si="300"/>
        <v>18528.568563491997</v>
      </c>
      <c r="R658" s="77">
        <f t="shared" si="300"/>
        <v>9698.1193595446093</v>
      </c>
      <c r="S658" s="77">
        <f t="shared" si="300"/>
        <v>19104.868800171898</v>
      </c>
      <c r="T658" s="77">
        <f t="shared" si="300"/>
        <v>611.02885324887291</v>
      </c>
      <c r="U658" s="77">
        <f t="shared" si="300"/>
        <v>278.34403763904919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2306713.8857077891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373</v>
      </c>
      <c r="F660" s="80"/>
    </row>
    <row r="661" spans="1:28">
      <c r="A661" s="69" t="s">
        <v>623</v>
      </c>
      <c r="C661" s="61" t="s">
        <v>1085</v>
      </c>
      <c r="D661" s="61" t="s">
        <v>820</v>
      </c>
      <c r="E661" s="61" t="s">
        <v>1382</v>
      </c>
      <c r="F661" s="77">
        <f>VLOOKUP(C661,'Functional Assignment'!$C$2:$AP$780,'Functional Assignment'!$S$2,)</f>
        <v>0</v>
      </c>
      <c r="G661" s="77">
        <f t="shared" ref="G661:P665" si="301">IF(VLOOKUP($E661,$D$6:$AN$1131,3,)=0,0,(VLOOKUP($E661,$D$6:$AN$1131,G$2,)/VLOOKUP($E661,$D$6:$AN$1131,3,))*$F661)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IF(VLOOKUP($E661,$D$6:$AN$1131,3,)=0,0,(VLOOKUP($E661,$D$6:$AN$1131,Q$2,)/VLOOKUP($E661,$D$6:$AN$1131,3,))*$F661)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>
      <c r="A662" s="69" t="s">
        <v>624</v>
      </c>
      <c r="C662" s="61" t="s">
        <v>1085</v>
      </c>
      <c r="D662" s="61" t="s">
        <v>821</v>
      </c>
      <c r="E662" s="61" t="s">
        <v>1382</v>
      </c>
      <c r="F662" s="80">
        <f>VLOOKUP(C662,'Functional Assignment'!$C$2:$AP$780,'Functional Assignment'!$T$2,)</f>
        <v>3944718.0132878879</v>
      </c>
      <c r="G662" s="80">
        <f t="shared" si="301"/>
        <v>1892669.0198763676</v>
      </c>
      <c r="H662" s="80">
        <f t="shared" si="301"/>
        <v>544799.5089193153</v>
      </c>
      <c r="I662" s="80">
        <f t="shared" si="301"/>
        <v>0</v>
      </c>
      <c r="J662" s="80">
        <f t="shared" si="301"/>
        <v>48405.913424939048</v>
      </c>
      <c r="K662" s="80">
        <f t="shared" si="301"/>
        <v>561828.47072685056</v>
      </c>
      <c r="L662" s="80">
        <f t="shared" si="301"/>
        <v>0</v>
      </c>
      <c r="M662" s="80">
        <f t="shared" si="301"/>
        <v>0</v>
      </c>
      <c r="N662" s="80">
        <f t="shared" si="301"/>
        <v>511092.46716124145</v>
      </c>
      <c r="O662" s="80">
        <f t="shared" si="301"/>
        <v>303459.88353137963</v>
      </c>
      <c r="P662" s="80">
        <f t="shared" si="301"/>
        <v>0</v>
      </c>
      <c r="Q662" s="80">
        <f t="shared" si="302"/>
        <v>31685.758093236491</v>
      </c>
      <c r="R662" s="80">
        <f t="shared" si="302"/>
        <v>16584.781653955793</v>
      </c>
      <c r="S662" s="80">
        <f t="shared" si="302"/>
        <v>32671.290776235764</v>
      </c>
      <c r="T662" s="80">
        <f t="shared" si="302"/>
        <v>1044.9221895197834</v>
      </c>
      <c r="U662" s="80">
        <f t="shared" si="302"/>
        <v>475.99693484705136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3944718.0132878879</v>
      </c>
      <c r="AB662" s="59" t="str">
        <f t="shared" si="304"/>
        <v>ok</v>
      </c>
    </row>
    <row r="663" spans="1:28">
      <c r="A663" s="69" t="s">
        <v>625</v>
      </c>
      <c r="C663" s="61" t="s">
        <v>1085</v>
      </c>
      <c r="D663" s="61" t="s">
        <v>822</v>
      </c>
      <c r="E663" s="61" t="s">
        <v>698</v>
      </c>
      <c r="F663" s="80">
        <f>VLOOKUP(C663,'Functional Assignment'!$C$2:$AP$780,'Functional Assignment'!$U$2,)</f>
        <v>6277512.483060318</v>
      </c>
      <c r="G663" s="80">
        <f t="shared" si="301"/>
        <v>5411926.599366107</v>
      </c>
      <c r="H663" s="80">
        <f t="shared" si="301"/>
        <v>672378.90717442683</v>
      </c>
      <c r="I663" s="80">
        <f t="shared" si="301"/>
        <v>0</v>
      </c>
      <c r="J663" s="80">
        <f t="shared" si="301"/>
        <v>1070.1700226929004</v>
      </c>
      <c r="K663" s="80">
        <f t="shared" si="301"/>
        <v>41976.923691044431</v>
      </c>
      <c r="L663" s="80">
        <f t="shared" si="301"/>
        <v>0</v>
      </c>
      <c r="M663" s="80">
        <f t="shared" si="301"/>
        <v>0</v>
      </c>
      <c r="N663" s="80">
        <f t="shared" si="301"/>
        <v>1568.0963526958471</v>
      </c>
      <c r="O663" s="80">
        <f t="shared" si="301"/>
        <v>4102.3184203227847</v>
      </c>
      <c r="P663" s="80">
        <f t="shared" si="301"/>
        <v>0</v>
      </c>
      <c r="Q663" s="80">
        <f t="shared" si="302"/>
        <v>14.863472537401394</v>
      </c>
      <c r="R663" s="80">
        <f t="shared" si="302"/>
        <v>14.863472537401394</v>
      </c>
      <c r="S663" s="80">
        <f t="shared" si="302"/>
        <v>142692.63935295059</v>
      </c>
      <c r="T663" s="80">
        <f t="shared" si="302"/>
        <v>272.49699651902552</v>
      </c>
      <c r="U663" s="80">
        <f t="shared" si="302"/>
        <v>1494.6047384831402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6277512.4830603162</v>
      </c>
      <c r="AB663" s="59" t="str">
        <f t="shared" si="304"/>
        <v>ok</v>
      </c>
    </row>
    <row r="664" spans="1:28">
      <c r="A664" s="69" t="s">
        <v>626</v>
      </c>
      <c r="C664" s="61" t="s">
        <v>1085</v>
      </c>
      <c r="D664" s="61" t="s">
        <v>823</v>
      </c>
      <c r="E664" s="61" t="s">
        <v>678</v>
      </c>
      <c r="F664" s="80">
        <f>VLOOKUP(C664,'Functional Assignment'!$C$2:$AP$780,'Functional Assignment'!$V$2,)</f>
        <v>1084417.8061643278</v>
      </c>
      <c r="G664" s="80">
        <f t="shared" si="301"/>
        <v>910052.11858515011</v>
      </c>
      <c r="H664" s="80">
        <f t="shared" si="301"/>
        <v>166535.43306996804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7481.953423484696</v>
      </c>
      <c r="T664" s="80">
        <f t="shared" si="302"/>
        <v>239.29446824425185</v>
      </c>
      <c r="U664" s="80">
        <f t="shared" si="302"/>
        <v>109.00661748073867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1084417.8061643278</v>
      </c>
      <c r="AB664" s="59" t="str">
        <f t="shared" si="304"/>
        <v>ok</v>
      </c>
    </row>
    <row r="665" spans="1:28">
      <c r="A665" s="69" t="s">
        <v>627</v>
      </c>
      <c r="C665" s="61" t="s">
        <v>1085</v>
      </c>
      <c r="D665" s="61" t="s">
        <v>824</v>
      </c>
      <c r="E665" s="61" t="s">
        <v>697</v>
      </c>
      <c r="F665" s="80">
        <f>VLOOKUP(C665,'Functional Assignment'!$C$2:$AP$780,'Functional Assignment'!$W$2,)</f>
        <v>1647942.0966413119</v>
      </c>
      <c r="G665" s="80">
        <f t="shared" si="301"/>
        <v>1431831.4003604285</v>
      </c>
      <c r="H665" s="80">
        <f t="shared" si="301"/>
        <v>177891.03650170311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37752.138332731934</v>
      </c>
      <c r="T665" s="80">
        <f t="shared" si="302"/>
        <v>72.094428657910342</v>
      </c>
      <c r="U665" s="80">
        <f t="shared" si="302"/>
        <v>395.42701779035679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1647942.0966413119</v>
      </c>
      <c r="AB665" s="59" t="str">
        <f t="shared" si="304"/>
        <v>ok</v>
      </c>
    </row>
    <row r="666" spans="1:28">
      <c r="A666" s="61" t="s">
        <v>378</v>
      </c>
      <c r="D666" s="61" t="s">
        <v>825</v>
      </c>
      <c r="F666" s="77">
        <f>SUM(F661:F665)</f>
        <v>12954590.399153845</v>
      </c>
      <c r="G666" s="77">
        <f t="shared" ref="G666:W666" si="305">SUM(G661:G665)</f>
        <v>9646479.1381880529</v>
      </c>
      <c r="H666" s="77">
        <f t="shared" si="305"/>
        <v>1561604.8856654132</v>
      </c>
      <c r="I666" s="77">
        <f t="shared" si="305"/>
        <v>0</v>
      </c>
      <c r="J666" s="77">
        <f t="shared" si="305"/>
        <v>49476.083447631951</v>
      </c>
      <c r="K666" s="77">
        <f t="shared" si="305"/>
        <v>603805.394417895</v>
      </c>
      <c r="L666" s="77">
        <f t="shared" si="305"/>
        <v>0</v>
      </c>
      <c r="M666" s="77">
        <f t="shared" si="305"/>
        <v>0</v>
      </c>
      <c r="N666" s="77">
        <f t="shared" si="305"/>
        <v>512660.56351393729</v>
      </c>
      <c r="O666" s="77">
        <f>SUM(O661:O665)</f>
        <v>307562.20195170242</v>
      </c>
      <c r="P666" s="77">
        <f t="shared" si="305"/>
        <v>0</v>
      </c>
      <c r="Q666" s="77">
        <f t="shared" si="305"/>
        <v>31700.621565773894</v>
      </c>
      <c r="R666" s="77">
        <f t="shared" si="305"/>
        <v>16599.645126493197</v>
      </c>
      <c r="S666" s="77">
        <f t="shared" si="305"/>
        <v>220598.021885403</v>
      </c>
      <c r="T666" s="77">
        <f t="shared" si="305"/>
        <v>1628.8080829409712</v>
      </c>
      <c r="U666" s="77">
        <f t="shared" si="305"/>
        <v>2475.0353086012869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12954590.399153844</v>
      </c>
      <c r="AB666" s="59" t="str">
        <f t="shared" si="304"/>
        <v>ok</v>
      </c>
    </row>
    <row r="667" spans="1:28">
      <c r="F667" s="80"/>
    </row>
    <row r="668" spans="1:28" ht="15">
      <c r="A668" s="66" t="s">
        <v>634</v>
      </c>
      <c r="F668" s="80"/>
    </row>
    <row r="669" spans="1:28">
      <c r="A669" s="69" t="s">
        <v>1099</v>
      </c>
      <c r="C669" s="61" t="s">
        <v>1085</v>
      </c>
      <c r="D669" s="61" t="s">
        <v>826</v>
      </c>
      <c r="E669" s="61" t="s">
        <v>1346</v>
      </c>
      <c r="F669" s="77">
        <f>VLOOKUP(C669,'Functional Assignment'!$C$2:$AP$780,'Functional Assignment'!$X$2,)</f>
        <v>1498992.5834714985</v>
      </c>
      <c r="G669" s="77">
        <f t="shared" ref="G669:P670" si="306">IF(VLOOKUP($E669,$D$6:$AN$1131,3,)=0,0,(VLOOKUP($E669,$D$6:$AN$1131,G$2,)/VLOOKUP($E669,$D$6:$AN$1131,3,))*$F669)</f>
        <v>1040002.1508040911</v>
      </c>
      <c r="H669" s="77">
        <f t="shared" si="306"/>
        <v>190315.70284911338</v>
      </c>
      <c r="I669" s="77">
        <f t="shared" si="306"/>
        <v>0</v>
      </c>
      <c r="J669" s="77">
        <f t="shared" si="306"/>
        <v>0</v>
      </c>
      <c r="K669" s="77">
        <f t="shared" si="306"/>
        <v>167612.38737420223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92113.974142304927</v>
      </c>
      <c r="P669" s="77">
        <f t="shared" si="306"/>
        <v>0</v>
      </c>
      <c r="Q669" s="77">
        <f t="shared" ref="Q669:Z670" si="307">IF(VLOOKUP($E669,$D$6:$AN$1131,3,)=0,0,(VLOOKUP($E669,$D$6:$AN$1131,Q$2,)/VLOOKUP($E669,$D$6:$AN$1131,3,))*$F669)</f>
        <v>0</v>
      </c>
      <c r="R669" s="77">
        <f t="shared" si="307"/>
        <v>0</v>
      </c>
      <c r="S669" s="77">
        <f t="shared" si="307"/>
        <v>8550.3318916916014</v>
      </c>
      <c r="T669" s="77">
        <f t="shared" si="307"/>
        <v>273.46429568940965</v>
      </c>
      <c r="U669" s="77">
        <f t="shared" si="307"/>
        <v>124.57211440603852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1498992.5834714989</v>
      </c>
      <c r="AB669" s="59" t="str">
        <f>IF(ABS(F669-AA669)&lt;0.01,"ok","err")</f>
        <v>ok</v>
      </c>
    </row>
    <row r="670" spans="1:28">
      <c r="A670" s="69" t="s">
        <v>1102</v>
      </c>
      <c r="C670" s="61" t="s">
        <v>1085</v>
      </c>
      <c r="D670" s="61" t="s">
        <v>827</v>
      </c>
      <c r="E670" s="61" t="s">
        <v>1344</v>
      </c>
      <c r="F670" s="80">
        <f>VLOOKUP(C670,'Functional Assignment'!$C$2:$AP$780,'Functional Assignment'!$Y$2,)</f>
        <v>1048323.9920114006</v>
      </c>
      <c r="G670" s="80">
        <f t="shared" si="306"/>
        <v>904158.26342739759</v>
      </c>
      <c r="H670" s="80">
        <f t="shared" si="306"/>
        <v>112332.81418621755</v>
      </c>
      <c r="I670" s="80">
        <f t="shared" si="306"/>
        <v>0</v>
      </c>
      <c r="J670" s="80">
        <f t="shared" si="306"/>
        <v>0</v>
      </c>
      <c r="K670" s="80">
        <f t="shared" si="306"/>
        <v>7012.9891327359474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685.36500465097254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23839.334594143853</v>
      </c>
      <c r="T670" s="80">
        <f t="shared" si="307"/>
        <v>45.525453207492134</v>
      </c>
      <c r="U670" s="80">
        <f t="shared" si="307"/>
        <v>249.70021304715385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1048323.9920114009</v>
      </c>
      <c r="AB670" s="59" t="str">
        <f>IF(ABS(F670-AA670)&lt;0.01,"ok","err")</f>
        <v>ok</v>
      </c>
    </row>
    <row r="671" spans="1:28">
      <c r="A671" s="61" t="s">
        <v>712</v>
      </c>
      <c r="D671" s="61" t="s">
        <v>828</v>
      </c>
      <c r="F671" s="77">
        <f>F669+F670</f>
        <v>2547316.5754828993</v>
      </c>
      <c r="G671" s="77">
        <f t="shared" ref="G671:W671" si="308">G669+G670</f>
        <v>1944160.4142314887</v>
      </c>
      <c r="H671" s="77">
        <f t="shared" si="308"/>
        <v>302648.51703533094</v>
      </c>
      <c r="I671" s="77">
        <f t="shared" si="308"/>
        <v>0</v>
      </c>
      <c r="J671" s="77">
        <f t="shared" si="308"/>
        <v>0</v>
      </c>
      <c r="K671" s="77">
        <f t="shared" si="308"/>
        <v>174625.37650693816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92799.339146955899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32389.666485835456</v>
      </c>
      <c r="T671" s="77">
        <f t="shared" si="308"/>
        <v>318.9897488969018</v>
      </c>
      <c r="U671" s="77">
        <f t="shared" si="308"/>
        <v>374.27232745319236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2547316.5754828993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354</v>
      </c>
      <c r="F673" s="80"/>
    </row>
    <row r="674" spans="1:28">
      <c r="A674" s="69" t="s">
        <v>1102</v>
      </c>
      <c r="C674" s="61" t="s">
        <v>1085</v>
      </c>
      <c r="D674" s="61" t="s">
        <v>829</v>
      </c>
      <c r="E674" s="61" t="s">
        <v>1104</v>
      </c>
      <c r="F674" s="77">
        <f>VLOOKUP(C674,'Functional Assignment'!$C$2:$AP$780,'Functional Assignment'!$Z$2,)</f>
        <v>520617.29562245787</v>
      </c>
      <c r="G674" s="77">
        <f t="shared" ref="G674:Z674" si="309">IF(VLOOKUP($E674,$D$6:$AN$1131,3,)=0,0,(VLOOKUP($E674,$D$6:$AN$1131,G$2,)/VLOOKUP($E674,$D$6:$AN$1131,3,))*$F674)</f>
        <v>400154.99187507574</v>
      </c>
      <c r="H674" s="77">
        <f t="shared" si="309"/>
        <v>100706.31141930788</v>
      </c>
      <c r="I674" s="77">
        <f t="shared" si="309"/>
        <v>0</v>
      </c>
      <c r="J674" s="77">
        <f t="shared" si="309"/>
        <v>0</v>
      </c>
      <c r="K674" s="77">
        <f t="shared" si="309"/>
        <v>17568.86128616831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2187.1310419058518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520617.29562245781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353</v>
      </c>
      <c r="F676" s="80"/>
    </row>
    <row r="677" spans="1:28">
      <c r="A677" s="69" t="s">
        <v>1102</v>
      </c>
      <c r="C677" s="61" t="s">
        <v>1085</v>
      </c>
      <c r="D677" s="61" t="s">
        <v>830</v>
      </c>
      <c r="E677" s="61" t="s">
        <v>1105</v>
      </c>
      <c r="F677" s="77">
        <f>VLOOKUP(C677,'Functional Assignment'!$C$2:$AP$780,'Functional Assignment'!$AA$2,)</f>
        <v>603901.52107565489</v>
      </c>
      <c r="G677" s="77">
        <f t="shared" ref="G677:Z677" si="310">IF(VLOOKUP($E677,$D$6:$AN$1131,3,)=0,0,(VLOOKUP($E677,$D$6:$AN$1131,G$2,)/VLOOKUP($E677,$D$6:$AN$1131,3,))*$F677)</f>
        <v>422682.72982077952</v>
      </c>
      <c r="H677" s="77">
        <f t="shared" si="310"/>
        <v>124271.1487687473</v>
      </c>
      <c r="I677" s="77">
        <f t="shared" si="310"/>
        <v>0</v>
      </c>
      <c r="J677" s="77">
        <f t="shared" si="310"/>
        <v>4837.673404959487</v>
      </c>
      <c r="K677" s="77">
        <f t="shared" si="310"/>
        <v>33430.123754871485</v>
      </c>
      <c r="L677" s="77">
        <f t="shared" si="310"/>
        <v>0</v>
      </c>
      <c r="M677" s="77">
        <f t="shared" si="310"/>
        <v>0</v>
      </c>
      <c r="N677" s="77">
        <f t="shared" si="310"/>
        <v>7575.3372783088225</v>
      </c>
      <c r="O677" s="77">
        <f t="shared" si="310"/>
        <v>3521.8391982138687</v>
      </c>
      <c r="P677" s="77">
        <f t="shared" si="310"/>
        <v>6196.9316539954534</v>
      </c>
      <c r="Q677" s="77">
        <f t="shared" si="310"/>
        <v>71.804144818093107</v>
      </c>
      <c r="R677" s="77">
        <f t="shared" si="310"/>
        <v>71.804144818093107</v>
      </c>
      <c r="S677" s="77">
        <f t="shared" si="310"/>
        <v>0</v>
      </c>
      <c r="T677" s="77">
        <f t="shared" si="310"/>
        <v>191.54324253603966</v>
      </c>
      <c r="U677" s="77">
        <f t="shared" si="310"/>
        <v>1050.5856636067631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603901.52107565489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371</v>
      </c>
      <c r="F679" s="80"/>
    </row>
    <row r="680" spans="1:28">
      <c r="A680" s="69" t="s">
        <v>1102</v>
      </c>
      <c r="C680" s="61" t="s">
        <v>1085</v>
      </c>
      <c r="D680" s="61" t="s">
        <v>831</v>
      </c>
      <c r="E680" s="61" t="s">
        <v>1106</v>
      </c>
      <c r="F680" s="77">
        <f>VLOOKUP(C680,'Functional Assignment'!$C$2:$AP$780,'Functional Assignment'!$AB$2,)</f>
        <v>1654734.7805703112</v>
      </c>
      <c r="G680" s="77">
        <f t="shared" ref="G680:Z680" si="311">IF(VLOOKUP($E680,$D$6:$AN$1131,3,)=0,0,(VLOOKUP($E680,$D$6:$AN$1131,G$2,)/VLOOKUP($E680,$D$6:$AN$1131,3,))*$F680)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1654734.7805703112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1654734.7805703112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1034</v>
      </c>
      <c r="F682" s="80"/>
    </row>
    <row r="683" spans="1:28">
      <c r="A683" s="69" t="s">
        <v>1102</v>
      </c>
      <c r="C683" s="61" t="s">
        <v>1085</v>
      </c>
      <c r="D683" s="61" t="s">
        <v>832</v>
      </c>
      <c r="E683" s="61" t="s">
        <v>1107</v>
      </c>
      <c r="F683" s="77">
        <f>VLOOKUP(C683,'Functional Assignment'!$C$2:$AP$780,'Functional Assignment'!$AC$2,)</f>
        <v>0</v>
      </c>
      <c r="G683" s="77">
        <f t="shared" ref="G683:Z683" si="312">IF(VLOOKUP($E683,$D$6:$AN$1131,3,)=0,0,(VLOOKUP($E683,$D$6:$AN$1131,G$2,)/VLOOKUP($E683,$D$6:$AN$1131,3,))*$F683)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351</v>
      </c>
      <c r="F685" s="80"/>
    </row>
    <row r="686" spans="1:28">
      <c r="A686" s="69" t="s">
        <v>1102</v>
      </c>
      <c r="C686" s="61" t="s">
        <v>1085</v>
      </c>
      <c r="D686" s="61" t="s">
        <v>833</v>
      </c>
      <c r="E686" s="61" t="s">
        <v>1107</v>
      </c>
      <c r="F686" s="77">
        <f>VLOOKUP(C686,'Functional Assignment'!$C$2:$AP$780,'Functional Assignment'!$AD$2,)</f>
        <v>0</v>
      </c>
      <c r="G686" s="77">
        <f t="shared" ref="G686:Z686" si="313">IF(VLOOKUP($E686,$D$6:$AN$1131,3,)=0,0,(VLOOKUP($E686,$D$6:$AN$1131,G$2,)/VLOOKUP($E686,$D$6:$AN$1131,3,))*$F686)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350</v>
      </c>
      <c r="F688" s="80"/>
    </row>
    <row r="689" spans="1:28">
      <c r="A689" s="69" t="s">
        <v>1102</v>
      </c>
      <c r="C689" s="61" t="s">
        <v>1085</v>
      </c>
      <c r="D689" s="61" t="s">
        <v>834</v>
      </c>
      <c r="E689" s="61" t="s">
        <v>1108</v>
      </c>
      <c r="F689" s="77">
        <f>VLOOKUP(C689,'Functional Assignment'!$C$2:$AP$780,'Functional Assignment'!$AE$2,)</f>
        <v>0</v>
      </c>
      <c r="G689" s="77">
        <f t="shared" ref="G689:Z689" si="314">IF(VLOOKUP($E689,$D$6:$AN$1131,3,)=0,0,(VLOOKUP($E689,$D$6:$AN$1131,G$2,)/VLOOKUP($E689,$D$6:$AN$1131,3,))*$F689)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8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8">
      <c r="A691" s="61" t="s">
        <v>931</v>
      </c>
      <c r="D691" s="61" t="s">
        <v>835</v>
      </c>
      <c r="F691" s="77">
        <f>F646+F652+F655+F658+F666+F671+F674+F677+F680+F683+F686+F689</f>
        <v>62185554.183806494</v>
      </c>
      <c r="G691" s="77">
        <f t="shared" ref="G691:Z691" si="315">G646+G652+G655+G658+G666+G671+G674+G677+G680+G683+G686+G689</f>
        <v>32240169.296117432</v>
      </c>
      <c r="H691" s="77">
        <f t="shared" si="315"/>
        <v>7241147.2646080162</v>
      </c>
      <c r="I691" s="77">
        <f t="shared" si="315"/>
        <v>0</v>
      </c>
      <c r="J691" s="77">
        <f t="shared" si="315"/>
        <v>561174.6281117684</v>
      </c>
      <c r="K691" s="77">
        <f t="shared" si="315"/>
        <v>7138109.2931845216</v>
      </c>
      <c r="L691" s="77">
        <f t="shared" si="315"/>
        <v>0</v>
      </c>
      <c r="M691" s="77">
        <f t="shared" si="315"/>
        <v>0</v>
      </c>
      <c r="N691" s="77">
        <f t="shared" si="315"/>
        <v>5832103.965985979</v>
      </c>
      <c r="O691" s="77">
        <f>O646+O652+O655+O658+O666+O671+O674+O677+O680+O683+O686+O689</f>
        <v>3743082.0389003134</v>
      </c>
      <c r="P691" s="77">
        <f t="shared" si="315"/>
        <v>2885769.2657072162</v>
      </c>
      <c r="Q691" s="77">
        <f t="shared" si="315"/>
        <v>372838.11218678986</v>
      </c>
      <c r="R691" s="77">
        <f t="shared" si="315"/>
        <v>170209.28774185729</v>
      </c>
      <c r="S691" s="77">
        <f t="shared" si="315"/>
        <v>1986064.9020895297</v>
      </c>
      <c r="T691" s="77">
        <f t="shared" si="315"/>
        <v>4648.0685284378324</v>
      </c>
      <c r="U691" s="77">
        <f t="shared" si="315"/>
        <v>10238.060644628042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62185554.183806479</v>
      </c>
      <c r="AB691" s="59" t="str">
        <f>IF(ABS(F691-AA691)&lt;0.01,"ok","err")</f>
        <v>ok</v>
      </c>
    </row>
    <row r="692" spans="1:28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8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8" ht="15">
      <c r="A694" s="66" t="s">
        <v>900</v>
      </c>
    </row>
    <row r="695" spans="1:28">
      <c r="F695" s="81"/>
    </row>
    <row r="696" spans="1:28" ht="15">
      <c r="A696" s="66" t="s">
        <v>1121</v>
      </c>
    </row>
    <row r="697" spans="1:28" s="61" customFormat="1">
      <c r="A697" s="69" t="s">
        <v>192</v>
      </c>
      <c r="D697" s="61" t="s">
        <v>1122</v>
      </c>
      <c r="E697" s="61" t="s">
        <v>130</v>
      </c>
      <c r="F697" s="77">
        <f>'Billing Det'!F31</f>
        <v>965204065.29999995</v>
      </c>
      <c r="G697" s="77">
        <f t="shared" ref="G697:P708" si="316">IF(VLOOKUP($E697,$D$6:$AN$1131,3,)=0,0,(VLOOKUP($E697,$D$6:$AN$1131,G$2,)/VLOOKUP($E697,$D$6:$AN$1131,3,))*$F697)</f>
        <v>379200073</v>
      </c>
      <c r="H697" s="77">
        <f t="shared" si="316"/>
        <v>135825835</v>
      </c>
      <c r="I697" s="77">
        <f t="shared" si="316"/>
        <v>0</v>
      </c>
      <c r="J697" s="77">
        <f t="shared" si="316"/>
        <v>11517853</v>
      </c>
      <c r="K697" s="77">
        <f t="shared" si="316"/>
        <v>151571212</v>
      </c>
      <c r="L697" s="77">
        <f t="shared" si="316"/>
        <v>0</v>
      </c>
      <c r="M697" s="77">
        <f t="shared" si="316"/>
        <v>0</v>
      </c>
      <c r="N697" s="77">
        <f t="shared" si="316"/>
        <v>116918595</v>
      </c>
      <c r="O697" s="77">
        <f t="shared" si="316"/>
        <v>77629237</v>
      </c>
      <c r="P697" s="77">
        <f t="shared" si="316"/>
        <v>64284636.000000007</v>
      </c>
      <c r="Q697" s="77">
        <f t="shared" ref="Q697:Z708" si="317">IF(VLOOKUP($E697,$D$6:$AN$1131,3,)=0,0,(VLOOKUP($E697,$D$6:$AN$1131,Q$2,)/VLOOKUP($E697,$D$6:$AN$1131,3,))*$F697)</f>
        <v>6341748</v>
      </c>
      <c r="R697" s="77">
        <f t="shared" si="317"/>
        <v>3292762</v>
      </c>
      <c r="S697" s="77">
        <f t="shared" si="317"/>
        <v>18141167.300000001</v>
      </c>
      <c r="T697" s="77">
        <f t="shared" si="317"/>
        <v>210819</v>
      </c>
      <c r="U697" s="77">
        <f t="shared" si="317"/>
        <v>270128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8" si="318">SUM(G697:Z697)</f>
        <v>965204065.29999995</v>
      </c>
      <c r="AB697" s="94" t="str">
        <f t="shared" ref="AB697:AB708" si="319">IF(ABS(F697-AA697)&lt;0.01,"ok","err")</f>
        <v>ok</v>
      </c>
    </row>
    <row r="698" spans="1:28" s="61" customFormat="1" hidden="1">
      <c r="A698" s="61" t="s">
        <v>848</v>
      </c>
      <c r="D698" s="61" t="s">
        <v>850</v>
      </c>
      <c r="E698" s="61" t="s">
        <v>1100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8" s="61" customFormat="1">
      <c r="A699" s="61" t="s">
        <v>1373</v>
      </c>
      <c r="E699" s="61" t="s">
        <v>939</v>
      </c>
      <c r="F699" s="80">
        <v>42971044.699999966</v>
      </c>
      <c r="G699" s="80">
        <f t="shared" si="316"/>
        <v>15545979.971223349</v>
      </c>
      <c r="H699" s="80">
        <f t="shared" si="316"/>
        <v>5051886.9375175666</v>
      </c>
      <c r="I699" s="80">
        <f t="shared" si="316"/>
        <v>0</v>
      </c>
      <c r="J699" s="80">
        <f t="shared" si="316"/>
        <v>601688.19675814186</v>
      </c>
      <c r="K699" s="80">
        <f t="shared" si="316"/>
        <v>6971339.727557797</v>
      </c>
      <c r="L699" s="80">
        <f t="shared" si="316"/>
        <v>0</v>
      </c>
      <c r="M699" s="80">
        <f t="shared" si="316"/>
        <v>0</v>
      </c>
      <c r="N699" s="80">
        <f t="shared" si="316"/>
        <v>6729278.1617034627</v>
      </c>
      <c r="O699" s="80">
        <f t="shared" si="316"/>
        <v>2959628.1337464256</v>
      </c>
      <c r="P699" s="80">
        <f t="shared" si="316"/>
        <v>4097615.1350165531</v>
      </c>
      <c r="Q699" s="80">
        <f t="shared" si="317"/>
        <v>399948.02857112564</v>
      </c>
      <c r="R699" s="80">
        <f t="shared" si="317"/>
        <v>211291.05228267645</v>
      </c>
      <c r="S699" s="80">
        <f t="shared" si="317"/>
        <v>378490.38509035693</v>
      </c>
      <c r="T699" s="80">
        <f t="shared" si="317"/>
        <v>12337.496126540351</v>
      </c>
      <c r="U699" s="80">
        <f t="shared" si="317"/>
        <v>11561.474405968587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42971044.699999966</v>
      </c>
      <c r="AB699" s="94" t="str">
        <f t="shared" si="319"/>
        <v>ok</v>
      </c>
    </row>
    <row r="700" spans="1:28" s="61" customFormat="1" hidden="1">
      <c r="A700" s="69" t="s">
        <v>1180</v>
      </c>
      <c r="D700" s="61" t="s">
        <v>684</v>
      </c>
      <c r="E700" s="61" t="s">
        <v>939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8" s="61" customFormat="1" hidden="1">
      <c r="A701" s="61" t="s">
        <v>1181</v>
      </c>
      <c r="E701" s="61" t="s">
        <v>939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8" s="61" customFormat="1" hidden="1">
      <c r="A702" s="61" t="s">
        <v>1182</v>
      </c>
      <c r="E702" s="61" t="s">
        <v>939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8" s="61" customFormat="1">
      <c r="A703" s="61" t="s">
        <v>1369</v>
      </c>
      <c r="D703" s="61" t="s">
        <v>1370</v>
      </c>
      <c r="E703" s="61" t="s">
        <v>701</v>
      </c>
      <c r="F703" s="80">
        <f>-3955200-379322</f>
        <v>-4334522</v>
      </c>
      <c r="G703" s="80">
        <f t="shared" si="316"/>
        <v>-1955263.3745016803</v>
      </c>
      <c r="H703" s="80">
        <f t="shared" si="316"/>
        <v>-494014.96598768351</v>
      </c>
      <c r="I703" s="80">
        <f t="shared" si="316"/>
        <v>0</v>
      </c>
      <c r="J703" s="80">
        <f t="shared" si="316"/>
        <v>-49979.994060545898</v>
      </c>
      <c r="K703" s="80">
        <f t="shared" si="316"/>
        <v>-632863.30180050828</v>
      </c>
      <c r="L703" s="80">
        <f t="shared" si="316"/>
        <v>0</v>
      </c>
      <c r="M703" s="80">
        <f t="shared" si="316"/>
        <v>0</v>
      </c>
      <c r="N703" s="80">
        <f t="shared" si="316"/>
        <v>-522778.68818880204</v>
      </c>
      <c r="O703" s="80">
        <f t="shared" si="316"/>
        <v>-333091.6446382993</v>
      </c>
      <c r="P703" s="80">
        <f t="shared" si="316"/>
        <v>-296295.9464617254</v>
      </c>
      <c r="Q703" s="80">
        <f t="shared" si="317"/>
        <v>-33866.557524298136</v>
      </c>
      <c r="R703" s="80">
        <f t="shared" si="317"/>
        <v>-14630.211977254525</v>
      </c>
      <c r="S703" s="80">
        <f t="shared" si="317"/>
        <v>-1044.2487873637499</v>
      </c>
      <c r="T703" s="80">
        <f t="shared" si="317"/>
        <v>-33.783568742869299</v>
      </c>
      <c r="U703" s="80">
        <f t="shared" si="317"/>
        <v>-659.28250309609791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 t="shared" ref="AA703" si="320">SUM(G703:Z703)</f>
        <v>-4334522</v>
      </c>
      <c r="AB703" s="94" t="str">
        <f t="shared" ref="AB703" si="321">IF(ABS(F703-AA703)&lt;0.01,"ok","err")</f>
        <v>ok</v>
      </c>
    </row>
    <row r="704" spans="1:28" s="61" customFormat="1">
      <c r="A704" s="61" t="s">
        <v>679</v>
      </c>
      <c r="D704" s="61" t="s">
        <v>680</v>
      </c>
      <c r="E704" s="61" t="s">
        <v>724</v>
      </c>
      <c r="F704" s="80">
        <v>2623527</v>
      </c>
      <c r="G704" s="80">
        <f t="shared" si="316"/>
        <v>2068557.0073810685</v>
      </c>
      <c r="H704" s="80">
        <f t="shared" si="316"/>
        <v>375660.48751128826</v>
      </c>
      <c r="I704" s="80">
        <f t="shared" si="316"/>
        <v>0</v>
      </c>
      <c r="J704" s="80">
        <f t="shared" si="316"/>
        <v>4867.1788868687199</v>
      </c>
      <c r="K704" s="80">
        <f t="shared" si="316"/>
        <v>83926.923741793464</v>
      </c>
      <c r="L704" s="80">
        <f t="shared" si="316"/>
        <v>0</v>
      </c>
      <c r="M704" s="80">
        <f t="shared" si="316"/>
        <v>0</v>
      </c>
      <c r="N704" s="80">
        <f t="shared" si="316"/>
        <v>29247.034106126437</v>
      </c>
      <c r="O704" s="80">
        <f t="shared" si="316"/>
        <v>50539.800277713934</v>
      </c>
      <c r="P704" s="80">
        <f t="shared" si="316"/>
        <v>10394.647592420743</v>
      </c>
      <c r="Q704" s="80">
        <f t="shared" si="317"/>
        <v>0</v>
      </c>
      <c r="R704" s="80">
        <f t="shared" si="317"/>
        <v>0</v>
      </c>
      <c r="S704" s="80">
        <f t="shared" si="317"/>
        <v>333.92050271976024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2623527</v>
      </c>
      <c r="AB704" s="94" t="str">
        <f t="shared" si="319"/>
        <v>ok</v>
      </c>
    </row>
    <row r="705" spans="1:29" s="61" customFormat="1">
      <c r="A705" s="61" t="s">
        <v>681</v>
      </c>
      <c r="D705" s="61" t="s">
        <v>43</v>
      </c>
      <c r="E705" s="61" t="s">
        <v>182</v>
      </c>
      <c r="F705" s="80">
        <v>3775989</v>
      </c>
      <c r="G705" s="80">
        <f t="shared" si="316"/>
        <v>3513478.4570116438</v>
      </c>
      <c r="H705" s="80">
        <f t="shared" si="316"/>
        <v>227289.94509409383</v>
      </c>
      <c r="I705" s="80">
        <f t="shared" si="316"/>
        <v>0</v>
      </c>
      <c r="J705" s="80">
        <f t="shared" si="316"/>
        <v>847.59613189445713</v>
      </c>
      <c r="K705" s="80">
        <f t="shared" si="316"/>
        <v>33246.565867943464</v>
      </c>
      <c r="L705" s="80">
        <f t="shared" si="316"/>
        <v>0</v>
      </c>
      <c r="M705" s="80">
        <f t="shared" si="316"/>
        <v>0</v>
      </c>
      <c r="N705" s="80">
        <f t="shared" si="316"/>
        <v>100.29966229255481</v>
      </c>
      <c r="O705" s="80">
        <f t="shared" si="316"/>
        <v>262.3953250497168</v>
      </c>
      <c r="P705" s="80">
        <f t="shared" si="316"/>
        <v>12.359200092921446</v>
      </c>
      <c r="Q705" s="80">
        <f t="shared" si="317"/>
        <v>0</v>
      </c>
      <c r="R705" s="80">
        <f t="shared" si="317"/>
        <v>0</v>
      </c>
      <c r="S705" s="80">
        <f t="shared" si="317"/>
        <v>751.38170698822182</v>
      </c>
      <c r="T705" s="80">
        <f t="shared" si="317"/>
        <v>0</v>
      </c>
      <c r="U705" s="80">
        <f t="shared" si="317"/>
        <v>0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3775988.9999999991</v>
      </c>
      <c r="AB705" s="94" t="str">
        <f t="shared" si="319"/>
        <v>ok</v>
      </c>
      <c r="AC705" s="164"/>
    </row>
    <row r="706" spans="1:29" s="61" customFormat="1">
      <c r="A706" s="69" t="s">
        <v>682</v>
      </c>
      <c r="E706" s="61" t="s">
        <v>1113</v>
      </c>
      <c r="F706" s="80">
        <v>3785840</v>
      </c>
      <c r="G706" s="80">
        <f t="shared" si="316"/>
        <v>1949893.9061140888</v>
      </c>
      <c r="H706" s="80">
        <f t="shared" si="316"/>
        <v>441571.57475476369</v>
      </c>
      <c r="I706" s="80">
        <f t="shared" si="316"/>
        <v>0</v>
      </c>
      <c r="J706" s="80">
        <f t="shared" si="316"/>
        <v>34583.268725134221</v>
      </c>
      <c r="K706" s="80">
        <f t="shared" si="316"/>
        <v>438414.77098273067</v>
      </c>
      <c r="L706" s="80">
        <f t="shared" si="316"/>
        <v>0</v>
      </c>
      <c r="M706" s="80">
        <f t="shared" si="316"/>
        <v>0</v>
      </c>
      <c r="N706" s="80">
        <f t="shared" si="316"/>
        <v>360104.95235236018</v>
      </c>
      <c r="O706" s="80">
        <f t="shared" si="316"/>
        <v>228517.33329979848</v>
      </c>
      <c r="P706" s="80">
        <f t="shared" si="316"/>
        <v>179808.42292439949</v>
      </c>
      <c r="Q706" s="80">
        <f t="shared" si="317"/>
        <v>22958.741675170644</v>
      </c>
      <c r="R706" s="80">
        <f t="shared" si="317"/>
        <v>10538.929647375064</v>
      </c>
      <c r="S706" s="80">
        <f t="shared" si="317"/>
        <v>118509.72426327007</v>
      </c>
      <c r="T706" s="80">
        <f t="shared" si="317"/>
        <v>301.97187015182919</v>
      </c>
      <c r="U706" s="80">
        <f t="shared" si="317"/>
        <v>636.40339075653662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3785839.9999999995</v>
      </c>
      <c r="AB706" s="94" t="str">
        <f t="shared" si="319"/>
        <v>ok</v>
      </c>
    </row>
    <row r="707" spans="1:29" s="61" customFormat="1">
      <c r="A707" s="69" t="s">
        <v>683</v>
      </c>
      <c r="E707" s="61" t="s">
        <v>1113</v>
      </c>
      <c r="F707" s="80">
        <v>11598968</v>
      </c>
      <c r="G707" s="80">
        <f t="shared" si="316"/>
        <v>5974039.3203126173</v>
      </c>
      <c r="H707" s="80">
        <f t="shared" si="316"/>
        <v>1352876.6575687593</v>
      </c>
      <c r="I707" s="80">
        <f t="shared" si="316"/>
        <v>0</v>
      </c>
      <c r="J707" s="80">
        <f t="shared" si="316"/>
        <v>105955.40944103095</v>
      </c>
      <c r="K707" s="80">
        <f t="shared" si="316"/>
        <v>1343204.9160440012</v>
      </c>
      <c r="L707" s="80">
        <f t="shared" si="316"/>
        <v>0</v>
      </c>
      <c r="M707" s="80">
        <f t="shared" si="316"/>
        <v>0</v>
      </c>
      <c r="N707" s="80">
        <f t="shared" si="316"/>
        <v>1103281.1262431985</v>
      </c>
      <c r="O707" s="80">
        <f t="shared" si="316"/>
        <v>700126.05825647595</v>
      </c>
      <c r="P707" s="80">
        <f t="shared" si="316"/>
        <v>550892.83847985545</v>
      </c>
      <c r="Q707" s="80">
        <f t="shared" si="317"/>
        <v>70340.455489553366</v>
      </c>
      <c r="R707" s="80">
        <f t="shared" si="317"/>
        <v>32288.926033365027</v>
      </c>
      <c r="S707" s="80">
        <f t="shared" si="317"/>
        <v>363087.31996558048</v>
      </c>
      <c r="T707" s="80">
        <f t="shared" si="317"/>
        <v>925.17434936268364</v>
      </c>
      <c r="U707" s="80">
        <f t="shared" si="317"/>
        <v>1949.7978161984036</v>
      </c>
      <c r="V707" s="80">
        <f t="shared" si="317"/>
        <v>0</v>
      </c>
      <c r="W707" s="80">
        <f t="shared" si="317"/>
        <v>0</v>
      </c>
      <c r="X707" s="80">
        <f t="shared" si="317"/>
        <v>0</v>
      </c>
      <c r="Y707" s="80">
        <f t="shared" si="317"/>
        <v>0</v>
      </c>
      <c r="Z707" s="80">
        <f t="shared" si="317"/>
        <v>0</v>
      </c>
      <c r="AA707" s="80">
        <f t="shared" si="318"/>
        <v>11598967.999999996</v>
      </c>
      <c r="AB707" s="94" t="str">
        <f t="shared" si="319"/>
        <v>ok</v>
      </c>
    </row>
    <row r="708" spans="1:29" s="61" customFormat="1">
      <c r="A708" s="69" t="s">
        <v>685</v>
      </c>
      <c r="D708" s="61" t="s">
        <v>686</v>
      </c>
      <c r="E708" s="61" t="s">
        <v>130</v>
      </c>
      <c r="F708" s="148">
        <v>0</v>
      </c>
      <c r="G708" s="148">
        <f t="shared" si="316"/>
        <v>0</v>
      </c>
      <c r="H708" s="148">
        <f t="shared" si="316"/>
        <v>0</v>
      </c>
      <c r="I708" s="148">
        <f t="shared" si="316"/>
        <v>0</v>
      </c>
      <c r="J708" s="148">
        <f t="shared" si="316"/>
        <v>0</v>
      </c>
      <c r="K708" s="148">
        <f t="shared" si="316"/>
        <v>0</v>
      </c>
      <c r="L708" s="148">
        <f t="shared" si="316"/>
        <v>0</v>
      </c>
      <c r="M708" s="148">
        <f t="shared" si="316"/>
        <v>0</v>
      </c>
      <c r="N708" s="148">
        <f t="shared" si="316"/>
        <v>0</v>
      </c>
      <c r="O708" s="148">
        <f t="shared" si="316"/>
        <v>0</v>
      </c>
      <c r="P708" s="148">
        <f t="shared" si="316"/>
        <v>0</v>
      </c>
      <c r="Q708" s="148">
        <f t="shared" si="317"/>
        <v>0</v>
      </c>
      <c r="R708" s="148">
        <f t="shared" si="317"/>
        <v>0</v>
      </c>
      <c r="S708" s="148">
        <f t="shared" si="317"/>
        <v>0</v>
      </c>
      <c r="T708" s="148">
        <f t="shared" si="317"/>
        <v>0</v>
      </c>
      <c r="U708" s="148">
        <f t="shared" si="317"/>
        <v>0</v>
      </c>
      <c r="V708" s="148">
        <f t="shared" si="317"/>
        <v>0</v>
      </c>
      <c r="W708" s="148">
        <f t="shared" si="317"/>
        <v>0</v>
      </c>
      <c r="X708" s="148">
        <f t="shared" si="317"/>
        <v>0</v>
      </c>
      <c r="Y708" s="148">
        <f t="shared" si="317"/>
        <v>0</v>
      </c>
      <c r="Z708" s="148">
        <f t="shared" si="317"/>
        <v>0</v>
      </c>
      <c r="AA708" s="148">
        <f t="shared" si="318"/>
        <v>0</v>
      </c>
      <c r="AB708" s="149" t="str">
        <f t="shared" si="319"/>
        <v>ok</v>
      </c>
    </row>
    <row r="709" spans="1:29" s="61" customFormat="1">
      <c r="AA709" s="81"/>
    </row>
    <row r="710" spans="1:29" s="61" customFormat="1">
      <c r="A710" s="61" t="s">
        <v>1123</v>
      </c>
      <c r="D710" s="61" t="s">
        <v>1124</v>
      </c>
      <c r="F710" s="81">
        <f>SUM(F697:F709)</f>
        <v>1025624911.9999999</v>
      </c>
      <c r="G710" s="81">
        <f t="shared" ref="G710:Z710" si="322">SUM(G697:G709)</f>
        <v>406296758.28754109</v>
      </c>
      <c r="H710" s="81">
        <f t="shared" si="322"/>
        <v>142781105.63645878</v>
      </c>
      <c r="I710" s="81">
        <f t="shared" si="322"/>
        <v>0</v>
      </c>
      <c r="J710" s="81">
        <f t="shared" si="322"/>
        <v>12215814.655882524</v>
      </c>
      <c r="K710" s="81">
        <f t="shared" si="322"/>
        <v>159808481.60239375</v>
      </c>
      <c r="L710" s="81">
        <f t="shared" si="322"/>
        <v>0</v>
      </c>
      <c r="M710" s="81">
        <f t="shared" si="322"/>
        <v>0</v>
      </c>
      <c r="N710" s="81">
        <f t="shared" si="322"/>
        <v>124617827.88587864</v>
      </c>
      <c r="O710" s="81">
        <f>SUM(O697:O709)</f>
        <v>81235219.076267168</v>
      </c>
      <c r="P710" s="81">
        <f t="shared" si="322"/>
        <v>68827063.456751615</v>
      </c>
      <c r="Q710" s="81">
        <f t="shared" si="322"/>
        <v>6801128.6682115523</v>
      </c>
      <c r="R710" s="81">
        <f t="shared" si="322"/>
        <v>3532250.6959861619</v>
      </c>
      <c r="S710" s="81">
        <f t="shared" si="322"/>
        <v>19001295.782741554</v>
      </c>
      <c r="T710" s="81">
        <f t="shared" si="322"/>
        <v>224349.85877731201</v>
      </c>
      <c r="U710" s="81">
        <f t="shared" si="322"/>
        <v>283616.39310982736</v>
      </c>
      <c r="V710" s="81">
        <f t="shared" si="322"/>
        <v>0</v>
      </c>
      <c r="W710" s="81">
        <f t="shared" si="322"/>
        <v>0</v>
      </c>
      <c r="X710" s="81">
        <f t="shared" si="322"/>
        <v>0</v>
      </c>
      <c r="Y710" s="81">
        <f t="shared" si="322"/>
        <v>0</v>
      </c>
      <c r="Z710" s="81">
        <f t="shared" si="322"/>
        <v>0</v>
      </c>
      <c r="AA710" s="81">
        <f>SUM(G710:Z710)</f>
        <v>1025624911.9999999</v>
      </c>
      <c r="AB710" s="94" t="str">
        <f>IF(ABS(F710-AA710)&lt;0.01,"ok","err")</f>
        <v>ok</v>
      </c>
    </row>
    <row r="711" spans="1:29" s="61" customFormat="1">
      <c r="C711" s="81"/>
      <c r="D711" s="81"/>
      <c r="E711" s="81"/>
      <c r="F711" s="81"/>
      <c r="G711" s="81"/>
      <c r="H711" s="81"/>
      <c r="I711" s="81"/>
    </row>
    <row r="712" spans="1:29" s="61" customFormat="1" ht="15">
      <c r="A712" s="66" t="s">
        <v>1125</v>
      </c>
      <c r="F712" s="81"/>
      <c r="G712" s="81"/>
    </row>
    <row r="713" spans="1:29" s="61" customFormat="1">
      <c r="A713" s="69" t="s">
        <v>1126</v>
      </c>
      <c r="F713" s="81">
        <f t="shared" ref="F713:Z713" si="323">F233</f>
        <v>685621902.81823468</v>
      </c>
      <c r="G713" s="81">
        <f t="shared" si="323"/>
        <v>293489808.23622578</v>
      </c>
      <c r="H713" s="81">
        <f t="shared" si="323"/>
        <v>83910875.257454872</v>
      </c>
      <c r="I713" s="81">
        <f t="shared" si="323"/>
        <v>0</v>
      </c>
      <c r="J713" s="81">
        <f t="shared" si="323"/>
        <v>8319396.9247090695</v>
      </c>
      <c r="K713" s="81">
        <f t="shared" si="323"/>
        <v>97709046.942771271</v>
      </c>
      <c r="L713" s="81">
        <f t="shared" si="323"/>
        <v>0</v>
      </c>
      <c r="M713" s="81">
        <f t="shared" si="323"/>
        <v>0</v>
      </c>
      <c r="N713" s="81">
        <f t="shared" si="323"/>
        <v>90477956.309345245</v>
      </c>
      <c r="O713" s="81">
        <f>O233</f>
        <v>43331985.135973454</v>
      </c>
      <c r="P713" s="81">
        <f t="shared" si="323"/>
        <v>52826337.069601737</v>
      </c>
      <c r="Q713" s="81">
        <f t="shared" si="323"/>
        <v>5435234.9044458419</v>
      </c>
      <c r="R713" s="81">
        <f t="shared" si="323"/>
        <v>2798128.4811254009</v>
      </c>
      <c r="S713" s="81">
        <f t="shared" si="323"/>
        <v>6980743.9794723475</v>
      </c>
      <c r="T713" s="81">
        <f t="shared" si="323"/>
        <v>154702.79649543783</v>
      </c>
      <c r="U713" s="81">
        <f t="shared" si="323"/>
        <v>187686.78061425034</v>
      </c>
      <c r="V713" s="81">
        <f t="shared" si="323"/>
        <v>0</v>
      </c>
      <c r="W713" s="81">
        <f t="shared" si="323"/>
        <v>0</v>
      </c>
      <c r="X713" s="81">
        <f t="shared" si="323"/>
        <v>0</v>
      </c>
      <c r="Y713" s="81">
        <f t="shared" si="323"/>
        <v>0</v>
      </c>
      <c r="Z713" s="81">
        <f t="shared" si="323"/>
        <v>0</v>
      </c>
      <c r="AA713" s="81">
        <f t="shared" ref="AA713:AA719" si="324">SUM(G713:Z713)</f>
        <v>685621902.8182348</v>
      </c>
      <c r="AB713" s="94" t="str">
        <f t="shared" ref="AB713:AB722" si="325">IF(ABS(F713-AA713)&lt;0.01,"ok","err")</f>
        <v>ok</v>
      </c>
    </row>
    <row r="714" spans="1:29" s="61" customFormat="1">
      <c r="A714" s="69" t="s">
        <v>1301</v>
      </c>
      <c r="F714" s="80">
        <f>F347</f>
        <v>138842526.50563762</v>
      </c>
      <c r="G714" s="80">
        <f t="shared" ref="G714:P714" si="326">G347</f>
        <v>71674242.206605375</v>
      </c>
      <c r="H714" s="80">
        <f t="shared" si="326"/>
        <v>16120549.93106997</v>
      </c>
      <c r="I714" s="80">
        <f t="shared" si="326"/>
        <v>0</v>
      </c>
      <c r="J714" s="80">
        <f t="shared" si="326"/>
        <v>1265471.5202498345</v>
      </c>
      <c r="K714" s="80">
        <f t="shared" si="326"/>
        <v>16123530.106293637</v>
      </c>
      <c r="L714" s="80">
        <f t="shared" si="326"/>
        <v>0</v>
      </c>
      <c r="M714" s="80">
        <f t="shared" si="326"/>
        <v>0</v>
      </c>
      <c r="N714" s="80">
        <f t="shared" si="326"/>
        <v>13152588.86349605</v>
      </c>
      <c r="O714" s="80">
        <f>O347</f>
        <v>8451739.5999496598</v>
      </c>
      <c r="P714" s="80">
        <f t="shared" si="326"/>
        <v>6535570.2783721089</v>
      </c>
      <c r="Q714" s="80">
        <f>Q347</f>
        <v>842161.92596422893</v>
      </c>
      <c r="R714" s="80">
        <f t="shared" ref="R714:Z714" si="327">R347</f>
        <v>381814.57707368705</v>
      </c>
      <c r="S714" s="80">
        <f t="shared" si="327"/>
        <v>4262498.9756820602</v>
      </c>
      <c r="T714" s="80">
        <f t="shared" si="327"/>
        <v>9459.4743480613561</v>
      </c>
      <c r="U714" s="80">
        <f t="shared" si="327"/>
        <v>22899.046532925884</v>
      </c>
      <c r="V714" s="80">
        <f t="shared" si="327"/>
        <v>0</v>
      </c>
      <c r="W714" s="80">
        <f t="shared" si="327"/>
        <v>0</v>
      </c>
      <c r="X714" s="80">
        <f t="shared" si="327"/>
        <v>0</v>
      </c>
      <c r="Y714" s="80">
        <f t="shared" si="327"/>
        <v>0</v>
      </c>
      <c r="Z714" s="80">
        <f t="shared" si="327"/>
        <v>0</v>
      </c>
      <c r="AA714" s="80">
        <f t="shared" si="324"/>
        <v>138842526.50563759</v>
      </c>
      <c r="AB714" s="94" t="str">
        <f t="shared" si="325"/>
        <v>ok</v>
      </c>
    </row>
    <row r="715" spans="1:29" s="61" customFormat="1">
      <c r="A715" s="112" t="s">
        <v>281</v>
      </c>
      <c r="F715" s="80">
        <f>F405</f>
        <v>0</v>
      </c>
      <c r="G715" s="80">
        <f t="shared" ref="G715:Z715" si="328">G405</f>
        <v>0</v>
      </c>
      <c r="H715" s="80">
        <f t="shared" si="328"/>
        <v>0</v>
      </c>
      <c r="I715" s="80">
        <f t="shared" si="328"/>
        <v>0</v>
      </c>
      <c r="J715" s="80">
        <f t="shared" si="328"/>
        <v>0</v>
      </c>
      <c r="K715" s="80">
        <f t="shared" si="328"/>
        <v>0</v>
      </c>
      <c r="L715" s="80">
        <f t="shared" si="328"/>
        <v>0</v>
      </c>
      <c r="M715" s="80">
        <f t="shared" si="328"/>
        <v>0</v>
      </c>
      <c r="N715" s="80">
        <f t="shared" si="328"/>
        <v>0</v>
      </c>
      <c r="O715" s="80">
        <f>O405</f>
        <v>0</v>
      </c>
      <c r="P715" s="80">
        <f t="shared" si="328"/>
        <v>0</v>
      </c>
      <c r="Q715" s="80">
        <f t="shared" si="328"/>
        <v>0</v>
      </c>
      <c r="R715" s="80">
        <f t="shared" si="328"/>
        <v>0</v>
      </c>
      <c r="S715" s="80">
        <f t="shared" si="328"/>
        <v>0</v>
      </c>
      <c r="T715" s="80">
        <f t="shared" si="328"/>
        <v>0</v>
      </c>
      <c r="U715" s="80">
        <f t="shared" si="328"/>
        <v>0</v>
      </c>
      <c r="V715" s="80">
        <f t="shared" si="328"/>
        <v>0</v>
      </c>
      <c r="W715" s="80">
        <f t="shared" si="328"/>
        <v>0</v>
      </c>
      <c r="X715" s="80">
        <f t="shared" si="328"/>
        <v>0</v>
      </c>
      <c r="Y715" s="80">
        <f t="shared" si="328"/>
        <v>0</v>
      </c>
      <c r="Z715" s="80">
        <f t="shared" si="328"/>
        <v>0</v>
      </c>
      <c r="AA715" s="80">
        <f>SUM(G715:Z715)</f>
        <v>0</v>
      </c>
      <c r="AB715" s="94" t="str">
        <f t="shared" si="325"/>
        <v>ok</v>
      </c>
    </row>
    <row r="716" spans="1:29" s="61" customFormat="1">
      <c r="A716" s="69" t="s">
        <v>804</v>
      </c>
      <c r="F716" s="80">
        <f>F462</f>
        <v>0</v>
      </c>
      <c r="G716" s="80">
        <f t="shared" ref="G716:Z716" si="329">G462</f>
        <v>0</v>
      </c>
      <c r="H716" s="80">
        <f t="shared" si="329"/>
        <v>0</v>
      </c>
      <c r="I716" s="80">
        <f t="shared" si="329"/>
        <v>0</v>
      </c>
      <c r="J716" s="80">
        <f t="shared" si="329"/>
        <v>0</v>
      </c>
      <c r="K716" s="80">
        <f t="shared" si="329"/>
        <v>0</v>
      </c>
      <c r="L716" s="80">
        <f t="shared" si="329"/>
        <v>0</v>
      </c>
      <c r="M716" s="80">
        <f t="shared" si="329"/>
        <v>0</v>
      </c>
      <c r="N716" s="80">
        <f t="shared" si="329"/>
        <v>0</v>
      </c>
      <c r="O716" s="80">
        <f>O462</f>
        <v>0</v>
      </c>
      <c r="P716" s="80">
        <f t="shared" si="329"/>
        <v>0</v>
      </c>
      <c r="Q716" s="80">
        <f t="shared" si="329"/>
        <v>0</v>
      </c>
      <c r="R716" s="80">
        <f t="shared" si="329"/>
        <v>0</v>
      </c>
      <c r="S716" s="80">
        <f t="shared" si="329"/>
        <v>0</v>
      </c>
      <c r="T716" s="80">
        <f t="shared" si="329"/>
        <v>0</v>
      </c>
      <c r="U716" s="80">
        <f t="shared" si="329"/>
        <v>0</v>
      </c>
      <c r="V716" s="80">
        <f t="shared" si="329"/>
        <v>0</v>
      </c>
      <c r="W716" s="80">
        <f t="shared" si="329"/>
        <v>0</v>
      </c>
      <c r="X716" s="80">
        <f t="shared" si="329"/>
        <v>0</v>
      </c>
      <c r="Y716" s="80">
        <f t="shared" si="329"/>
        <v>0</v>
      </c>
      <c r="Z716" s="80">
        <f t="shared" si="329"/>
        <v>0</v>
      </c>
      <c r="AA716" s="80">
        <f>SUM(G716:Z716)</f>
        <v>0</v>
      </c>
      <c r="AB716" s="94" t="str">
        <f t="shared" si="325"/>
        <v>ok</v>
      </c>
    </row>
    <row r="717" spans="1:29" s="61" customFormat="1">
      <c r="A717" s="61" t="s">
        <v>1178</v>
      </c>
      <c r="E717" s="61" t="s">
        <v>532</v>
      </c>
      <c r="F717" s="80">
        <v>0</v>
      </c>
      <c r="G717" s="80">
        <f t="shared" ref="G717:P718" si="330">IF(VLOOKUP($E717,$D$6:$AN$1131,3,)=0,0,(VLOOKUP($E717,$D$6:$AN$1131,G$2,)/VLOOKUP($E717,$D$6:$AN$1131,3,))*$F717)</f>
        <v>0</v>
      </c>
      <c r="H717" s="80">
        <f t="shared" si="330"/>
        <v>0</v>
      </c>
      <c r="I717" s="80">
        <f t="shared" si="330"/>
        <v>0</v>
      </c>
      <c r="J717" s="80">
        <f t="shared" si="330"/>
        <v>0</v>
      </c>
      <c r="K717" s="80">
        <f t="shared" si="330"/>
        <v>0</v>
      </c>
      <c r="L717" s="80">
        <f t="shared" si="330"/>
        <v>0</v>
      </c>
      <c r="M717" s="80">
        <f t="shared" si="330"/>
        <v>0</v>
      </c>
      <c r="N717" s="80">
        <f t="shared" si="330"/>
        <v>0</v>
      </c>
      <c r="O717" s="80">
        <f t="shared" si="330"/>
        <v>0</v>
      </c>
      <c r="P717" s="80">
        <f t="shared" si="330"/>
        <v>0</v>
      </c>
      <c r="Q717" s="80">
        <f t="shared" ref="Q717:Z718" si="331">IF(VLOOKUP($E717,$D$6:$AN$1131,3,)=0,0,(VLOOKUP($E717,$D$6:$AN$1131,Q$2,)/VLOOKUP($E717,$D$6:$AN$1131,3,))*$F717)</f>
        <v>0</v>
      </c>
      <c r="R717" s="80">
        <f t="shared" si="331"/>
        <v>0</v>
      </c>
      <c r="S717" s="80">
        <f t="shared" si="331"/>
        <v>0</v>
      </c>
      <c r="T717" s="80">
        <f t="shared" si="331"/>
        <v>0</v>
      </c>
      <c r="U717" s="80">
        <f t="shared" si="331"/>
        <v>0</v>
      </c>
      <c r="V717" s="80">
        <f t="shared" si="331"/>
        <v>0</v>
      </c>
      <c r="W717" s="80">
        <f t="shared" si="331"/>
        <v>0</v>
      </c>
      <c r="X717" s="80">
        <f t="shared" si="331"/>
        <v>0</v>
      </c>
      <c r="Y717" s="80">
        <f t="shared" si="331"/>
        <v>0</v>
      </c>
      <c r="Z717" s="80">
        <f t="shared" si="331"/>
        <v>0</v>
      </c>
      <c r="AA717" s="80">
        <f>SUM(G717:Z717)</f>
        <v>0</v>
      </c>
      <c r="AB717" s="94" t="str">
        <f t="shared" si="325"/>
        <v>ok</v>
      </c>
    </row>
    <row r="718" spans="1:29" s="61" customFormat="1">
      <c r="A718" s="61" t="s">
        <v>1179</v>
      </c>
      <c r="E718" s="61" t="s">
        <v>532</v>
      </c>
      <c r="F718" s="80">
        <v>0</v>
      </c>
      <c r="G718" s="80">
        <f t="shared" si="330"/>
        <v>0</v>
      </c>
      <c r="H718" s="80">
        <f t="shared" si="330"/>
        <v>0</v>
      </c>
      <c r="I718" s="80">
        <f t="shared" si="330"/>
        <v>0</v>
      </c>
      <c r="J718" s="80">
        <f t="shared" si="330"/>
        <v>0</v>
      </c>
      <c r="K718" s="80">
        <f t="shared" si="330"/>
        <v>0</v>
      </c>
      <c r="L718" s="80">
        <f t="shared" si="330"/>
        <v>0</v>
      </c>
      <c r="M718" s="80">
        <f t="shared" si="330"/>
        <v>0</v>
      </c>
      <c r="N718" s="80">
        <f t="shared" si="330"/>
        <v>0</v>
      </c>
      <c r="O718" s="80">
        <f t="shared" si="330"/>
        <v>0</v>
      </c>
      <c r="P718" s="80">
        <f t="shared" si="330"/>
        <v>0</v>
      </c>
      <c r="Q718" s="80">
        <f t="shared" si="331"/>
        <v>0</v>
      </c>
      <c r="R718" s="80">
        <f t="shared" si="331"/>
        <v>0</v>
      </c>
      <c r="S718" s="80">
        <f t="shared" si="331"/>
        <v>0</v>
      </c>
      <c r="T718" s="80">
        <f t="shared" si="331"/>
        <v>0</v>
      </c>
      <c r="U718" s="80">
        <f t="shared" si="331"/>
        <v>0</v>
      </c>
      <c r="V718" s="80">
        <f t="shared" si="331"/>
        <v>0</v>
      </c>
      <c r="W718" s="80">
        <f t="shared" si="331"/>
        <v>0</v>
      </c>
      <c r="X718" s="80">
        <f t="shared" si="331"/>
        <v>0</v>
      </c>
      <c r="Y718" s="80">
        <f t="shared" si="331"/>
        <v>0</v>
      </c>
      <c r="Z718" s="80">
        <f t="shared" si="331"/>
        <v>0</v>
      </c>
      <c r="AA718" s="80">
        <f>SUM(G718:Z718)</f>
        <v>0</v>
      </c>
      <c r="AB718" s="94" t="str">
        <f t="shared" si="325"/>
        <v>ok</v>
      </c>
    </row>
    <row r="719" spans="1:29" s="61" customFormat="1">
      <c r="A719" s="69" t="s">
        <v>726</v>
      </c>
      <c r="E719" s="61" t="s">
        <v>1110</v>
      </c>
      <c r="F719" s="80">
        <f>F519</f>
        <v>32529208.918825753</v>
      </c>
      <c r="G719" s="80">
        <f t="shared" ref="G719:P719" si="332">G519</f>
        <v>16864804.316318464</v>
      </c>
      <c r="H719" s="80">
        <f t="shared" si="332"/>
        <v>3787837.7908507269</v>
      </c>
      <c r="I719" s="80">
        <f t="shared" si="332"/>
        <v>0</v>
      </c>
      <c r="J719" s="80">
        <f t="shared" si="332"/>
        <v>293549.95637468598</v>
      </c>
      <c r="K719" s="80">
        <f t="shared" si="332"/>
        <v>3733938.7182606556</v>
      </c>
      <c r="L719" s="80">
        <f t="shared" si="332"/>
        <v>0</v>
      </c>
      <c r="M719" s="80">
        <f t="shared" si="332"/>
        <v>0</v>
      </c>
      <c r="N719" s="80">
        <f t="shared" si="332"/>
        <v>3050768.4756675009</v>
      </c>
      <c r="O719" s="80">
        <f>O519</f>
        <v>1958002.9355981757</v>
      </c>
      <c r="P719" s="80">
        <f t="shared" si="332"/>
        <v>1509543.3749493097</v>
      </c>
      <c r="Q719" s="80">
        <f>Q519</f>
        <v>195031.28987765653</v>
      </c>
      <c r="R719" s="80">
        <f t="shared" ref="R719:Z719" si="333">R519</f>
        <v>89036.329313942406</v>
      </c>
      <c r="S719" s="80">
        <f t="shared" si="333"/>
        <v>1038908.810484495</v>
      </c>
      <c r="T719" s="80">
        <f t="shared" si="333"/>
        <v>2431.4005755044973</v>
      </c>
      <c r="U719" s="80">
        <f t="shared" si="333"/>
        <v>5355.5205546345051</v>
      </c>
      <c r="V719" s="80">
        <f t="shared" si="333"/>
        <v>0</v>
      </c>
      <c r="W719" s="80">
        <f t="shared" si="333"/>
        <v>0</v>
      </c>
      <c r="X719" s="80">
        <f t="shared" si="333"/>
        <v>0</v>
      </c>
      <c r="Y719" s="80">
        <f t="shared" si="333"/>
        <v>0</v>
      </c>
      <c r="Z719" s="80">
        <f t="shared" si="333"/>
        <v>0</v>
      </c>
      <c r="AA719" s="80">
        <f t="shared" si="324"/>
        <v>32529208.918825749</v>
      </c>
      <c r="AB719" s="94" t="str">
        <f t="shared" si="325"/>
        <v>ok</v>
      </c>
    </row>
    <row r="720" spans="1:29" s="61" customFormat="1">
      <c r="A720" s="69" t="s">
        <v>727</v>
      </c>
      <c r="F720" s="80">
        <f>F576</f>
        <v>-1002535.0000000001</v>
      </c>
      <c r="G720" s="80">
        <f t="shared" ref="G720:Z720" si="334">G576</f>
        <v>-519765.37878470687</v>
      </c>
      <c r="H720" s="80">
        <f t="shared" si="334"/>
        <v>-116739.38856388321</v>
      </c>
      <c r="I720" s="80">
        <f t="shared" si="334"/>
        <v>0</v>
      </c>
      <c r="J720" s="80">
        <f t="shared" si="334"/>
        <v>-9047.0723173282513</v>
      </c>
      <c r="K720" s="80">
        <f t="shared" si="334"/>
        <v>-115078.24436348377</v>
      </c>
      <c r="L720" s="80">
        <f t="shared" si="334"/>
        <v>0</v>
      </c>
      <c r="M720" s="80">
        <f t="shared" si="334"/>
        <v>0</v>
      </c>
      <c r="N720" s="80">
        <f t="shared" si="334"/>
        <v>-94023.257109805054</v>
      </c>
      <c r="O720" s="80">
        <f>O576</f>
        <v>-60344.734418176464</v>
      </c>
      <c r="P720" s="80">
        <f t="shared" si="334"/>
        <v>-46523.420571994538</v>
      </c>
      <c r="Q720" s="80">
        <f t="shared" si="334"/>
        <v>-6010.7731081138918</v>
      </c>
      <c r="R720" s="80">
        <f t="shared" si="334"/>
        <v>-2744.05801356867</v>
      </c>
      <c r="S720" s="80">
        <f t="shared" si="334"/>
        <v>-32018.683482840475</v>
      </c>
      <c r="T720" s="80">
        <f t="shared" si="334"/>
        <v>-74.934628199725481</v>
      </c>
      <c r="U720" s="80">
        <f t="shared" si="334"/>
        <v>-165.054637899086</v>
      </c>
      <c r="V720" s="80">
        <f t="shared" si="334"/>
        <v>0</v>
      </c>
      <c r="W720" s="80">
        <f t="shared" si="334"/>
        <v>0</v>
      </c>
      <c r="X720" s="80">
        <f t="shared" si="334"/>
        <v>0</v>
      </c>
      <c r="Y720" s="80">
        <f t="shared" si="334"/>
        <v>0</v>
      </c>
      <c r="Z720" s="80">
        <f t="shared" si="334"/>
        <v>0</v>
      </c>
      <c r="AA720" s="80">
        <f>SUM(G720:Z720)</f>
        <v>-1002534.9999999998</v>
      </c>
      <c r="AB720" s="94" t="str">
        <f t="shared" si="325"/>
        <v>ok</v>
      </c>
    </row>
    <row r="721" spans="1:28" s="61" customFormat="1">
      <c r="A721" s="69" t="s">
        <v>692</v>
      </c>
      <c r="F721" s="80">
        <f>F634</f>
        <v>0</v>
      </c>
      <c r="G721" s="80">
        <f t="shared" ref="G721:Z721" si="335">G634</f>
        <v>0</v>
      </c>
      <c r="H721" s="80">
        <f t="shared" si="335"/>
        <v>0</v>
      </c>
      <c r="I721" s="80">
        <f t="shared" si="335"/>
        <v>0</v>
      </c>
      <c r="J721" s="80">
        <f t="shared" si="335"/>
        <v>0</v>
      </c>
      <c r="K721" s="80">
        <f t="shared" si="335"/>
        <v>0</v>
      </c>
      <c r="L721" s="80">
        <f t="shared" si="335"/>
        <v>0</v>
      </c>
      <c r="M721" s="80">
        <f t="shared" si="335"/>
        <v>0</v>
      </c>
      <c r="N721" s="80">
        <f t="shared" si="335"/>
        <v>0</v>
      </c>
      <c r="O721" s="80">
        <f>O634</f>
        <v>0</v>
      </c>
      <c r="P721" s="80">
        <f t="shared" si="335"/>
        <v>0</v>
      </c>
      <c r="Q721" s="80">
        <f t="shared" si="335"/>
        <v>0</v>
      </c>
      <c r="R721" s="80">
        <f t="shared" si="335"/>
        <v>0</v>
      </c>
      <c r="S721" s="80">
        <f t="shared" si="335"/>
        <v>0</v>
      </c>
      <c r="T721" s="80">
        <f t="shared" si="335"/>
        <v>0</v>
      </c>
      <c r="U721" s="80">
        <f t="shared" si="335"/>
        <v>0</v>
      </c>
      <c r="V721" s="80">
        <f t="shared" si="335"/>
        <v>0</v>
      </c>
      <c r="W721" s="80">
        <f t="shared" si="335"/>
        <v>0</v>
      </c>
      <c r="X721" s="80">
        <f t="shared" si="335"/>
        <v>0</v>
      </c>
      <c r="Y721" s="80">
        <f t="shared" si="335"/>
        <v>0</v>
      </c>
      <c r="Z721" s="80">
        <f t="shared" si="335"/>
        <v>0</v>
      </c>
      <c r="AA721" s="80">
        <f>SUM(G721:Z721)</f>
        <v>0</v>
      </c>
      <c r="AB721" s="94" t="str">
        <f t="shared" si="325"/>
        <v>ok</v>
      </c>
    </row>
    <row r="722" spans="1:28" s="61" customFormat="1" ht="15.75" customHeight="1">
      <c r="A722" s="69" t="s">
        <v>206</v>
      </c>
      <c r="E722" s="61" t="s">
        <v>839</v>
      </c>
      <c r="F722" s="148">
        <f>41092999+7064087</f>
        <v>48157086</v>
      </c>
      <c r="G722" s="148">
        <f t="shared" ref="G722:Z722" si="336">IF(VLOOKUP($E722,$D$6:$AN$1131,3,)=0,0,(VLOOKUP($E722,$D$6:$AN$1131,G$2,)/VLOOKUP($E722,$D$6:$AN$1131,3,))*$F722)</f>
        <v>-3340125.9384794654</v>
      </c>
      <c r="H722" s="148">
        <f t="shared" si="336"/>
        <v>14269176.273321152</v>
      </c>
      <c r="I722" s="148">
        <f t="shared" si="336"/>
        <v>0</v>
      </c>
      <c r="J722" s="148">
        <f t="shared" si="336"/>
        <v>800137.13205756992</v>
      </c>
      <c r="K722" s="148">
        <f t="shared" si="336"/>
        <v>15784726.12758537</v>
      </c>
      <c r="L722" s="148">
        <f t="shared" si="336"/>
        <v>0</v>
      </c>
      <c r="M722" s="148">
        <f t="shared" si="336"/>
        <v>0</v>
      </c>
      <c r="N722" s="148">
        <f t="shared" si="336"/>
        <v>5467199.2097846428</v>
      </c>
      <c r="O722" s="148">
        <f t="shared" si="336"/>
        <v>10671709.256542025</v>
      </c>
      <c r="P722" s="148">
        <f t="shared" si="336"/>
        <v>2293097.4657929046</v>
      </c>
      <c r="Q722" s="148">
        <f t="shared" si="336"/>
        <v>-17087.9942893101</v>
      </c>
      <c r="R722" s="148">
        <f t="shared" si="336"/>
        <v>42939.195166565922</v>
      </c>
      <c r="S722" s="148">
        <f t="shared" si="336"/>
        <v>2135662.6535391463</v>
      </c>
      <c r="T722" s="148">
        <f t="shared" si="336"/>
        <v>23836.039862062604</v>
      </c>
      <c r="U722" s="148">
        <f t="shared" si="336"/>
        <v>25816.579117400197</v>
      </c>
      <c r="V722" s="148">
        <f t="shared" si="336"/>
        <v>0</v>
      </c>
      <c r="W722" s="148">
        <f t="shared" si="336"/>
        <v>0</v>
      </c>
      <c r="X722" s="148">
        <f t="shared" si="336"/>
        <v>0</v>
      </c>
      <c r="Y722" s="148">
        <f t="shared" si="336"/>
        <v>0</v>
      </c>
      <c r="Z722" s="148">
        <f t="shared" si="336"/>
        <v>0</v>
      </c>
      <c r="AA722" s="148">
        <f>SUM(G722:Z722)</f>
        <v>48157086.00000006</v>
      </c>
      <c r="AB722" s="149" t="str">
        <f t="shared" si="325"/>
        <v>ok</v>
      </c>
    </row>
    <row r="723" spans="1:28" s="61" customFormat="1">
      <c r="A723" s="69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94"/>
    </row>
    <row r="724" spans="1:28" s="71" customFormat="1">
      <c r="A724" s="299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5"/>
    </row>
    <row r="725" spans="1:28" s="61" customFormat="1">
      <c r="A725" s="69"/>
      <c r="AA725" s="81"/>
      <c r="AB725" s="94"/>
    </row>
    <row r="726" spans="1:28" s="61" customFormat="1">
      <c r="A726" s="61" t="s">
        <v>1128</v>
      </c>
      <c r="D726" s="61" t="s">
        <v>1089</v>
      </c>
      <c r="F726" s="81">
        <f>SUM(F713:F722)</f>
        <v>904148189.24269807</v>
      </c>
      <c r="G726" s="81">
        <f t="shared" ref="G726:U726" si="337">SUM(G713:G722)</f>
        <v>378168963.44188541</v>
      </c>
      <c r="H726" s="81">
        <f t="shared" si="337"/>
        <v>117971699.86413284</v>
      </c>
      <c r="I726" s="81">
        <f t="shared" si="337"/>
        <v>0</v>
      </c>
      <c r="J726" s="81">
        <f t="shared" si="337"/>
        <v>10669508.461073833</v>
      </c>
      <c r="K726" s="81">
        <f t="shared" si="337"/>
        <v>133236163.65054744</v>
      </c>
      <c r="L726" s="81">
        <f t="shared" si="337"/>
        <v>0</v>
      </c>
      <c r="M726" s="81">
        <f t="shared" si="337"/>
        <v>0</v>
      </c>
      <c r="N726" s="81">
        <f t="shared" si="337"/>
        <v>112054489.60118364</v>
      </c>
      <c r="O726" s="81">
        <f t="shared" si="337"/>
        <v>64353092.193645135</v>
      </c>
      <c r="P726" s="81">
        <f t="shared" si="337"/>
        <v>63118024.768144056</v>
      </c>
      <c r="Q726" s="81">
        <f t="shared" si="337"/>
        <v>6449329.3528903043</v>
      </c>
      <c r="R726" s="81">
        <f t="shared" si="337"/>
        <v>3309174.5246660276</v>
      </c>
      <c r="S726" s="81">
        <f t="shared" si="337"/>
        <v>14385795.735695209</v>
      </c>
      <c r="T726" s="81">
        <f t="shared" si="337"/>
        <v>190354.77665286657</v>
      </c>
      <c r="U726" s="81">
        <f t="shared" si="337"/>
        <v>241592.87218131183</v>
      </c>
      <c r="V726" s="81">
        <f>SUM(V713:V725)</f>
        <v>0</v>
      </c>
      <c r="W726" s="81">
        <f>SUM(W713:W725)</f>
        <v>0</v>
      </c>
      <c r="X726" s="81">
        <f>SUM(X713:X725)</f>
        <v>0</v>
      </c>
      <c r="Y726" s="81">
        <f>SUM(Y713:Y725)</f>
        <v>0</v>
      </c>
      <c r="Z726" s="81">
        <f>SUM(Z713:Z725)</f>
        <v>0</v>
      </c>
      <c r="AA726" s="81">
        <f>SUM(G726:Z726)</f>
        <v>904148189.24269795</v>
      </c>
      <c r="AB726" s="94" t="str">
        <f>IF(ABS(F726-AA726)&lt;0.01,"ok","err")</f>
        <v>ok</v>
      </c>
    </row>
    <row r="727" spans="1:28" s="61" customFormat="1">
      <c r="A727" s="69"/>
    </row>
    <row r="728" spans="1:28" s="61" customFormat="1">
      <c r="A728" s="61" t="s">
        <v>704</v>
      </c>
      <c r="D728" s="61" t="s">
        <v>1077</v>
      </c>
      <c r="F728" s="81">
        <f t="shared" ref="F728:Z728" si="338">F710-F726</f>
        <v>121476722.75730181</v>
      </c>
      <c r="G728" s="81">
        <f t="shared" si="338"/>
        <v>28127794.84565568</v>
      </c>
      <c r="H728" s="81">
        <f t="shared" si="338"/>
        <v>24809405.772325948</v>
      </c>
      <c r="I728" s="81">
        <f t="shared" si="338"/>
        <v>0</v>
      </c>
      <c r="J728" s="81">
        <f t="shared" si="338"/>
        <v>1546306.1948086917</v>
      </c>
      <c r="K728" s="81">
        <f t="shared" si="338"/>
        <v>26572317.951846302</v>
      </c>
      <c r="L728" s="81">
        <f t="shared" si="338"/>
        <v>0</v>
      </c>
      <c r="M728" s="81">
        <f t="shared" si="338"/>
        <v>0</v>
      </c>
      <c r="N728" s="81">
        <f t="shared" si="338"/>
        <v>12563338.284694999</v>
      </c>
      <c r="O728" s="81">
        <f t="shared" si="338"/>
        <v>16882126.882622033</v>
      </c>
      <c r="P728" s="81">
        <f t="shared" si="338"/>
        <v>5709038.6886075586</v>
      </c>
      <c r="Q728" s="81">
        <f t="shared" si="338"/>
        <v>351799.31532124802</v>
      </c>
      <c r="R728" s="81">
        <f t="shared" si="338"/>
        <v>223076.17132013431</v>
      </c>
      <c r="S728" s="81">
        <f t="shared" si="338"/>
        <v>4615500.0470463447</v>
      </c>
      <c r="T728" s="81">
        <f t="shared" si="338"/>
        <v>33995.082124445442</v>
      </c>
      <c r="U728" s="81">
        <f t="shared" si="338"/>
        <v>42023.520928515529</v>
      </c>
      <c r="V728" s="81">
        <f t="shared" si="338"/>
        <v>0</v>
      </c>
      <c r="W728" s="81">
        <f t="shared" si="338"/>
        <v>0</v>
      </c>
      <c r="X728" s="81">
        <f t="shared" si="338"/>
        <v>0</v>
      </c>
      <c r="Y728" s="81">
        <f t="shared" si="338"/>
        <v>0</v>
      </c>
      <c r="Z728" s="81">
        <f t="shared" si="338"/>
        <v>0</v>
      </c>
      <c r="AA728" s="81">
        <f>SUM(G728:Z728)</f>
        <v>121476722.75730191</v>
      </c>
      <c r="AB728" s="94" t="str">
        <f>IF(ABS(F728-AA728)&lt;0.01,"ok","err")</f>
        <v>ok</v>
      </c>
    </row>
    <row r="729" spans="1:28" s="61" customFormat="1"/>
    <row r="730" spans="1:28" s="61" customFormat="1">
      <c r="A730" s="61" t="s">
        <v>1111</v>
      </c>
      <c r="F730" s="81">
        <f t="shared" ref="F730:Z730" si="339">F176</f>
        <v>2380933927.241509</v>
      </c>
      <c r="G730" s="81">
        <f t="shared" si="339"/>
        <v>1226298141.3869851</v>
      </c>
      <c r="H730" s="81">
        <f t="shared" si="339"/>
        <v>277706597.11954999</v>
      </c>
      <c r="I730" s="81">
        <f t="shared" si="339"/>
        <v>0</v>
      </c>
      <c r="J730" s="81">
        <f t="shared" si="339"/>
        <v>21749592.64590745</v>
      </c>
      <c r="K730" s="81">
        <f t="shared" si="339"/>
        <v>275721267.25815135</v>
      </c>
      <c r="L730" s="81">
        <f t="shared" si="339"/>
        <v>0</v>
      </c>
      <c r="M730" s="81">
        <f t="shared" si="339"/>
        <v>0</v>
      </c>
      <c r="N730" s="81">
        <f t="shared" si="339"/>
        <v>226471826.17950612</v>
      </c>
      <c r="O730" s="81">
        <f t="shared" si="339"/>
        <v>143715706.90157166</v>
      </c>
      <c r="P730" s="81">
        <f t="shared" si="339"/>
        <v>113082426.76512812</v>
      </c>
      <c r="Q730" s="81">
        <f t="shared" si="339"/>
        <v>14438868.779765479</v>
      </c>
      <c r="R730" s="81">
        <f t="shared" si="339"/>
        <v>6627986.1679961868</v>
      </c>
      <c r="S730" s="81">
        <f t="shared" si="339"/>
        <v>74531365.088449582</v>
      </c>
      <c r="T730" s="81">
        <f t="shared" si="339"/>
        <v>189911.6367086453</v>
      </c>
      <c r="U730" s="81">
        <f t="shared" si="339"/>
        <v>400237.31178913353</v>
      </c>
      <c r="V730" s="81">
        <f t="shared" si="339"/>
        <v>0</v>
      </c>
      <c r="W730" s="81">
        <f t="shared" si="339"/>
        <v>0</v>
      </c>
      <c r="X730" s="81">
        <f t="shared" si="339"/>
        <v>0</v>
      </c>
      <c r="Y730" s="81">
        <f t="shared" si="339"/>
        <v>0</v>
      </c>
      <c r="Z730" s="81">
        <f t="shared" si="339"/>
        <v>0</v>
      </c>
      <c r="AA730" s="81">
        <f>SUM(G730:Z730)</f>
        <v>2380933927.241509</v>
      </c>
      <c r="AB730" s="94" t="str">
        <f>IF(ABS(F730-AA730)&lt;0.01,"ok","err")</f>
        <v>ok</v>
      </c>
    </row>
    <row r="731" spans="1:28" s="61" customFormat="1"/>
    <row r="732" spans="1:28" s="66" customFormat="1" ht="15">
      <c r="A732" s="140"/>
      <c r="B732" s="140"/>
      <c r="C732" s="140"/>
      <c r="D732" s="140"/>
      <c r="E732" s="140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5"/>
    </row>
    <row r="733" spans="1:28" s="61" customFormat="1">
      <c r="A733" s="71"/>
      <c r="B733" s="71"/>
      <c r="C733" s="71"/>
      <c r="D733" s="71"/>
      <c r="E733" s="71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71"/>
      <c r="W733" s="71"/>
      <c r="X733" s="71"/>
      <c r="Y733" s="71"/>
      <c r="Z733" s="71"/>
      <c r="AA733" s="71"/>
      <c r="AB733" s="71"/>
    </row>
    <row r="734" spans="1:28" s="61" customFormat="1">
      <c r="A734" s="71"/>
      <c r="B734" s="71"/>
      <c r="C734" s="71"/>
      <c r="D734" s="71"/>
      <c r="E734" s="71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71"/>
    </row>
    <row r="735" spans="1:28" s="61" customFormat="1"/>
    <row r="736" spans="1:28" s="61" customFormat="1"/>
    <row r="737" spans="1:28" s="61" customFormat="1" ht="15">
      <c r="A737" s="66" t="s">
        <v>840</v>
      </c>
    </row>
    <row r="738" spans="1:28" s="61" customFormat="1"/>
    <row r="739" spans="1:28" s="61" customFormat="1">
      <c r="A739" s="61" t="s">
        <v>837</v>
      </c>
      <c r="F739" s="81">
        <f t="shared" ref="F739:Z739" si="340">F710</f>
        <v>1025624911.9999999</v>
      </c>
      <c r="G739" s="81">
        <f t="shared" si="340"/>
        <v>406296758.28754109</v>
      </c>
      <c r="H739" s="81">
        <f t="shared" si="340"/>
        <v>142781105.63645878</v>
      </c>
      <c r="I739" s="81">
        <f t="shared" si="340"/>
        <v>0</v>
      </c>
      <c r="J739" s="81">
        <f t="shared" si="340"/>
        <v>12215814.655882524</v>
      </c>
      <c r="K739" s="81">
        <f t="shared" si="340"/>
        <v>159808481.60239375</v>
      </c>
      <c r="L739" s="81">
        <f t="shared" si="340"/>
        <v>0</v>
      </c>
      <c r="M739" s="81">
        <f t="shared" si="340"/>
        <v>0</v>
      </c>
      <c r="N739" s="81">
        <f t="shared" si="340"/>
        <v>124617827.88587864</v>
      </c>
      <c r="O739" s="81">
        <f t="shared" si="340"/>
        <v>81235219.076267168</v>
      </c>
      <c r="P739" s="81">
        <f t="shared" si="340"/>
        <v>68827063.456751615</v>
      </c>
      <c r="Q739" s="81">
        <f t="shared" si="340"/>
        <v>6801128.6682115523</v>
      </c>
      <c r="R739" s="81">
        <f t="shared" si="340"/>
        <v>3532250.6959861619</v>
      </c>
      <c r="S739" s="81">
        <f t="shared" si="340"/>
        <v>19001295.782741554</v>
      </c>
      <c r="T739" s="81">
        <f t="shared" si="340"/>
        <v>224349.85877731201</v>
      </c>
      <c r="U739" s="81">
        <f t="shared" si="340"/>
        <v>283616.39310982736</v>
      </c>
      <c r="V739" s="81">
        <f t="shared" si="340"/>
        <v>0</v>
      </c>
      <c r="W739" s="81">
        <f t="shared" si="340"/>
        <v>0</v>
      </c>
      <c r="X739" s="81">
        <f t="shared" si="340"/>
        <v>0</v>
      </c>
      <c r="Y739" s="81">
        <f t="shared" si="340"/>
        <v>0</v>
      </c>
      <c r="Z739" s="81">
        <f t="shared" si="340"/>
        <v>0</v>
      </c>
      <c r="AA739" s="81">
        <f>SUM(G739:Z739)</f>
        <v>1025624911.9999999</v>
      </c>
      <c r="AB739" s="94" t="str">
        <f>IF(ABS(F739-AA739)&lt;0.01,"ok","err")</f>
        <v>ok</v>
      </c>
    </row>
    <row r="740" spans="1:28" s="61" customFormat="1"/>
    <row r="741" spans="1:28" s="61" customFormat="1">
      <c r="A741" s="61" t="s">
        <v>1125</v>
      </c>
      <c r="F741" s="81">
        <f t="shared" ref="F741:U741" si="341">F713+F714+F715+F716+F719+F720+F721+F723+F724+F718+F717</f>
        <v>855991103.24269807</v>
      </c>
      <c r="G741" s="81">
        <f t="shared" si="341"/>
        <v>381509089.38036489</v>
      </c>
      <c r="H741" s="81">
        <f t="shared" si="341"/>
        <v>103702523.59081168</v>
      </c>
      <c r="I741" s="81">
        <f t="shared" si="341"/>
        <v>0</v>
      </c>
      <c r="J741" s="81">
        <f t="shared" si="341"/>
        <v>9869371.3290162627</v>
      </c>
      <c r="K741" s="81">
        <f t="shared" si="341"/>
        <v>117451437.52296208</v>
      </c>
      <c r="L741" s="81">
        <f t="shared" si="341"/>
        <v>0</v>
      </c>
      <c r="M741" s="81">
        <f t="shared" si="341"/>
        <v>0</v>
      </c>
      <c r="N741" s="81">
        <f t="shared" si="341"/>
        <v>106587290.391399</v>
      </c>
      <c r="O741" s="81">
        <f t="shared" si="341"/>
        <v>53681382.937103108</v>
      </c>
      <c r="P741" s="81">
        <f t="shared" si="341"/>
        <v>60824927.302351154</v>
      </c>
      <c r="Q741" s="81">
        <f t="shared" si="341"/>
        <v>6466417.347179614</v>
      </c>
      <c r="R741" s="81">
        <f t="shared" si="341"/>
        <v>3266235.3294994617</v>
      </c>
      <c r="S741" s="81">
        <f t="shared" si="341"/>
        <v>12250133.082156062</v>
      </c>
      <c r="T741" s="81">
        <f t="shared" si="341"/>
        <v>166518.73679080396</v>
      </c>
      <c r="U741" s="81">
        <f t="shared" si="341"/>
        <v>215776.29306391164</v>
      </c>
      <c r="V741" s="81">
        <f>V713+V714+V716+V719+V720+V721+V723+V724+V718+V717</f>
        <v>0</v>
      </c>
      <c r="W741" s="81">
        <f>W713+W714+W716+W719+W720+W721+W723+W724+W718+W717</f>
        <v>0</v>
      </c>
      <c r="X741" s="81">
        <f>X713+X714+X716+X719+X720+X721+X723+X724+X718+X717</f>
        <v>0</v>
      </c>
      <c r="Y741" s="81">
        <f>Y713+Y714+Y716+Y719+Y720+Y721+Y723+Y724+Y718+Y717</f>
        <v>0</v>
      </c>
      <c r="Z741" s="81">
        <f>Z713+Z714+Z716+Z719+Z720+Z721+Z723+Z724+Z718+Z717</f>
        <v>0</v>
      </c>
      <c r="AA741" s="81">
        <f>SUM(G741:Z741)</f>
        <v>855991103.24269807</v>
      </c>
      <c r="AB741" s="94" t="str">
        <f>IF(ABS(F741-AA741)&lt;0.01,"ok","err")</f>
        <v>ok</v>
      </c>
    </row>
    <row r="742" spans="1:28" s="61" customFormat="1"/>
    <row r="743" spans="1:28" s="61" customFormat="1">
      <c r="A743" s="61" t="s">
        <v>838</v>
      </c>
      <c r="D743" s="61" t="s">
        <v>843</v>
      </c>
      <c r="F743" s="137">
        <f t="shared" ref="F743:Z743" si="342">F691</f>
        <v>62185554.183806494</v>
      </c>
      <c r="G743" s="137">
        <f t="shared" si="342"/>
        <v>32240169.296117432</v>
      </c>
      <c r="H743" s="137">
        <f t="shared" si="342"/>
        <v>7241147.2646080162</v>
      </c>
      <c r="I743" s="137">
        <f t="shared" si="342"/>
        <v>0</v>
      </c>
      <c r="J743" s="137">
        <f t="shared" si="342"/>
        <v>561174.6281117684</v>
      </c>
      <c r="K743" s="137">
        <f t="shared" si="342"/>
        <v>7138109.2931845216</v>
      </c>
      <c r="L743" s="137">
        <f t="shared" si="342"/>
        <v>0</v>
      </c>
      <c r="M743" s="137">
        <f t="shared" si="342"/>
        <v>0</v>
      </c>
      <c r="N743" s="137">
        <f t="shared" si="342"/>
        <v>5832103.965985979</v>
      </c>
      <c r="O743" s="137">
        <f t="shared" si="342"/>
        <v>3743082.0389003134</v>
      </c>
      <c r="P743" s="137">
        <f t="shared" si="342"/>
        <v>2885769.2657072162</v>
      </c>
      <c r="Q743" s="137">
        <f t="shared" si="342"/>
        <v>372838.11218678986</v>
      </c>
      <c r="R743" s="137">
        <f t="shared" si="342"/>
        <v>170209.28774185729</v>
      </c>
      <c r="S743" s="137">
        <f t="shared" si="342"/>
        <v>1986064.9020895297</v>
      </c>
      <c r="T743" s="137">
        <f t="shared" si="342"/>
        <v>4648.0685284378324</v>
      </c>
      <c r="U743" s="137">
        <f t="shared" si="342"/>
        <v>10238.060644628042</v>
      </c>
      <c r="V743" s="137">
        <f t="shared" si="342"/>
        <v>0</v>
      </c>
      <c r="W743" s="137">
        <f t="shared" si="342"/>
        <v>0</v>
      </c>
      <c r="X743" s="137">
        <f t="shared" si="342"/>
        <v>0</v>
      </c>
      <c r="Y743" s="137">
        <f t="shared" si="342"/>
        <v>0</v>
      </c>
      <c r="Z743" s="137">
        <f t="shared" si="342"/>
        <v>0</v>
      </c>
      <c r="AA743" s="137">
        <f>SUM(G743:Z743)</f>
        <v>62185554.183806479</v>
      </c>
      <c r="AB743" s="94" t="str">
        <f>IF(ABS(F743-AA743)&lt;0.01,"ok","err")</f>
        <v>ok</v>
      </c>
    </row>
    <row r="744" spans="1:28" s="61" customFormat="1"/>
    <row r="745" spans="1:28" s="61" customFormat="1">
      <c r="A745" s="61" t="s">
        <v>836</v>
      </c>
      <c r="D745" s="61" t="s">
        <v>839</v>
      </c>
      <c r="F745" s="81">
        <f>F739-F741-F743</f>
        <v>107448254.57349531</v>
      </c>
      <c r="G745" s="81">
        <f t="shared" ref="G745:Z745" si="343">G739-G741-G743</f>
        <v>-7452500.3889412358</v>
      </c>
      <c r="H745" s="81">
        <f t="shared" si="343"/>
        <v>31837434.781039082</v>
      </c>
      <c r="I745" s="81">
        <f t="shared" si="343"/>
        <v>0</v>
      </c>
      <c r="J745" s="81">
        <f t="shared" si="343"/>
        <v>1785268.6987544931</v>
      </c>
      <c r="K745" s="81">
        <f t="shared" si="343"/>
        <v>35218934.786247149</v>
      </c>
      <c r="L745" s="81">
        <f t="shared" si="343"/>
        <v>0</v>
      </c>
      <c r="M745" s="81">
        <f t="shared" si="343"/>
        <v>0</v>
      </c>
      <c r="N745" s="81">
        <f t="shared" si="343"/>
        <v>12198433.528493661</v>
      </c>
      <c r="O745" s="81">
        <f>O739-O741-O743</f>
        <v>23810754.100263748</v>
      </c>
      <c r="P745" s="81">
        <f t="shared" si="343"/>
        <v>5116366.8886932442</v>
      </c>
      <c r="Q745" s="81">
        <f t="shared" si="343"/>
        <v>-38126.791154851555</v>
      </c>
      <c r="R745" s="81">
        <f t="shared" si="343"/>
        <v>95806.078744842962</v>
      </c>
      <c r="S745" s="81">
        <f t="shared" si="343"/>
        <v>4765097.7984959623</v>
      </c>
      <c r="T745" s="81">
        <f t="shared" si="343"/>
        <v>53183.053458070215</v>
      </c>
      <c r="U745" s="81">
        <f t="shared" si="343"/>
        <v>57602.039401287679</v>
      </c>
      <c r="V745" s="81">
        <f t="shared" si="343"/>
        <v>0</v>
      </c>
      <c r="W745" s="81">
        <f t="shared" si="343"/>
        <v>0</v>
      </c>
      <c r="X745" s="81">
        <f t="shared" si="343"/>
        <v>0</v>
      </c>
      <c r="Y745" s="81">
        <f t="shared" si="343"/>
        <v>0</v>
      </c>
      <c r="Z745" s="81">
        <f t="shared" si="343"/>
        <v>0</v>
      </c>
      <c r="AA745" s="81">
        <f>SUM(G745:Z745)</f>
        <v>107448254.57349545</v>
      </c>
      <c r="AB745" s="94" t="str">
        <f>IF(ABS(F745-AA745)&lt;0.01,"ok","err")</f>
        <v>ok</v>
      </c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94"/>
    </row>
    <row r="750" spans="1:28" s="61" customFormat="1"/>
    <row r="753" spans="1:28" ht="15">
      <c r="A753" s="66" t="s">
        <v>208</v>
      </c>
    </row>
    <row r="754" spans="1:28">
      <c r="F754" s="81"/>
    </row>
    <row r="755" spans="1:28" ht="15">
      <c r="A755" s="66" t="s">
        <v>1121</v>
      </c>
    </row>
    <row r="756" spans="1:28" s="61" customFormat="1"/>
    <row r="757" spans="1:28" s="61" customFormat="1">
      <c r="A757" s="61" t="s">
        <v>134</v>
      </c>
      <c r="F757" s="81">
        <f t="shared" ref="F757:Z757" si="344">F710</f>
        <v>1025624911.9999999</v>
      </c>
      <c r="G757" s="81">
        <f t="shared" si="344"/>
        <v>406296758.28754109</v>
      </c>
      <c r="H757" s="81">
        <f t="shared" si="344"/>
        <v>142781105.63645878</v>
      </c>
      <c r="I757" s="81">
        <f t="shared" si="344"/>
        <v>0</v>
      </c>
      <c r="J757" s="81">
        <f t="shared" si="344"/>
        <v>12215814.655882524</v>
      </c>
      <c r="K757" s="81">
        <f t="shared" si="344"/>
        <v>159808481.60239375</v>
      </c>
      <c r="L757" s="81">
        <f t="shared" si="344"/>
        <v>0</v>
      </c>
      <c r="M757" s="81">
        <f t="shared" si="344"/>
        <v>0</v>
      </c>
      <c r="N757" s="81">
        <f t="shared" si="344"/>
        <v>124617827.88587864</v>
      </c>
      <c r="O757" s="81">
        <f t="shared" si="344"/>
        <v>81235219.076267168</v>
      </c>
      <c r="P757" s="81">
        <f t="shared" si="344"/>
        <v>68827063.456751615</v>
      </c>
      <c r="Q757" s="81">
        <f t="shared" si="344"/>
        <v>6801128.6682115523</v>
      </c>
      <c r="R757" s="81">
        <f t="shared" si="344"/>
        <v>3532250.6959861619</v>
      </c>
      <c r="S757" s="81">
        <f t="shared" si="344"/>
        <v>19001295.782741554</v>
      </c>
      <c r="T757" s="81">
        <f t="shared" si="344"/>
        <v>224349.85877731201</v>
      </c>
      <c r="U757" s="81">
        <f t="shared" si="344"/>
        <v>283616.39310982736</v>
      </c>
      <c r="V757" s="81">
        <f t="shared" si="344"/>
        <v>0</v>
      </c>
      <c r="W757" s="81">
        <f t="shared" si="344"/>
        <v>0</v>
      </c>
      <c r="X757" s="81">
        <f t="shared" si="344"/>
        <v>0</v>
      </c>
      <c r="Y757" s="81">
        <f t="shared" si="344"/>
        <v>0</v>
      </c>
      <c r="Z757" s="81">
        <f t="shared" si="344"/>
        <v>0</v>
      </c>
      <c r="AA757" s="81">
        <f>SUM(G757:Z757)</f>
        <v>1025624911.9999999</v>
      </c>
      <c r="AB757" s="94" t="str">
        <f>IF(ABS(F757-AA757)&lt;0.01,"ok","err")</f>
        <v>ok</v>
      </c>
    </row>
    <row r="758" spans="1:28" s="61" customFormat="1"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>
      <c r="A759" s="61" t="s">
        <v>135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224"/>
      <c r="P759" s="224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94"/>
    </row>
    <row r="760" spans="1:28" s="61" customFormat="1" ht="14.25" hidden="1" customHeight="1">
      <c r="B760" s="61" t="s">
        <v>1270</v>
      </c>
      <c r="E760" s="61" t="s">
        <v>130</v>
      </c>
      <c r="F760" s="77"/>
      <c r="G760" s="77">
        <f t="shared" ref="G760:P767" si="345">IF(VLOOKUP($E760,$D$6:$AN$1131,3,)=0,0,(VLOOKUP($E760,$D$6:$AN$1131,G$2,)/VLOOKUP($E760,$D$6:$AN$1131,3,))*$F760)</f>
        <v>0</v>
      </c>
      <c r="H760" s="77">
        <f t="shared" si="345"/>
        <v>0</v>
      </c>
      <c r="I760" s="77">
        <f t="shared" si="345"/>
        <v>0</v>
      </c>
      <c r="J760" s="77">
        <f t="shared" si="345"/>
        <v>0</v>
      </c>
      <c r="K760" s="77">
        <f t="shared" si="345"/>
        <v>0</v>
      </c>
      <c r="L760" s="77">
        <f t="shared" si="345"/>
        <v>0</v>
      </c>
      <c r="M760" s="77">
        <f t="shared" si="345"/>
        <v>0</v>
      </c>
      <c r="N760" s="77">
        <f t="shared" si="345"/>
        <v>0</v>
      </c>
      <c r="O760" s="77">
        <f t="shared" si="345"/>
        <v>0</v>
      </c>
      <c r="P760" s="77">
        <f t="shared" si="345"/>
        <v>0</v>
      </c>
      <c r="Q760" s="77">
        <f t="shared" ref="Q760:Z767" si="346">IF(VLOOKUP($E760,$D$6:$AN$1131,3,)=0,0,(VLOOKUP($E760,$D$6:$AN$1131,Q$2,)/VLOOKUP($E760,$D$6:$AN$1131,3,))*$F760)</f>
        <v>0</v>
      </c>
      <c r="R760" s="77">
        <f t="shared" si="346"/>
        <v>0</v>
      </c>
      <c r="S760" s="77">
        <f t="shared" si="346"/>
        <v>0</v>
      </c>
      <c r="T760" s="77">
        <f t="shared" si="346"/>
        <v>0</v>
      </c>
      <c r="U760" s="77">
        <f t="shared" si="346"/>
        <v>0</v>
      </c>
      <c r="V760" s="77">
        <f t="shared" si="346"/>
        <v>0</v>
      </c>
      <c r="W760" s="77">
        <f t="shared" si="346"/>
        <v>0</v>
      </c>
      <c r="X760" s="77">
        <f t="shared" si="346"/>
        <v>0</v>
      </c>
      <c r="Y760" s="77">
        <f t="shared" si="346"/>
        <v>0</v>
      </c>
      <c r="Z760" s="77">
        <f t="shared" si="346"/>
        <v>0</v>
      </c>
      <c r="AA760" s="81">
        <f t="shared" ref="AA760:AA768" si="347">SUM(G760:Z760)</f>
        <v>0</v>
      </c>
      <c r="AB760" s="94" t="str">
        <f t="shared" ref="AB760:AB768" si="348">IF(ABS(F760-AA760)&lt;0.01,"ok","err")</f>
        <v>ok</v>
      </c>
    </row>
    <row r="761" spans="1:28" s="61" customFormat="1" ht="14.25" hidden="1" customHeight="1">
      <c r="B761" s="61" t="s">
        <v>1313</v>
      </c>
      <c r="E761" s="61" t="s">
        <v>130</v>
      </c>
      <c r="F761" s="80"/>
      <c r="G761" s="80">
        <f t="shared" si="345"/>
        <v>0</v>
      </c>
      <c r="H761" s="80">
        <f t="shared" si="345"/>
        <v>0</v>
      </c>
      <c r="I761" s="80">
        <f t="shared" si="345"/>
        <v>0</v>
      </c>
      <c r="J761" s="80">
        <f t="shared" si="345"/>
        <v>0</v>
      </c>
      <c r="K761" s="80">
        <f t="shared" si="345"/>
        <v>0</v>
      </c>
      <c r="L761" s="80">
        <f t="shared" si="345"/>
        <v>0</v>
      </c>
      <c r="M761" s="80">
        <f t="shared" si="345"/>
        <v>0</v>
      </c>
      <c r="N761" s="80">
        <f t="shared" si="345"/>
        <v>0</v>
      </c>
      <c r="O761" s="80">
        <f t="shared" si="345"/>
        <v>0</v>
      </c>
      <c r="P761" s="80">
        <f t="shared" si="345"/>
        <v>0</v>
      </c>
      <c r="Q761" s="80">
        <f t="shared" si="346"/>
        <v>0</v>
      </c>
      <c r="R761" s="80">
        <f t="shared" si="346"/>
        <v>0</v>
      </c>
      <c r="S761" s="80">
        <f t="shared" si="346"/>
        <v>0</v>
      </c>
      <c r="T761" s="80">
        <f t="shared" si="346"/>
        <v>0</v>
      </c>
      <c r="U761" s="80">
        <f t="shared" si="346"/>
        <v>0</v>
      </c>
      <c r="V761" s="80">
        <f t="shared" si="346"/>
        <v>0</v>
      </c>
      <c r="W761" s="80">
        <f t="shared" si="346"/>
        <v>0</v>
      </c>
      <c r="X761" s="80">
        <f t="shared" si="346"/>
        <v>0</v>
      </c>
      <c r="Y761" s="80">
        <f t="shared" si="346"/>
        <v>0</v>
      </c>
      <c r="Z761" s="80">
        <f t="shared" si="346"/>
        <v>0</v>
      </c>
      <c r="AA761" s="80">
        <f>SUM(G761:Z761)</f>
        <v>0</v>
      </c>
      <c r="AB761" s="94" t="str">
        <f t="shared" si="348"/>
        <v>ok</v>
      </c>
    </row>
    <row r="762" spans="1:28" s="61" customFormat="1" ht="14.25" hidden="1" customHeight="1">
      <c r="B762" s="61" t="s">
        <v>687</v>
      </c>
      <c r="E762" s="61" t="s">
        <v>939</v>
      </c>
      <c r="F762" s="80"/>
      <c r="G762" s="80">
        <f t="shared" si="345"/>
        <v>0</v>
      </c>
      <c r="H762" s="80">
        <f t="shared" si="345"/>
        <v>0</v>
      </c>
      <c r="I762" s="80">
        <f t="shared" si="345"/>
        <v>0</v>
      </c>
      <c r="J762" s="80">
        <f t="shared" si="345"/>
        <v>0</v>
      </c>
      <c r="K762" s="80">
        <f t="shared" si="345"/>
        <v>0</v>
      </c>
      <c r="L762" s="80">
        <f t="shared" si="345"/>
        <v>0</v>
      </c>
      <c r="M762" s="80">
        <f t="shared" si="345"/>
        <v>0</v>
      </c>
      <c r="N762" s="80">
        <f t="shared" si="345"/>
        <v>0</v>
      </c>
      <c r="O762" s="80">
        <f t="shared" si="345"/>
        <v>0</v>
      </c>
      <c r="P762" s="80">
        <f t="shared" si="345"/>
        <v>0</v>
      </c>
      <c r="Q762" s="80">
        <f t="shared" si="346"/>
        <v>0</v>
      </c>
      <c r="R762" s="80">
        <f t="shared" si="346"/>
        <v>0</v>
      </c>
      <c r="S762" s="80">
        <f t="shared" si="346"/>
        <v>0</v>
      </c>
      <c r="T762" s="80">
        <f t="shared" si="346"/>
        <v>0</v>
      </c>
      <c r="U762" s="80">
        <f t="shared" si="346"/>
        <v>0</v>
      </c>
      <c r="V762" s="80">
        <f t="shared" si="346"/>
        <v>0</v>
      </c>
      <c r="W762" s="80">
        <f t="shared" si="346"/>
        <v>0</v>
      </c>
      <c r="X762" s="80">
        <f t="shared" si="346"/>
        <v>0</v>
      </c>
      <c r="Y762" s="80">
        <f t="shared" si="346"/>
        <v>0</v>
      </c>
      <c r="Z762" s="80">
        <f t="shared" si="346"/>
        <v>0</v>
      </c>
      <c r="AA762" s="80">
        <f t="shared" si="347"/>
        <v>0</v>
      </c>
      <c r="AB762" s="94" t="str">
        <f t="shared" si="348"/>
        <v>ok</v>
      </c>
    </row>
    <row r="763" spans="1:28" s="61" customFormat="1" ht="14.25" hidden="1" customHeight="1">
      <c r="B763" s="61" t="s">
        <v>1271</v>
      </c>
      <c r="D763" s="61" t="s">
        <v>875</v>
      </c>
      <c r="E763" s="61" t="s">
        <v>1255</v>
      </c>
      <c r="F763" s="80"/>
      <c r="G763" s="80">
        <f t="shared" si="345"/>
        <v>0</v>
      </c>
      <c r="H763" s="80">
        <f t="shared" si="345"/>
        <v>0</v>
      </c>
      <c r="I763" s="80">
        <f t="shared" si="345"/>
        <v>0</v>
      </c>
      <c r="J763" s="80">
        <f t="shared" si="345"/>
        <v>0</v>
      </c>
      <c r="K763" s="80">
        <f t="shared" si="345"/>
        <v>0</v>
      </c>
      <c r="L763" s="80">
        <f t="shared" si="345"/>
        <v>0</v>
      </c>
      <c r="M763" s="80">
        <f t="shared" si="345"/>
        <v>0</v>
      </c>
      <c r="N763" s="80">
        <f t="shared" si="345"/>
        <v>0</v>
      </c>
      <c r="O763" s="80">
        <f t="shared" si="345"/>
        <v>0</v>
      </c>
      <c r="P763" s="80">
        <f t="shared" si="345"/>
        <v>0</v>
      </c>
      <c r="Q763" s="80">
        <f t="shared" si="346"/>
        <v>0</v>
      </c>
      <c r="R763" s="80">
        <f t="shared" si="346"/>
        <v>0</v>
      </c>
      <c r="S763" s="80">
        <f t="shared" si="346"/>
        <v>0</v>
      </c>
      <c r="T763" s="80">
        <f t="shared" si="346"/>
        <v>0</v>
      </c>
      <c r="U763" s="80">
        <f t="shared" si="346"/>
        <v>0</v>
      </c>
      <c r="V763" s="80">
        <f t="shared" si="346"/>
        <v>0</v>
      </c>
      <c r="W763" s="80">
        <f t="shared" si="346"/>
        <v>0</v>
      </c>
      <c r="X763" s="80">
        <f t="shared" si="346"/>
        <v>0</v>
      </c>
      <c r="Y763" s="80">
        <f t="shared" si="346"/>
        <v>0</v>
      </c>
      <c r="Z763" s="80">
        <f t="shared" si="346"/>
        <v>0</v>
      </c>
      <c r="AA763" s="80">
        <f t="shared" si="347"/>
        <v>0</v>
      </c>
      <c r="AB763" s="94" t="str">
        <f t="shared" si="348"/>
        <v>ok</v>
      </c>
    </row>
    <row r="764" spans="1:28" s="61" customFormat="1" ht="14.25" hidden="1" customHeight="1">
      <c r="B764" s="61" t="s">
        <v>1312</v>
      </c>
      <c r="E764" s="61" t="s">
        <v>1255</v>
      </c>
      <c r="F764" s="80"/>
      <c r="G764" s="80">
        <f t="shared" si="345"/>
        <v>0</v>
      </c>
      <c r="H764" s="80">
        <f t="shared" si="345"/>
        <v>0</v>
      </c>
      <c r="I764" s="80">
        <f t="shared" si="345"/>
        <v>0</v>
      </c>
      <c r="J764" s="80">
        <f t="shared" si="345"/>
        <v>0</v>
      </c>
      <c r="K764" s="80">
        <f t="shared" si="345"/>
        <v>0</v>
      </c>
      <c r="L764" s="80">
        <f t="shared" si="345"/>
        <v>0</v>
      </c>
      <c r="M764" s="80">
        <f t="shared" si="345"/>
        <v>0</v>
      </c>
      <c r="N764" s="80">
        <f t="shared" si="345"/>
        <v>0</v>
      </c>
      <c r="O764" s="80">
        <f t="shared" si="345"/>
        <v>0</v>
      </c>
      <c r="P764" s="80">
        <f t="shared" si="345"/>
        <v>0</v>
      </c>
      <c r="Q764" s="80">
        <f t="shared" si="346"/>
        <v>0</v>
      </c>
      <c r="R764" s="80">
        <f t="shared" si="346"/>
        <v>0</v>
      </c>
      <c r="S764" s="80">
        <f t="shared" si="346"/>
        <v>0</v>
      </c>
      <c r="T764" s="80">
        <f t="shared" si="346"/>
        <v>0</v>
      </c>
      <c r="U764" s="80">
        <f t="shared" si="346"/>
        <v>0</v>
      </c>
      <c r="V764" s="80">
        <f t="shared" si="346"/>
        <v>0</v>
      </c>
      <c r="W764" s="80">
        <f t="shared" si="346"/>
        <v>0</v>
      </c>
      <c r="X764" s="80">
        <f t="shared" si="346"/>
        <v>0</v>
      </c>
      <c r="Y764" s="80">
        <f t="shared" si="346"/>
        <v>0</v>
      </c>
      <c r="Z764" s="80">
        <f t="shared" si="346"/>
        <v>0</v>
      </c>
      <c r="AA764" s="80">
        <f>SUM(G764:Z764)</f>
        <v>0</v>
      </c>
      <c r="AB764" s="94" t="str">
        <f>IF(ABS(F764-AA764)&lt;0.01,"ok","err")</f>
        <v>ok</v>
      </c>
    </row>
    <row r="765" spans="1:28" s="61" customFormat="1" ht="14.25" hidden="1" customHeight="1">
      <c r="B765" s="61" t="s">
        <v>1272</v>
      </c>
      <c r="E765" s="61" t="s">
        <v>693</v>
      </c>
      <c r="F765" s="80">
        <v>0</v>
      </c>
      <c r="G765" s="80">
        <f t="shared" si="345"/>
        <v>0</v>
      </c>
      <c r="H765" s="80">
        <f t="shared" si="345"/>
        <v>0</v>
      </c>
      <c r="I765" s="80">
        <f t="shared" si="345"/>
        <v>0</v>
      </c>
      <c r="J765" s="80">
        <f t="shared" si="345"/>
        <v>0</v>
      </c>
      <c r="K765" s="80">
        <f t="shared" si="345"/>
        <v>0</v>
      </c>
      <c r="L765" s="80">
        <f t="shared" si="345"/>
        <v>0</v>
      </c>
      <c r="M765" s="80">
        <f t="shared" si="345"/>
        <v>0</v>
      </c>
      <c r="N765" s="80">
        <f t="shared" si="345"/>
        <v>0</v>
      </c>
      <c r="O765" s="80">
        <f t="shared" si="345"/>
        <v>0</v>
      </c>
      <c r="P765" s="80">
        <f t="shared" si="345"/>
        <v>0</v>
      </c>
      <c r="Q765" s="80">
        <f t="shared" si="346"/>
        <v>0</v>
      </c>
      <c r="R765" s="80">
        <f t="shared" si="346"/>
        <v>0</v>
      </c>
      <c r="S765" s="80">
        <f t="shared" si="346"/>
        <v>0</v>
      </c>
      <c r="T765" s="80">
        <f t="shared" si="346"/>
        <v>0</v>
      </c>
      <c r="U765" s="80">
        <f t="shared" si="346"/>
        <v>0</v>
      </c>
      <c r="V765" s="80">
        <f t="shared" si="346"/>
        <v>0</v>
      </c>
      <c r="W765" s="80">
        <f t="shared" si="346"/>
        <v>0</v>
      </c>
      <c r="X765" s="80">
        <f t="shared" si="346"/>
        <v>0</v>
      </c>
      <c r="Y765" s="80">
        <f t="shared" si="346"/>
        <v>0</v>
      </c>
      <c r="Z765" s="80">
        <f t="shared" si="346"/>
        <v>0</v>
      </c>
      <c r="AA765" s="80">
        <f t="shared" si="347"/>
        <v>0</v>
      </c>
      <c r="AB765" s="94" t="str">
        <f t="shared" si="348"/>
        <v>ok</v>
      </c>
    </row>
    <row r="766" spans="1:28" s="61" customFormat="1" ht="14.25" hidden="1" customHeight="1">
      <c r="B766" s="61" t="s">
        <v>841</v>
      </c>
      <c r="D766" s="61" t="s">
        <v>876</v>
      </c>
      <c r="E766" s="61" t="s">
        <v>1256</v>
      </c>
      <c r="F766" s="80"/>
      <c r="G766" s="80">
        <f t="shared" si="345"/>
        <v>0</v>
      </c>
      <c r="H766" s="80">
        <f t="shared" si="345"/>
        <v>0</v>
      </c>
      <c r="I766" s="80">
        <f t="shared" si="345"/>
        <v>0</v>
      </c>
      <c r="J766" s="80">
        <f t="shared" si="345"/>
        <v>0</v>
      </c>
      <c r="K766" s="80">
        <f t="shared" si="345"/>
        <v>0</v>
      </c>
      <c r="L766" s="80">
        <f t="shared" si="345"/>
        <v>0</v>
      </c>
      <c r="M766" s="80">
        <f t="shared" si="345"/>
        <v>0</v>
      </c>
      <c r="N766" s="80">
        <f t="shared" si="345"/>
        <v>0</v>
      </c>
      <c r="O766" s="80">
        <f t="shared" si="345"/>
        <v>0</v>
      </c>
      <c r="P766" s="80">
        <f t="shared" si="345"/>
        <v>0</v>
      </c>
      <c r="Q766" s="80">
        <f t="shared" si="346"/>
        <v>0</v>
      </c>
      <c r="R766" s="80">
        <f t="shared" si="346"/>
        <v>0</v>
      </c>
      <c r="S766" s="80">
        <f t="shared" si="346"/>
        <v>0</v>
      </c>
      <c r="T766" s="80">
        <f t="shared" si="346"/>
        <v>0</v>
      </c>
      <c r="U766" s="80">
        <f t="shared" si="346"/>
        <v>0</v>
      </c>
      <c r="V766" s="80">
        <f t="shared" si="346"/>
        <v>0</v>
      </c>
      <c r="W766" s="80">
        <f t="shared" si="346"/>
        <v>0</v>
      </c>
      <c r="X766" s="80">
        <f t="shared" si="346"/>
        <v>0</v>
      </c>
      <c r="Y766" s="80">
        <f t="shared" si="346"/>
        <v>0</v>
      </c>
      <c r="Z766" s="80">
        <f t="shared" si="346"/>
        <v>0</v>
      </c>
      <c r="AA766" s="80">
        <f t="shared" si="347"/>
        <v>0</v>
      </c>
      <c r="AB766" s="94" t="str">
        <f t="shared" si="348"/>
        <v>ok</v>
      </c>
    </row>
    <row r="767" spans="1:28" s="61" customFormat="1">
      <c r="B767" s="61" t="s">
        <v>1273</v>
      </c>
      <c r="E767" s="61" t="s">
        <v>693</v>
      </c>
      <c r="F767" s="80">
        <v>-8423259.5387509596</v>
      </c>
      <c r="G767" s="80">
        <f t="shared" si="345"/>
        <v>-3297836.5637638657</v>
      </c>
      <c r="H767" s="80">
        <f t="shared" si="345"/>
        <v>-1848541.9147539535</v>
      </c>
      <c r="I767" s="80">
        <f t="shared" si="345"/>
        <v>0</v>
      </c>
      <c r="J767" s="80">
        <f t="shared" si="345"/>
        <v>-80618.546479590106</v>
      </c>
      <c r="K767" s="80">
        <f t="shared" si="345"/>
        <v>-1002889.880727366</v>
      </c>
      <c r="L767" s="80">
        <f t="shared" si="345"/>
        <v>0</v>
      </c>
      <c r="M767" s="80">
        <f t="shared" si="345"/>
        <v>0</v>
      </c>
      <c r="N767" s="80">
        <f t="shared" si="345"/>
        <v>-833193.57320102572</v>
      </c>
      <c r="O767" s="80">
        <f t="shared" si="345"/>
        <v>-537753.55392959388</v>
      </c>
      <c r="P767" s="80">
        <f t="shared" si="345"/>
        <v>-461699.26012290485</v>
      </c>
      <c r="Q767" s="80">
        <f t="shared" si="346"/>
        <v>-42712.387941544512</v>
      </c>
      <c r="R767" s="80">
        <f t="shared" si="346"/>
        <v>-23116.949883436577</v>
      </c>
      <c r="S767" s="80">
        <f t="shared" si="346"/>
        <v>-290133.08100865397</v>
      </c>
      <c r="T767" s="80">
        <f t="shared" si="346"/>
        <v>-2398.9515506920206</v>
      </c>
      <c r="U767" s="80">
        <f t="shared" si="346"/>
        <v>-2364.8753883329678</v>
      </c>
      <c r="V767" s="80">
        <f t="shared" si="346"/>
        <v>0</v>
      </c>
      <c r="W767" s="80">
        <f t="shared" si="346"/>
        <v>0</v>
      </c>
      <c r="X767" s="80">
        <f t="shared" si="346"/>
        <v>0</v>
      </c>
      <c r="Y767" s="80">
        <f t="shared" si="346"/>
        <v>0</v>
      </c>
      <c r="Z767" s="80">
        <f t="shared" si="346"/>
        <v>0</v>
      </c>
      <c r="AA767" s="80">
        <f t="shared" si="347"/>
        <v>-8423259.5387509614</v>
      </c>
      <c r="AB767" s="94" t="str">
        <f t="shared" si="348"/>
        <v>ok</v>
      </c>
    </row>
    <row r="768" spans="1:28" s="61" customFormat="1">
      <c r="B768" s="61" t="s">
        <v>1339</v>
      </c>
      <c r="F768" s="80">
        <v>0</v>
      </c>
      <c r="G768" s="80"/>
      <c r="H768" s="80"/>
      <c r="I768" s="80"/>
      <c r="J768" s="80"/>
      <c r="K768" s="80"/>
      <c r="L768" s="80"/>
      <c r="M768" s="80"/>
      <c r="N768" s="80"/>
      <c r="O768" s="80">
        <v>0</v>
      </c>
      <c r="P768" s="80"/>
      <c r="Q768" s="80">
        <v>0</v>
      </c>
      <c r="R768" s="80"/>
      <c r="S768" s="80"/>
      <c r="T768" s="80"/>
      <c r="U768" s="80"/>
      <c r="V768" s="80"/>
      <c r="W768" s="80"/>
      <c r="X768" s="80"/>
      <c r="Y768" s="80"/>
      <c r="Z768" s="80"/>
      <c r="AA768" s="80">
        <f t="shared" si="347"/>
        <v>0</v>
      </c>
      <c r="AB768" s="94" t="str">
        <f t="shared" si="348"/>
        <v>ok</v>
      </c>
    </row>
    <row r="769" spans="1:28" s="61" customFormat="1">
      <c r="E769" s="113"/>
      <c r="F769" s="81"/>
      <c r="G769" s="81"/>
    </row>
    <row r="770" spans="1:28" s="61" customFormat="1">
      <c r="A770" s="61" t="s">
        <v>136</v>
      </c>
      <c r="E770" s="113"/>
      <c r="F770" s="81">
        <f t="shared" ref="F770:Z770" si="349">SUM(F757:F768)</f>
        <v>1017201652.4612489</v>
      </c>
      <c r="G770" s="81">
        <f t="shared" si="349"/>
        <v>402998921.72377723</v>
      </c>
      <c r="H770" s="81">
        <f t="shared" si="349"/>
        <v>140932563.72170484</v>
      </c>
      <c r="I770" s="81">
        <f t="shared" si="349"/>
        <v>0</v>
      </c>
      <c r="J770" s="81">
        <f t="shared" si="349"/>
        <v>12135196.109402934</v>
      </c>
      <c r="K770" s="81">
        <f t="shared" si="349"/>
        <v>158805591.72166637</v>
      </c>
      <c r="L770" s="81">
        <f t="shared" si="349"/>
        <v>0</v>
      </c>
      <c r="M770" s="81">
        <f t="shared" si="349"/>
        <v>0</v>
      </c>
      <c r="N770" s="81">
        <f t="shared" si="349"/>
        <v>123784634.31267761</v>
      </c>
      <c r="O770" s="81">
        <f t="shared" si="349"/>
        <v>80697465.522337571</v>
      </c>
      <c r="P770" s="81">
        <f t="shared" si="349"/>
        <v>68365364.196628705</v>
      </c>
      <c r="Q770" s="81">
        <f t="shared" si="349"/>
        <v>6758416.2802700074</v>
      </c>
      <c r="R770" s="81">
        <f t="shared" si="349"/>
        <v>3509133.7461027252</v>
      </c>
      <c r="S770" s="81">
        <f t="shared" si="349"/>
        <v>18711162.7017329</v>
      </c>
      <c r="T770" s="81">
        <f t="shared" si="349"/>
        <v>221950.90722661998</v>
      </c>
      <c r="U770" s="81">
        <f t="shared" si="349"/>
        <v>281251.51772149437</v>
      </c>
      <c r="V770" s="81">
        <f t="shared" si="349"/>
        <v>0</v>
      </c>
      <c r="W770" s="81">
        <f t="shared" si="349"/>
        <v>0</v>
      </c>
      <c r="X770" s="81">
        <f t="shared" si="349"/>
        <v>0</v>
      </c>
      <c r="Y770" s="81">
        <f t="shared" si="349"/>
        <v>0</v>
      </c>
      <c r="Z770" s="81">
        <f t="shared" si="349"/>
        <v>0</v>
      </c>
      <c r="AA770" s="81">
        <f>SUM(G770:Z770)</f>
        <v>1017201652.4612488</v>
      </c>
      <c r="AB770" s="94" t="str">
        <f>IF(ABS(F770-AA770)&lt;0.01,"ok","err")</f>
        <v>ok</v>
      </c>
    </row>
    <row r="771" spans="1:28" s="61" customFormat="1" ht="16.5" customHeight="1">
      <c r="E771" s="81"/>
    </row>
    <row r="772" spans="1:28" s="61" customFormat="1" ht="15">
      <c r="A772" s="66" t="s">
        <v>1125</v>
      </c>
      <c r="F772" s="81"/>
    </row>
    <row r="773" spans="1:28" s="61" customFormat="1"/>
    <row r="774" spans="1:28">
      <c r="A774" s="69" t="s">
        <v>1126</v>
      </c>
      <c r="F774" s="81">
        <f t="shared" ref="F774:AA774" si="350">F233</f>
        <v>685621902.81823468</v>
      </c>
      <c r="G774" s="81">
        <f t="shared" si="350"/>
        <v>293489808.23622578</v>
      </c>
      <c r="H774" s="81">
        <f t="shared" si="350"/>
        <v>83910875.257454872</v>
      </c>
      <c r="I774" s="81">
        <f t="shared" si="350"/>
        <v>0</v>
      </c>
      <c r="J774" s="81">
        <f t="shared" si="350"/>
        <v>8319396.9247090695</v>
      </c>
      <c r="K774" s="81">
        <f t="shared" si="350"/>
        <v>97709046.942771271</v>
      </c>
      <c r="L774" s="81">
        <f t="shared" si="350"/>
        <v>0</v>
      </c>
      <c r="M774" s="81">
        <f t="shared" si="350"/>
        <v>0</v>
      </c>
      <c r="N774" s="81">
        <f t="shared" si="350"/>
        <v>90477956.309345245</v>
      </c>
      <c r="O774" s="81">
        <f t="shared" si="350"/>
        <v>43331985.135973454</v>
      </c>
      <c r="P774" s="81">
        <f t="shared" si="350"/>
        <v>52826337.069601737</v>
      </c>
      <c r="Q774" s="81">
        <f t="shared" si="350"/>
        <v>5435234.9044458419</v>
      </c>
      <c r="R774" s="81">
        <f t="shared" si="350"/>
        <v>2798128.4811254009</v>
      </c>
      <c r="S774" s="81">
        <f t="shared" si="350"/>
        <v>6980743.9794723475</v>
      </c>
      <c r="T774" s="81">
        <f t="shared" si="350"/>
        <v>154702.79649543783</v>
      </c>
      <c r="U774" s="81">
        <f t="shared" si="350"/>
        <v>187686.78061425034</v>
      </c>
      <c r="V774" s="81">
        <f t="shared" si="350"/>
        <v>0</v>
      </c>
      <c r="W774" s="81">
        <f t="shared" si="350"/>
        <v>0</v>
      </c>
      <c r="X774" s="65">
        <f t="shared" si="350"/>
        <v>0</v>
      </c>
      <c r="Y774" s="65">
        <f t="shared" si="350"/>
        <v>0</v>
      </c>
      <c r="Z774" s="65">
        <f t="shared" si="350"/>
        <v>0</v>
      </c>
      <c r="AA774" s="65">
        <f t="shared" si="350"/>
        <v>685621902.8182348</v>
      </c>
      <c r="AB774" s="59" t="str">
        <f t="shared" ref="AB774:AB785" si="351">IF(ABS(F774-AA774)&lt;0.01,"ok","err")</f>
        <v>ok</v>
      </c>
    </row>
    <row r="775" spans="1:28">
      <c r="A775" s="69" t="s">
        <v>1127</v>
      </c>
      <c r="F775" s="80">
        <f t="shared" ref="F775:AA775" si="352">F347</f>
        <v>138842526.50563762</v>
      </c>
      <c r="G775" s="80">
        <f t="shared" si="352"/>
        <v>71674242.206605375</v>
      </c>
      <c r="H775" s="80">
        <f t="shared" si="352"/>
        <v>16120549.93106997</v>
      </c>
      <c r="I775" s="80">
        <f t="shared" si="352"/>
        <v>0</v>
      </c>
      <c r="J775" s="80">
        <f t="shared" si="352"/>
        <v>1265471.5202498345</v>
      </c>
      <c r="K775" s="80">
        <f t="shared" si="352"/>
        <v>16123530.106293637</v>
      </c>
      <c r="L775" s="80">
        <f t="shared" si="352"/>
        <v>0</v>
      </c>
      <c r="M775" s="80">
        <f t="shared" si="352"/>
        <v>0</v>
      </c>
      <c r="N775" s="80">
        <f t="shared" si="352"/>
        <v>13152588.86349605</v>
      </c>
      <c r="O775" s="80">
        <f t="shared" si="352"/>
        <v>8451739.5999496598</v>
      </c>
      <c r="P775" s="80">
        <f t="shared" si="352"/>
        <v>6535570.2783721089</v>
      </c>
      <c r="Q775" s="80">
        <f t="shared" si="352"/>
        <v>842161.92596422893</v>
      </c>
      <c r="R775" s="80">
        <f t="shared" si="352"/>
        <v>381814.57707368705</v>
      </c>
      <c r="S775" s="80">
        <f t="shared" si="352"/>
        <v>4262498.9756820602</v>
      </c>
      <c r="T775" s="80">
        <f t="shared" si="352"/>
        <v>9459.4743480613561</v>
      </c>
      <c r="U775" s="80">
        <f t="shared" si="352"/>
        <v>22899.046532925884</v>
      </c>
      <c r="V775" s="80">
        <f t="shared" si="352"/>
        <v>0</v>
      </c>
      <c r="W775" s="80">
        <f t="shared" si="352"/>
        <v>0</v>
      </c>
      <c r="X775" s="64">
        <f t="shared" si="352"/>
        <v>0</v>
      </c>
      <c r="Y775" s="64">
        <f t="shared" si="352"/>
        <v>0</v>
      </c>
      <c r="Z775" s="64">
        <f t="shared" si="352"/>
        <v>0</v>
      </c>
      <c r="AA775" s="64">
        <f t="shared" si="352"/>
        <v>138842526.50563759</v>
      </c>
      <c r="AB775" s="59" t="str">
        <f t="shared" si="351"/>
        <v>ok</v>
      </c>
    </row>
    <row r="776" spans="1:28" hidden="1">
      <c r="A776" s="112" t="s">
        <v>281</v>
      </c>
      <c r="F776" s="80">
        <f t="shared" ref="F776:Z776" si="353">F715</f>
        <v>0</v>
      </c>
      <c r="G776" s="80">
        <f t="shared" si="353"/>
        <v>0</v>
      </c>
      <c r="H776" s="80">
        <f t="shared" si="353"/>
        <v>0</v>
      </c>
      <c r="I776" s="80">
        <f t="shared" si="353"/>
        <v>0</v>
      </c>
      <c r="J776" s="80">
        <f t="shared" si="353"/>
        <v>0</v>
      </c>
      <c r="K776" s="80">
        <f t="shared" si="353"/>
        <v>0</v>
      </c>
      <c r="L776" s="80">
        <f t="shared" si="353"/>
        <v>0</v>
      </c>
      <c r="M776" s="80">
        <f t="shared" si="353"/>
        <v>0</v>
      </c>
      <c r="N776" s="80">
        <f t="shared" si="353"/>
        <v>0</v>
      </c>
      <c r="O776" s="80">
        <f t="shared" si="353"/>
        <v>0</v>
      </c>
      <c r="P776" s="80">
        <f t="shared" si="353"/>
        <v>0</v>
      </c>
      <c r="Q776" s="80">
        <f t="shared" si="353"/>
        <v>0</v>
      </c>
      <c r="R776" s="80">
        <f t="shared" si="353"/>
        <v>0</v>
      </c>
      <c r="S776" s="80">
        <f t="shared" si="353"/>
        <v>0</v>
      </c>
      <c r="T776" s="80">
        <f t="shared" si="353"/>
        <v>0</v>
      </c>
      <c r="U776" s="80">
        <f t="shared" si="353"/>
        <v>0</v>
      </c>
      <c r="V776" s="80">
        <f t="shared" si="353"/>
        <v>0</v>
      </c>
      <c r="W776" s="80">
        <f t="shared" si="353"/>
        <v>0</v>
      </c>
      <c r="X776" s="64">
        <f t="shared" si="353"/>
        <v>0</v>
      </c>
      <c r="Y776" s="64">
        <f t="shared" si="353"/>
        <v>0</v>
      </c>
      <c r="Z776" s="64">
        <f t="shared" si="353"/>
        <v>0</v>
      </c>
      <c r="AA776" s="64">
        <f t="shared" ref="AA776:AA781" si="354">SUM(G776:Z776)</f>
        <v>0</v>
      </c>
      <c r="AB776" s="59" t="str">
        <f t="shared" si="351"/>
        <v>ok</v>
      </c>
    </row>
    <row r="777" spans="1:28" hidden="1">
      <c r="A777" s="69" t="s">
        <v>804</v>
      </c>
      <c r="F777" s="80">
        <f t="shared" ref="F777:Z777" si="355">F716</f>
        <v>0</v>
      </c>
      <c r="G777" s="80">
        <f t="shared" si="355"/>
        <v>0</v>
      </c>
      <c r="H777" s="80">
        <f t="shared" si="355"/>
        <v>0</v>
      </c>
      <c r="I777" s="80">
        <f t="shared" si="355"/>
        <v>0</v>
      </c>
      <c r="J777" s="80">
        <f t="shared" si="355"/>
        <v>0</v>
      </c>
      <c r="K777" s="80">
        <f t="shared" si="355"/>
        <v>0</v>
      </c>
      <c r="L777" s="80">
        <f t="shared" si="355"/>
        <v>0</v>
      </c>
      <c r="M777" s="80">
        <f t="shared" si="355"/>
        <v>0</v>
      </c>
      <c r="N777" s="80">
        <f t="shared" si="355"/>
        <v>0</v>
      </c>
      <c r="O777" s="80">
        <f t="shared" si="355"/>
        <v>0</v>
      </c>
      <c r="P777" s="80">
        <f t="shared" si="355"/>
        <v>0</v>
      </c>
      <c r="Q777" s="80">
        <f t="shared" si="355"/>
        <v>0</v>
      </c>
      <c r="R777" s="80">
        <f t="shared" si="355"/>
        <v>0</v>
      </c>
      <c r="S777" s="80">
        <f t="shared" si="355"/>
        <v>0</v>
      </c>
      <c r="T777" s="80">
        <f t="shared" si="355"/>
        <v>0</v>
      </c>
      <c r="U777" s="80">
        <f t="shared" si="355"/>
        <v>0</v>
      </c>
      <c r="V777" s="80">
        <f t="shared" si="355"/>
        <v>0</v>
      </c>
      <c r="W777" s="80">
        <f t="shared" si="355"/>
        <v>0</v>
      </c>
      <c r="X777" s="64">
        <f t="shared" si="355"/>
        <v>0</v>
      </c>
      <c r="Y777" s="64">
        <f t="shared" si="355"/>
        <v>0</v>
      </c>
      <c r="Z777" s="64">
        <f t="shared" si="355"/>
        <v>0</v>
      </c>
      <c r="AA777" s="64">
        <f t="shared" si="354"/>
        <v>0</v>
      </c>
      <c r="AB777" s="59" t="str">
        <f t="shared" si="351"/>
        <v>ok</v>
      </c>
    </row>
    <row r="778" spans="1:28" hidden="1">
      <c r="A778" s="61" t="s">
        <v>1178</v>
      </c>
      <c r="F778" s="80">
        <f t="shared" ref="F778:Z778" si="356">F717</f>
        <v>0</v>
      </c>
      <c r="G778" s="80">
        <f t="shared" si="356"/>
        <v>0</v>
      </c>
      <c r="H778" s="80">
        <f t="shared" si="356"/>
        <v>0</v>
      </c>
      <c r="I778" s="80">
        <f t="shared" si="356"/>
        <v>0</v>
      </c>
      <c r="J778" s="80">
        <f t="shared" si="356"/>
        <v>0</v>
      </c>
      <c r="K778" s="80">
        <f t="shared" si="356"/>
        <v>0</v>
      </c>
      <c r="L778" s="80">
        <f t="shared" si="356"/>
        <v>0</v>
      </c>
      <c r="M778" s="80">
        <f t="shared" si="356"/>
        <v>0</v>
      </c>
      <c r="N778" s="80">
        <f t="shared" si="356"/>
        <v>0</v>
      </c>
      <c r="O778" s="80">
        <f t="shared" si="356"/>
        <v>0</v>
      </c>
      <c r="P778" s="80">
        <f t="shared" si="356"/>
        <v>0</v>
      </c>
      <c r="Q778" s="80">
        <f t="shared" si="356"/>
        <v>0</v>
      </c>
      <c r="R778" s="80">
        <f t="shared" si="356"/>
        <v>0</v>
      </c>
      <c r="S778" s="80">
        <f t="shared" si="356"/>
        <v>0</v>
      </c>
      <c r="T778" s="80">
        <f t="shared" si="356"/>
        <v>0</v>
      </c>
      <c r="U778" s="80">
        <f t="shared" si="356"/>
        <v>0</v>
      </c>
      <c r="V778" s="80">
        <f t="shared" si="356"/>
        <v>0</v>
      </c>
      <c r="W778" s="80">
        <f t="shared" si="356"/>
        <v>0</v>
      </c>
      <c r="X778" s="64">
        <f t="shared" si="356"/>
        <v>0</v>
      </c>
      <c r="Y778" s="64">
        <f t="shared" si="356"/>
        <v>0</v>
      </c>
      <c r="Z778" s="64">
        <f t="shared" si="356"/>
        <v>0</v>
      </c>
      <c r="AA778" s="64">
        <f t="shared" si="354"/>
        <v>0</v>
      </c>
      <c r="AB778" s="59" t="str">
        <f t="shared" si="351"/>
        <v>ok</v>
      </c>
    </row>
    <row r="779" spans="1:28" hidden="1">
      <c r="A779" s="61" t="s">
        <v>1179</v>
      </c>
      <c r="F779" s="80">
        <f t="shared" ref="F779:W779" si="357">F718</f>
        <v>0</v>
      </c>
      <c r="G779" s="80">
        <f t="shared" si="357"/>
        <v>0</v>
      </c>
      <c r="H779" s="80">
        <f t="shared" si="357"/>
        <v>0</v>
      </c>
      <c r="I779" s="80">
        <f t="shared" si="357"/>
        <v>0</v>
      </c>
      <c r="J779" s="80">
        <f t="shared" si="357"/>
        <v>0</v>
      </c>
      <c r="K779" s="80">
        <f t="shared" si="357"/>
        <v>0</v>
      </c>
      <c r="L779" s="80">
        <f t="shared" si="357"/>
        <v>0</v>
      </c>
      <c r="M779" s="80">
        <f t="shared" si="357"/>
        <v>0</v>
      </c>
      <c r="N779" s="80">
        <f t="shared" si="357"/>
        <v>0</v>
      </c>
      <c r="O779" s="80">
        <f t="shared" si="357"/>
        <v>0</v>
      </c>
      <c r="P779" s="80">
        <f t="shared" si="357"/>
        <v>0</v>
      </c>
      <c r="Q779" s="80">
        <f t="shared" si="357"/>
        <v>0</v>
      </c>
      <c r="R779" s="80">
        <f t="shared" si="357"/>
        <v>0</v>
      </c>
      <c r="S779" s="80">
        <f t="shared" si="357"/>
        <v>0</v>
      </c>
      <c r="T779" s="80">
        <f t="shared" si="357"/>
        <v>0</v>
      </c>
      <c r="U779" s="80">
        <f t="shared" si="357"/>
        <v>0</v>
      </c>
      <c r="V779" s="80">
        <f t="shared" si="357"/>
        <v>0</v>
      </c>
      <c r="W779" s="80">
        <f t="shared" si="357"/>
        <v>0</v>
      </c>
      <c r="X779" s="64"/>
      <c r="Y779" s="64"/>
      <c r="Z779" s="64"/>
      <c r="AA779" s="64">
        <f t="shared" si="354"/>
        <v>0</v>
      </c>
      <c r="AB779" s="59" t="str">
        <f t="shared" si="351"/>
        <v>ok</v>
      </c>
    </row>
    <row r="780" spans="1:28">
      <c r="A780" s="69" t="s">
        <v>726</v>
      </c>
      <c r="E780" s="61" t="s">
        <v>1110</v>
      </c>
      <c r="F780" s="80">
        <f t="shared" ref="F780:W780" si="358">F719</f>
        <v>32529208.918825753</v>
      </c>
      <c r="G780" s="80">
        <f t="shared" si="358"/>
        <v>16864804.316318464</v>
      </c>
      <c r="H780" s="80">
        <f t="shared" si="358"/>
        <v>3787837.7908507269</v>
      </c>
      <c r="I780" s="80">
        <f t="shared" si="358"/>
        <v>0</v>
      </c>
      <c r="J780" s="80">
        <f t="shared" si="358"/>
        <v>293549.95637468598</v>
      </c>
      <c r="K780" s="80">
        <f t="shared" si="358"/>
        <v>3733938.7182606556</v>
      </c>
      <c r="L780" s="80">
        <f t="shared" si="358"/>
        <v>0</v>
      </c>
      <c r="M780" s="80">
        <f t="shared" si="358"/>
        <v>0</v>
      </c>
      <c r="N780" s="80">
        <f t="shared" si="358"/>
        <v>3050768.4756675009</v>
      </c>
      <c r="O780" s="80">
        <f t="shared" si="358"/>
        <v>1958002.9355981757</v>
      </c>
      <c r="P780" s="80">
        <f t="shared" si="358"/>
        <v>1509543.3749493097</v>
      </c>
      <c r="Q780" s="80">
        <f t="shared" si="358"/>
        <v>195031.28987765653</v>
      </c>
      <c r="R780" s="80">
        <f t="shared" si="358"/>
        <v>89036.329313942406</v>
      </c>
      <c r="S780" s="80">
        <f t="shared" si="358"/>
        <v>1038908.810484495</v>
      </c>
      <c r="T780" s="80">
        <f t="shared" si="358"/>
        <v>2431.4005755044973</v>
      </c>
      <c r="U780" s="80">
        <f t="shared" si="358"/>
        <v>5355.5205546345051</v>
      </c>
      <c r="V780" s="80">
        <f t="shared" si="358"/>
        <v>0</v>
      </c>
      <c r="W780" s="80">
        <f t="shared" si="358"/>
        <v>0</v>
      </c>
      <c r="X780" s="64">
        <f>X719</f>
        <v>0</v>
      </c>
      <c r="Y780" s="64">
        <f>Y719</f>
        <v>0</v>
      </c>
      <c r="Z780" s="64">
        <f>Z719</f>
        <v>0</v>
      </c>
      <c r="AA780" s="64">
        <f t="shared" si="354"/>
        <v>32529208.918825749</v>
      </c>
      <c r="AB780" s="59" t="str">
        <f t="shared" si="351"/>
        <v>ok</v>
      </c>
    </row>
    <row r="781" spans="1:28">
      <c r="A781" s="69" t="s">
        <v>727</v>
      </c>
      <c r="F781" s="80">
        <f t="shared" ref="F781:Z781" si="359">F576</f>
        <v>-1002535.0000000001</v>
      </c>
      <c r="G781" s="80">
        <f t="shared" si="359"/>
        <v>-519765.37878470687</v>
      </c>
      <c r="H781" s="80">
        <f t="shared" si="359"/>
        <v>-116739.38856388321</v>
      </c>
      <c r="I781" s="80">
        <f t="shared" si="359"/>
        <v>0</v>
      </c>
      <c r="J781" s="80">
        <f t="shared" si="359"/>
        <v>-9047.0723173282513</v>
      </c>
      <c r="K781" s="80">
        <f t="shared" si="359"/>
        <v>-115078.24436348377</v>
      </c>
      <c r="L781" s="80">
        <f t="shared" si="359"/>
        <v>0</v>
      </c>
      <c r="M781" s="80">
        <f t="shared" si="359"/>
        <v>0</v>
      </c>
      <c r="N781" s="80">
        <f t="shared" si="359"/>
        <v>-94023.257109805054</v>
      </c>
      <c r="O781" s="80">
        <f t="shared" si="359"/>
        <v>-60344.734418176464</v>
      </c>
      <c r="P781" s="80">
        <f t="shared" si="359"/>
        <v>-46523.420571994538</v>
      </c>
      <c r="Q781" s="80">
        <f t="shared" si="359"/>
        <v>-6010.7731081138918</v>
      </c>
      <c r="R781" s="80">
        <f t="shared" si="359"/>
        <v>-2744.05801356867</v>
      </c>
      <c r="S781" s="80">
        <f t="shared" si="359"/>
        <v>-32018.683482840475</v>
      </c>
      <c r="T781" s="80">
        <f t="shared" si="359"/>
        <v>-74.934628199725481</v>
      </c>
      <c r="U781" s="80">
        <f t="shared" si="359"/>
        <v>-165.054637899086</v>
      </c>
      <c r="V781" s="80">
        <f t="shared" si="359"/>
        <v>0</v>
      </c>
      <c r="W781" s="80">
        <f t="shared" si="359"/>
        <v>0</v>
      </c>
      <c r="X781" s="64">
        <f t="shared" si="359"/>
        <v>0</v>
      </c>
      <c r="Y781" s="64">
        <f t="shared" si="359"/>
        <v>0</v>
      </c>
      <c r="Z781" s="64">
        <f t="shared" si="359"/>
        <v>0</v>
      </c>
      <c r="AA781" s="64">
        <f t="shared" si="354"/>
        <v>-1002534.9999999998</v>
      </c>
      <c r="AB781" s="59" t="str">
        <f t="shared" si="351"/>
        <v>ok</v>
      </c>
    </row>
    <row r="782" spans="1:28" hidden="1">
      <c r="A782" s="69" t="s">
        <v>692</v>
      </c>
      <c r="F782" s="80">
        <f t="shared" ref="F782:AA782" si="360">F721</f>
        <v>0</v>
      </c>
      <c r="G782" s="80">
        <f t="shared" si="360"/>
        <v>0</v>
      </c>
      <c r="H782" s="80">
        <f t="shared" si="360"/>
        <v>0</v>
      </c>
      <c r="I782" s="80">
        <f t="shared" si="360"/>
        <v>0</v>
      </c>
      <c r="J782" s="80">
        <f t="shared" si="360"/>
        <v>0</v>
      </c>
      <c r="K782" s="80">
        <f t="shared" si="360"/>
        <v>0</v>
      </c>
      <c r="L782" s="80">
        <f t="shared" si="360"/>
        <v>0</v>
      </c>
      <c r="M782" s="80">
        <f t="shared" si="360"/>
        <v>0</v>
      </c>
      <c r="N782" s="80">
        <f t="shared" si="360"/>
        <v>0</v>
      </c>
      <c r="O782" s="80">
        <f t="shared" si="360"/>
        <v>0</v>
      </c>
      <c r="P782" s="80">
        <f t="shared" si="360"/>
        <v>0</v>
      </c>
      <c r="Q782" s="80">
        <f t="shared" si="360"/>
        <v>0</v>
      </c>
      <c r="R782" s="80">
        <f t="shared" si="360"/>
        <v>0</v>
      </c>
      <c r="S782" s="80">
        <f t="shared" si="360"/>
        <v>0</v>
      </c>
      <c r="T782" s="80">
        <f t="shared" si="360"/>
        <v>0</v>
      </c>
      <c r="U782" s="80">
        <f t="shared" si="360"/>
        <v>0</v>
      </c>
      <c r="V782" s="80">
        <f t="shared" si="360"/>
        <v>0</v>
      </c>
      <c r="W782" s="80">
        <f t="shared" si="360"/>
        <v>0</v>
      </c>
      <c r="X782" s="64">
        <f t="shared" si="360"/>
        <v>0</v>
      </c>
      <c r="Y782" s="64">
        <f t="shared" si="360"/>
        <v>0</v>
      </c>
      <c r="Z782" s="64">
        <f t="shared" si="360"/>
        <v>0</v>
      </c>
      <c r="AA782" s="64">
        <f t="shared" si="360"/>
        <v>0</v>
      </c>
      <c r="AB782" s="59" t="str">
        <f t="shared" si="351"/>
        <v>ok</v>
      </c>
    </row>
    <row r="783" spans="1:28">
      <c r="A783" s="69" t="s">
        <v>206</v>
      </c>
      <c r="E783" s="61" t="s">
        <v>839</v>
      </c>
      <c r="F783" s="80">
        <f>F722</f>
        <v>48157086</v>
      </c>
      <c r="G783" s="80">
        <f t="shared" ref="G783:Z783" si="361">IF(VLOOKUP($E783,$D$6:$AN$1131,3,)=0,0,(VLOOKUP($E783,$D$6:$AN$1131,G$2,)/VLOOKUP($E783,$D$6:$AN$1131,3,))*$F783)</f>
        <v>-3340125.9384794654</v>
      </c>
      <c r="H783" s="80">
        <f t="shared" si="361"/>
        <v>14269176.273321152</v>
      </c>
      <c r="I783" s="80">
        <f t="shared" si="361"/>
        <v>0</v>
      </c>
      <c r="J783" s="80">
        <f t="shared" si="361"/>
        <v>800137.13205756992</v>
      </c>
      <c r="K783" s="80">
        <f t="shared" si="361"/>
        <v>15784726.12758537</v>
      </c>
      <c r="L783" s="80">
        <f t="shared" si="361"/>
        <v>0</v>
      </c>
      <c r="M783" s="80">
        <f t="shared" si="361"/>
        <v>0</v>
      </c>
      <c r="N783" s="80">
        <f t="shared" si="361"/>
        <v>5467199.2097846428</v>
      </c>
      <c r="O783" s="80">
        <f t="shared" si="361"/>
        <v>10671709.256542025</v>
      </c>
      <c r="P783" s="80">
        <f t="shared" si="361"/>
        <v>2293097.4657929046</v>
      </c>
      <c r="Q783" s="80">
        <f t="shared" si="361"/>
        <v>-17087.9942893101</v>
      </c>
      <c r="R783" s="80">
        <f t="shared" si="361"/>
        <v>42939.195166565922</v>
      </c>
      <c r="S783" s="80">
        <f t="shared" si="361"/>
        <v>2135662.6535391463</v>
      </c>
      <c r="T783" s="80">
        <f t="shared" si="361"/>
        <v>23836.039862062604</v>
      </c>
      <c r="U783" s="80">
        <f t="shared" si="361"/>
        <v>25816.579117400197</v>
      </c>
      <c r="V783" s="80">
        <f t="shared" si="361"/>
        <v>0</v>
      </c>
      <c r="W783" s="80">
        <f t="shared" si="361"/>
        <v>0</v>
      </c>
      <c r="X783" s="64">
        <f t="shared" si="361"/>
        <v>0</v>
      </c>
      <c r="Y783" s="64">
        <f t="shared" si="361"/>
        <v>0</v>
      </c>
      <c r="Z783" s="64">
        <f t="shared" si="361"/>
        <v>0</v>
      </c>
      <c r="AA783" s="64">
        <f>SUM(G783:Z783)</f>
        <v>48157086.00000006</v>
      </c>
      <c r="AB783" s="59" t="str">
        <f t="shared" si="351"/>
        <v>ok</v>
      </c>
    </row>
    <row r="784" spans="1:28">
      <c r="A784" s="69" t="s">
        <v>699</v>
      </c>
      <c r="F784" s="80">
        <f>F723</f>
        <v>0</v>
      </c>
      <c r="G784" s="80">
        <f t="shared" ref="G784:Z784" si="362">G1102</f>
        <v>0</v>
      </c>
      <c r="H784" s="80">
        <f t="shared" si="362"/>
        <v>0</v>
      </c>
      <c r="I784" s="80">
        <f t="shared" si="362"/>
        <v>0</v>
      </c>
      <c r="J784" s="80">
        <f t="shared" si="362"/>
        <v>0</v>
      </c>
      <c r="K784" s="80">
        <f t="shared" si="362"/>
        <v>0</v>
      </c>
      <c r="L784" s="80">
        <f t="shared" si="362"/>
        <v>0</v>
      </c>
      <c r="M784" s="80">
        <f>-M1102</f>
        <v>0</v>
      </c>
      <c r="N784" s="80">
        <f t="shared" si="362"/>
        <v>0</v>
      </c>
      <c r="O784" s="80">
        <f>-O1102</f>
        <v>0</v>
      </c>
      <c r="P784" s="80">
        <v>0</v>
      </c>
      <c r="Q784" s="80">
        <f t="shared" si="362"/>
        <v>0</v>
      </c>
      <c r="R784" s="80">
        <f t="shared" si="362"/>
        <v>0</v>
      </c>
      <c r="S784" s="80">
        <f t="shared" si="362"/>
        <v>0</v>
      </c>
      <c r="T784" s="80">
        <f t="shared" si="362"/>
        <v>0</v>
      </c>
      <c r="U784" s="80">
        <f t="shared" si="362"/>
        <v>0</v>
      </c>
      <c r="V784" s="80">
        <f t="shared" si="362"/>
        <v>0</v>
      </c>
      <c r="W784" s="80">
        <f t="shared" si="362"/>
        <v>0</v>
      </c>
      <c r="X784" s="64">
        <f t="shared" si="362"/>
        <v>0</v>
      </c>
      <c r="Y784" s="64">
        <f t="shared" si="362"/>
        <v>0</v>
      </c>
      <c r="Z784" s="64">
        <f t="shared" si="362"/>
        <v>0</v>
      </c>
      <c r="AA784" s="64">
        <f>SUM(G784:Z784)</f>
        <v>0</v>
      </c>
      <c r="AB784" s="59" t="str">
        <f t="shared" si="351"/>
        <v>ok</v>
      </c>
    </row>
    <row r="785" spans="1:28">
      <c r="A785" s="69" t="s">
        <v>700</v>
      </c>
      <c r="E785" s="61" t="s">
        <v>701</v>
      </c>
      <c r="F785" s="80">
        <f>F724</f>
        <v>0</v>
      </c>
      <c r="G785" s="80">
        <f t="shared" ref="G785:Z785" si="363">IF(VLOOKUP($E785,$D$6:$AN$1131,3,)=0,0,(VLOOKUP($E785,$D$6:$AN$1131,G$2,)/VLOOKUP($E785,$D$6:$AN$1131,3,))*$F785)</f>
        <v>0</v>
      </c>
      <c r="H785" s="80">
        <f t="shared" si="363"/>
        <v>0</v>
      </c>
      <c r="I785" s="80">
        <f t="shared" si="363"/>
        <v>0</v>
      </c>
      <c r="J785" s="80">
        <f t="shared" si="363"/>
        <v>0</v>
      </c>
      <c r="K785" s="80">
        <f t="shared" si="363"/>
        <v>0</v>
      </c>
      <c r="L785" s="80">
        <f t="shared" si="363"/>
        <v>0</v>
      </c>
      <c r="M785" s="80">
        <f t="shared" si="363"/>
        <v>0</v>
      </c>
      <c r="N785" s="80">
        <f t="shared" si="363"/>
        <v>0</v>
      </c>
      <c r="O785" s="80">
        <f t="shared" si="363"/>
        <v>0</v>
      </c>
      <c r="P785" s="80">
        <f t="shared" si="363"/>
        <v>0</v>
      </c>
      <c r="Q785" s="80">
        <f t="shared" si="363"/>
        <v>0</v>
      </c>
      <c r="R785" s="80">
        <f t="shared" si="363"/>
        <v>0</v>
      </c>
      <c r="S785" s="80">
        <f t="shared" si="363"/>
        <v>0</v>
      </c>
      <c r="T785" s="80">
        <f t="shared" si="363"/>
        <v>0</v>
      </c>
      <c r="U785" s="80">
        <f t="shared" si="363"/>
        <v>0</v>
      </c>
      <c r="V785" s="80">
        <f t="shared" si="363"/>
        <v>0</v>
      </c>
      <c r="W785" s="80">
        <f t="shared" si="363"/>
        <v>0</v>
      </c>
      <c r="X785" s="64">
        <f t="shared" si="363"/>
        <v>0</v>
      </c>
      <c r="Y785" s="64">
        <f t="shared" si="363"/>
        <v>0</v>
      </c>
      <c r="Z785" s="64">
        <f t="shared" si="363"/>
        <v>0</v>
      </c>
      <c r="AA785" s="64">
        <f>SUM(G785:Z785)</f>
        <v>0</v>
      </c>
      <c r="AB785" s="59" t="str">
        <f t="shared" si="351"/>
        <v>ok</v>
      </c>
    </row>
    <row r="786" spans="1:28">
      <c r="A786" s="69"/>
      <c r="D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4"/>
      <c r="Y786" s="64"/>
      <c r="Z786" s="64"/>
      <c r="AA786" s="64"/>
      <c r="AB786" s="59"/>
    </row>
    <row r="787" spans="1:28">
      <c r="A787" s="61" t="s">
        <v>207</v>
      </c>
      <c r="AA787" s="65"/>
      <c r="AB787" s="59"/>
    </row>
    <row r="788" spans="1:28" s="61" customFormat="1" hidden="1">
      <c r="B788" s="61" t="s">
        <v>688</v>
      </c>
      <c r="E788" s="61" t="s">
        <v>939</v>
      </c>
      <c r="F788" s="301"/>
      <c r="G788" s="77">
        <f t="shared" ref="G788:P797" si="364">IF(VLOOKUP($E788,$D$6:$AN$1131,3,)=0,0,(VLOOKUP($E788,$D$6:$AN$1131,G$2,)/VLOOKUP($E788,$D$6:$AN$1131,3,))*$F788)</f>
        <v>0</v>
      </c>
      <c r="H788" s="77">
        <f t="shared" si="364"/>
        <v>0</v>
      </c>
      <c r="I788" s="77">
        <f t="shared" si="364"/>
        <v>0</v>
      </c>
      <c r="J788" s="77">
        <f t="shared" si="364"/>
        <v>0</v>
      </c>
      <c r="K788" s="77">
        <f t="shared" si="364"/>
        <v>0</v>
      </c>
      <c r="L788" s="77">
        <f t="shared" si="364"/>
        <v>0</v>
      </c>
      <c r="M788" s="77">
        <f t="shared" si="364"/>
        <v>0</v>
      </c>
      <c r="N788" s="77">
        <f t="shared" si="364"/>
        <v>0</v>
      </c>
      <c r="O788" s="77">
        <f t="shared" si="364"/>
        <v>0</v>
      </c>
      <c r="P788" s="77">
        <f t="shared" si="364"/>
        <v>0</v>
      </c>
      <c r="Q788" s="77">
        <f t="shared" ref="Q788:Z797" si="365">IF(VLOOKUP($E788,$D$6:$AN$1131,3,)=0,0,(VLOOKUP($E788,$D$6:$AN$1131,Q$2,)/VLOOKUP($E788,$D$6:$AN$1131,3,))*$F788)</f>
        <v>0</v>
      </c>
      <c r="R788" s="77">
        <f t="shared" si="365"/>
        <v>0</v>
      </c>
      <c r="S788" s="77">
        <f t="shared" si="365"/>
        <v>0</v>
      </c>
      <c r="T788" s="77">
        <f t="shared" si="365"/>
        <v>0</v>
      </c>
      <c r="U788" s="77">
        <f t="shared" si="365"/>
        <v>0</v>
      </c>
      <c r="V788" s="77">
        <f t="shared" si="365"/>
        <v>0</v>
      </c>
      <c r="W788" s="77">
        <f t="shared" si="365"/>
        <v>0</v>
      </c>
      <c r="X788" s="80">
        <f t="shared" si="365"/>
        <v>0</v>
      </c>
      <c r="Y788" s="80">
        <f t="shared" si="365"/>
        <v>0</v>
      </c>
      <c r="Z788" s="80">
        <f t="shared" si="365"/>
        <v>0</v>
      </c>
      <c r="AA788" s="81">
        <f>SUM(G788:Z788)</f>
        <v>0</v>
      </c>
      <c r="AB788" s="94" t="str">
        <f t="shared" ref="AB788:AB819" si="366">IF(ABS(F788-AA788)&lt;0.01,"ok","err")</f>
        <v>ok</v>
      </c>
    </row>
    <row r="789" spans="1:28" s="61" customFormat="1" hidden="1">
      <c r="B789" s="61" t="s">
        <v>689</v>
      </c>
      <c r="E789" s="61" t="s">
        <v>693</v>
      </c>
      <c r="F789" s="297"/>
      <c r="G789" s="80">
        <f t="shared" si="364"/>
        <v>0</v>
      </c>
      <c r="H789" s="80">
        <f t="shared" si="364"/>
        <v>0</v>
      </c>
      <c r="I789" s="80">
        <f t="shared" si="364"/>
        <v>0</v>
      </c>
      <c r="J789" s="80">
        <f t="shared" si="364"/>
        <v>0</v>
      </c>
      <c r="K789" s="80">
        <f t="shared" si="364"/>
        <v>0</v>
      </c>
      <c r="L789" s="80">
        <f t="shared" si="364"/>
        <v>0</v>
      </c>
      <c r="M789" s="80">
        <f t="shared" si="364"/>
        <v>0</v>
      </c>
      <c r="N789" s="80">
        <f t="shared" si="364"/>
        <v>0</v>
      </c>
      <c r="O789" s="80">
        <f t="shared" si="364"/>
        <v>0</v>
      </c>
      <c r="P789" s="80">
        <f t="shared" si="364"/>
        <v>0</v>
      </c>
      <c r="Q789" s="80">
        <f t="shared" si="365"/>
        <v>0</v>
      </c>
      <c r="R789" s="80">
        <f t="shared" si="365"/>
        <v>0</v>
      </c>
      <c r="S789" s="80">
        <f t="shared" si="365"/>
        <v>0</v>
      </c>
      <c r="T789" s="80">
        <f t="shared" si="365"/>
        <v>0</v>
      </c>
      <c r="U789" s="80">
        <f t="shared" si="365"/>
        <v>0</v>
      </c>
      <c r="V789" s="80">
        <f t="shared" si="365"/>
        <v>0</v>
      </c>
      <c r="W789" s="80">
        <f t="shared" si="365"/>
        <v>0</v>
      </c>
      <c r="X789" s="80">
        <f t="shared" si="365"/>
        <v>0</v>
      </c>
      <c r="Y789" s="80">
        <f t="shared" si="365"/>
        <v>0</v>
      </c>
      <c r="Z789" s="80">
        <f t="shared" si="365"/>
        <v>0</v>
      </c>
      <c r="AA789" s="80">
        <f t="shared" ref="AA789:AA818" si="367">SUM(G789:Z789)</f>
        <v>0</v>
      </c>
      <c r="AB789" s="94" t="str">
        <f t="shared" si="366"/>
        <v>ok</v>
      </c>
    </row>
    <row r="790" spans="1:28" s="61" customFormat="1" hidden="1">
      <c r="B790" s="61" t="s">
        <v>280</v>
      </c>
      <c r="E790" s="61" t="s">
        <v>1256</v>
      </c>
      <c r="F790" s="297"/>
      <c r="G790" s="80">
        <f t="shared" si="364"/>
        <v>0</v>
      </c>
      <c r="H790" s="80">
        <f t="shared" si="364"/>
        <v>0</v>
      </c>
      <c r="I790" s="80">
        <f t="shared" si="364"/>
        <v>0</v>
      </c>
      <c r="J790" s="80">
        <f t="shared" si="364"/>
        <v>0</v>
      </c>
      <c r="K790" s="80">
        <f t="shared" si="364"/>
        <v>0</v>
      </c>
      <c r="L790" s="80">
        <f t="shared" si="364"/>
        <v>0</v>
      </c>
      <c r="M790" s="80">
        <f t="shared" si="364"/>
        <v>0</v>
      </c>
      <c r="N790" s="80">
        <f t="shared" si="364"/>
        <v>0</v>
      </c>
      <c r="O790" s="80">
        <f t="shared" si="364"/>
        <v>0</v>
      </c>
      <c r="P790" s="80">
        <f t="shared" si="364"/>
        <v>0</v>
      </c>
      <c r="Q790" s="80">
        <f t="shared" si="365"/>
        <v>0</v>
      </c>
      <c r="R790" s="80">
        <f t="shared" si="365"/>
        <v>0</v>
      </c>
      <c r="S790" s="80">
        <f t="shared" si="365"/>
        <v>0</v>
      </c>
      <c r="T790" s="80">
        <f t="shared" si="365"/>
        <v>0</v>
      </c>
      <c r="U790" s="80">
        <f t="shared" si="365"/>
        <v>0</v>
      </c>
      <c r="V790" s="80">
        <f t="shared" si="365"/>
        <v>0</v>
      </c>
      <c r="W790" s="80">
        <f t="shared" si="365"/>
        <v>0</v>
      </c>
      <c r="X790" s="80">
        <f t="shared" si="365"/>
        <v>0</v>
      </c>
      <c r="Y790" s="80">
        <f t="shared" si="365"/>
        <v>0</v>
      </c>
      <c r="Z790" s="80">
        <f t="shared" si="365"/>
        <v>0</v>
      </c>
      <c r="AA790" s="80">
        <f>SUM(G790:Z790)</f>
        <v>0</v>
      </c>
      <c r="AB790" s="94" t="str">
        <f t="shared" si="366"/>
        <v>ok</v>
      </c>
    </row>
    <row r="791" spans="1:28" s="61" customFormat="1" hidden="1">
      <c r="B791" s="61" t="s">
        <v>690</v>
      </c>
      <c r="E791" s="61" t="s">
        <v>939</v>
      </c>
      <c r="F791" s="297"/>
      <c r="G791" s="80">
        <f t="shared" si="364"/>
        <v>0</v>
      </c>
      <c r="H791" s="80">
        <f t="shared" si="364"/>
        <v>0</v>
      </c>
      <c r="I791" s="80">
        <f t="shared" si="364"/>
        <v>0</v>
      </c>
      <c r="J791" s="80">
        <f t="shared" si="364"/>
        <v>0</v>
      </c>
      <c r="K791" s="80">
        <f t="shared" si="364"/>
        <v>0</v>
      </c>
      <c r="L791" s="80">
        <f t="shared" si="364"/>
        <v>0</v>
      </c>
      <c r="M791" s="80">
        <f t="shared" si="364"/>
        <v>0</v>
      </c>
      <c r="N791" s="80">
        <f t="shared" si="364"/>
        <v>0</v>
      </c>
      <c r="O791" s="80">
        <f t="shared" si="364"/>
        <v>0</v>
      </c>
      <c r="P791" s="80">
        <f t="shared" si="364"/>
        <v>0</v>
      </c>
      <c r="Q791" s="80">
        <f t="shared" si="365"/>
        <v>0</v>
      </c>
      <c r="R791" s="80">
        <f t="shared" si="365"/>
        <v>0</v>
      </c>
      <c r="S791" s="80">
        <f t="shared" si="365"/>
        <v>0</v>
      </c>
      <c r="T791" s="80">
        <f t="shared" si="365"/>
        <v>0</v>
      </c>
      <c r="U791" s="80">
        <f t="shared" si="365"/>
        <v>0</v>
      </c>
      <c r="V791" s="80">
        <f t="shared" si="365"/>
        <v>0</v>
      </c>
      <c r="W791" s="80">
        <f t="shared" si="365"/>
        <v>0</v>
      </c>
      <c r="X791" s="80">
        <f t="shared" si="365"/>
        <v>0</v>
      </c>
      <c r="Y791" s="80">
        <f t="shared" si="365"/>
        <v>0</v>
      </c>
      <c r="Z791" s="80">
        <f t="shared" si="365"/>
        <v>0</v>
      </c>
      <c r="AA791" s="80">
        <f t="shared" si="367"/>
        <v>0</v>
      </c>
      <c r="AB791" s="94" t="str">
        <f t="shared" si="366"/>
        <v>ok</v>
      </c>
    </row>
    <row r="792" spans="1:28" s="61" customFormat="1" hidden="1">
      <c r="B792" s="61" t="s">
        <v>1312</v>
      </c>
      <c r="E792" s="61" t="s">
        <v>1255</v>
      </c>
      <c r="F792" s="297"/>
      <c r="G792" s="80">
        <f t="shared" si="364"/>
        <v>0</v>
      </c>
      <c r="H792" s="80">
        <f t="shared" si="364"/>
        <v>0</v>
      </c>
      <c r="I792" s="80">
        <f t="shared" si="364"/>
        <v>0</v>
      </c>
      <c r="J792" s="80">
        <f t="shared" si="364"/>
        <v>0</v>
      </c>
      <c r="K792" s="80">
        <f t="shared" si="364"/>
        <v>0</v>
      </c>
      <c r="L792" s="80">
        <f t="shared" si="364"/>
        <v>0</v>
      </c>
      <c r="M792" s="80">
        <f t="shared" si="364"/>
        <v>0</v>
      </c>
      <c r="N792" s="80">
        <f t="shared" si="364"/>
        <v>0</v>
      </c>
      <c r="O792" s="80">
        <f t="shared" si="364"/>
        <v>0</v>
      </c>
      <c r="P792" s="80">
        <f t="shared" si="364"/>
        <v>0</v>
      </c>
      <c r="Q792" s="80">
        <f t="shared" si="365"/>
        <v>0</v>
      </c>
      <c r="R792" s="80">
        <f t="shared" si="365"/>
        <v>0</v>
      </c>
      <c r="S792" s="80">
        <f t="shared" si="365"/>
        <v>0</v>
      </c>
      <c r="T792" s="80">
        <f t="shared" si="365"/>
        <v>0</v>
      </c>
      <c r="U792" s="80">
        <f t="shared" si="365"/>
        <v>0</v>
      </c>
      <c r="V792" s="80">
        <f t="shared" si="365"/>
        <v>0</v>
      </c>
      <c r="W792" s="80">
        <f t="shared" si="365"/>
        <v>0</v>
      </c>
      <c r="X792" s="80">
        <f t="shared" si="365"/>
        <v>0</v>
      </c>
      <c r="Y792" s="80">
        <f t="shared" si="365"/>
        <v>0</v>
      </c>
      <c r="Z792" s="80">
        <f t="shared" si="365"/>
        <v>0</v>
      </c>
      <c r="AA792" s="80">
        <f>SUM(G792:Z792)</f>
        <v>0</v>
      </c>
      <c r="AB792" s="94" t="str">
        <f>IF(ABS(F792-AA792)&lt;0.01,"ok","err")</f>
        <v>ok</v>
      </c>
    </row>
    <row r="793" spans="1:28" s="61" customFormat="1" hidden="1">
      <c r="B793" s="61" t="s">
        <v>1277</v>
      </c>
      <c r="E793" s="61" t="s">
        <v>874</v>
      </c>
      <c r="F793" s="297"/>
      <c r="G793" s="80">
        <f t="shared" si="364"/>
        <v>0</v>
      </c>
      <c r="H793" s="80">
        <f t="shared" si="364"/>
        <v>0</v>
      </c>
      <c r="I793" s="80">
        <f t="shared" si="364"/>
        <v>0</v>
      </c>
      <c r="J793" s="80">
        <f t="shared" si="364"/>
        <v>0</v>
      </c>
      <c r="K793" s="80">
        <f t="shared" si="364"/>
        <v>0</v>
      </c>
      <c r="L793" s="80">
        <f t="shared" si="364"/>
        <v>0</v>
      </c>
      <c r="M793" s="80">
        <f t="shared" si="364"/>
        <v>0</v>
      </c>
      <c r="N793" s="80">
        <f t="shared" si="364"/>
        <v>0</v>
      </c>
      <c r="O793" s="80">
        <f t="shared" si="364"/>
        <v>0</v>
      </c>
      <c r="P793" s="80">
        <f t="shared" si="364"/>
        <v>0</v>
      </c>
      <c r="Q793" s="80">
        <f t="shared" si="365"/>
        <v>0</v>
      </c>
      <c r="R793" s="80">
        <f t="shared" si="365"/>
        <v>0</v>
      </c>
      <c r="S793" s="80">
        <f t="shared" si="365"/>
        <v>0</v>
      </c>
      <c r="T793" s="80">
        <f t="shared" si="365"/>
        <v>0</v>
      </c>
      <c r="U793" s="80">
        <f t="shared" si="365"/>
        <v>0</v>
      </c>
      <c r="V793" s="80">
        <f t="shared" si="365"/>
        <v>0</v>
      </c>
      <c r="W793" s="80">
        <f t="shared" si="365"/>
        <v>0</v>
      </c>
      <c r="X793" s="80">
        <f t="shared" si="365"/>
        <v>0</v>
      </c>
      <c r="Y793" s="80">
        <f t="shared" si="365"/>
        <v>0</v>
      </c>
      <c r="Z793" s="80">
        <f t="shared" si="365"/>
        <v>0</v>
      </c>
      <c r="AA793" s="80">
        <f t="shared" si="367"/>
        <v>0</v>
      </c>
      <c r="AB793" s="94" t="str">
        <f t="shared" si="366"/>
        <v>ok</v>
      </c>
    </row>
    <row r="794" spans="1:28" s="61" customFormat="1" hidden="1">
      <c r="B794" s="61" t="s">
        <v>1274</v>
      </c>
      <c r="E794" s="61" t="s">
        <v>873</v>
      </c>
      <c r="F794" s="297"/>
      <c r="G794" s="80">
        <f t="shared" si="364"/>
        <v>0</v>
      </c>
      <c r="H794" s="80">
        <f t="shared" si="364"/>
        <v>0</v>
      </c>
      <c r="I794" s="80">
        <f t="shared" si="364"/>
        <v>0</v>
      </c>
      <c r="J794" s="80">
        <f t="shared" si="364"/>
        <v>0</v>
      </c>
      <c r="K794" s="80">
        <f t="shared" si="364"/>
        <v>0</v>
      </c>
      <c r="L794" s="80">
        <f t="shared" si="364"/>
        <v>0</v>
      </c>
      <c r="M794" s="80">
        <f t="shared" si="364"/>
        <v>0</v>
      </c>
      <c r="N794" s="80">
        <f t="shared" si="364"/>
        <v>0</v>
      </c>
      <c r="O794" s="80">
        <f t="shared" si="364"/>
        <v>0</v>
      </c>
      <c r="P794" s="80">
        <f t="shared" si="364"/>
        <v>0</v>
      </c>
      <c r="Q794" s="80">
        <f t="shared" si="365"/>
        <v>0</v>
      </c>
      <c r="R794" s="80">
        <f t="shared" si="365"/>
        <v>0</v>
      </c>
      <c r="S794" s="80">
        <f t="shared" si="365"/>
        <v>0</v>
      </c>
      <c r="T794" s="80">
        <f t="shared" si="365"/>
        <v>0</v>
      </c>
      <c r="U794" s="80">
        <f t="shared" si="365"/>
        <v>0</v>
      </c>
      <c r="V794" s="80">
        <f t="shared" si="365"/>
        <v>0</v>
      </c>
      <c r="W794" s="80">
        <f t="shared" si="365"/>
        <v>0</v>
      </c>
      <c r="X794" s="80">
        <f t="shared" si="365"/>
        <v>0</v>
      </c>
      <c r="Y794" s="80">
        <f t="shared" si="365"/>
        <v>0</v>
      </c>
      <c r="Z794" s="80">
        <f t="shared" si="365"/>
        <v>0</v>
      </c>
      <c r="AA794" s="80">
        <f t="shared" si="367"/>
        <v>0</v>
      </c>
      <c r="AB794" s="94" t="str">
        <f t="shared" si="366"/>
        <v>ok</v>
      </c>
    </row>
    <row r="795" spans="1:28" s="61" customFormat="1" hidden="1">
      <c r="B795" s="61" t="s">
        <v>1275</v>
      </c>
      <c r="E795" s="61" t="s">
        <v>532</v>
      </c>
      <c r="F795" s="297"/>
      <c r="G795" s="80">
        <f t="shared" si="364"/>
        <v>0</v>
      </c>
      <c r="H795" s="80">
        <f t="shared" si="364"/>
        <v>0</v>
      </c>
      <c r="I795" s="80">
        <f t="shared" si="364"/>
        <v>0</v>
      </c>
      <c r="J795" s="80">
        <f t="shared" si="364"/>
        <v>0</v>
      </c>
      <c r="K795" s="80">
        <f t="shared" si="364"/>
        <v>0</v>
      </c>
      <c r="L795" s="80">
        <f t="shared" si="364"/>
        <v>0</v>
      </c>
      <c r="M795" s="80">
        <f t="shared" si="364"/>
        <v>0</v>
      </c>
      <c r="N795" s="80">
        <f t="shared" si="364"/>
        <v>0</v>
      </c>
      <c r="O795" s="80">
        <f t="shared" si="364"/>
        <v>0</v>
      </c>
      <c r="P795" s="80">
        <f t="shared" si="364"/>
        <v>0</v>
      </c>
      <c r="Q795" s="80">
        <f t="shared" si="365"/>
        <v>0</v>
      </c>
      <c r="R795" s="80">
        <f t="shared" si="365"/>
        <v>0</v>
      </c>
      <c r="S795" s="80">
        <f t="shared" si="365"/>
        <v>0</v>
      </c>
      <c r="T795" s="80">
        <f t="shared" si="365"/>
        <v>0</v>
      </c>
      <c r="U795" s="80">
        <f t="shared" si="365"/>
        <v>0</v>
      </c>
      <c r="V795" s="80">
        <f t="shared" si="365"/>
        <v>0</v>
      </c>
      <c r="W795" s="80">
        <f t="shared" si="365"/>
        <v>0</v>
      </c>
      <c r="X795" s="80">
        <f t="shared" si="365"/>
        <v>0</v>
      </c>
      <c r="Y795" s="80">
        <f t="shared" si="365"/>
        <v>0</v>
      </c>
      <c r="Z795" s="80">
        <f t="shared" si="365"/>
        <v>0</v>
      </c>
      <c r="AA795" s="80">
        <f t="shared" si="367"/>
        <v>0</v>
      </c>
      <c r="AB795" s="94" t="str">
        <f t="shared" si="366"/>
        <v>ok</v>
      </c>
    </row>
    <row r="796" spans="1:28" s="61" customFormat="1" hidden="1">
      <c r="B796" s="61" t="s">
        <v>1279</v>
      </c>
      <c r="E796" s="61" t="s">
        <v>1117</v>
      </c>
      <c r="F796" s="297"/>
      <c r="G796" s="80">
        <f t="shared" si="364"/>
        <v>0</v>
      </c>
      <c r="H796" s="80">
        <f t="shared" si="364"/>
        <v>0</v>
      </c>
      <c r="I796" s="80">
        <f t="shared" si="364"/>
        <v>0</v>
      </c>
      <c r="J796" s="80">
        <f t="shared" si="364"/>
        <v>0</v>
      </c>
      <c r="K796" s="80">
        <f t="shared" si="364"/>
        <v>0</v>
      </c>
      <c r="L796" s="80">
        <f t="shared" si="364"/>
        <v>0</v>
      </c>
      <c r="M796" s="80">
        <f t="shared" si="364"/>
        <v>0</v>
      </c>
      <c r="N796" s="80">
        <f t="shared" si="364"/>
        <v>0</v>
      </c>
      <c r="O796" s="80">
        <f t="shared" si="364"/>
        <v>0</v>
      </c>
      <c r="P796" s="80">
        <f t="shared" si="364"/>
        <v>0</v>
      </c>
      <c r="Q796" s="80">
        <f t="shared" si="365"/>
        <v>0</v>
      </c>
      <c r="R796" s="80">
        <f t="shared" si="365"/>
        <v>0</v>
      </c>
      <c r="S796" s="80">
        <f t="shared" si="365"/>
        <v>0</v>
      </c>
      <c r="T796" s="80">
        <f t="shared" si="365"/>
        <v>0</v>
      </c>
      <c r="U796" s="80">
        <f t="shared" si="365"/>
        <v>0</v>
      </c>
      <c r="V796" s="80">
        <f t="shared" si="365"/>
        <v>0</v>
      </c>
      <c r="W796" s="80">
        <f t="shared" si="365"/>
        <v>0</v>
      </c>
      <c r="X796" s="80">
        <f t="shared" si="365"/>
        <v>0</v>
      </c>
      <c r="Y796" s="80">
        <f t="shared" si="365"/>
        <v>0</v>
      </c>
      <c r="Z796" s="80">
        <f t="shared" si="365"/>
        <v>0</v>
      </c>
      <c r="AA796" s="80">
        <f t="shared" si="367"/>
        <v>0</v>
      </c>
      <c r="AB796" s="94" t="str">
        <f t="shared" si="366"/>
        <v>ok</v>
      </c>
    </row>
    <row r="797" spans="1:28" s="61" customFormat="1" hidden="1">
      <c r="B797" s="61" t="s">
        <v>1276</v>
      </c>
      <c r="E797" s="61" t="s">
        <v>1117</v>
      </c>
      <c r="F797" s="297"/>
      <c r="G797" s="80">
        <f t="shared" si="364"/>
        <v>0</v>
      </c>
      <c r="H797" s="80">
        <f t="shared" si="364"/>
        <v>0</v>
      </c>
      <c r="I797" s="80">
        <f t="shared" si="364"/>
        <v>0</v>
      </c>
      <c r="J797" s="80">
        <f t="shared" si="364"/>
        <v>0</v>
      </c>
      <c r="K797" s="80">
        <f t="shared" si="364"/>
        <v>0</v>
      </c>
      <c r="L797" s="80">
        <f t="shared" si="364"/>
        <v>0</v>
      </c>
      <c r="M797" s="80">
        <f t="shared" si="364"/>
        <v>0</v>
      </c>
      <c r="N797" s="80">
        <f t="shared" si="364"/>
        <v>0</v>
      </c>
      <c r="O797" s="80">
        <f t="shared" si="364"/>
        <v>0</v>
      </c>
      <c r="P797" s="80">
        <f t="shared" si="364"/>
        <v>0</v>
      </c>
      <c r="Q797" s="80">
        <f t="shared" si="365"/>
        <v>0</v>
      </c>
      <c r="R797" s="80">
        <f t="shared" si="365"/>
        <v>0</v>
      </c>
      <c r="S797" s="80">
        <f t="shared" si="365"/>
        <v>0</v>
      </c>
      <c r="T797" s="80">
        <f t="shared" si="365"/>
        <v>0</v>
      </c>
      <c r="U797" s="80">
        <f t="shared" si="365"/>
        <v>0</v>
      </c>
      <c r="V797" s="80">
        <f t="shared" si="365"/>
        <v>0</v>
      </c>
      <c r="W797" s="80">
        <f t="shared" si="365"/>
        <v>0</v>
      </c>
      <c r="X797" s="80">
        <f t="shared" si="365"/>
        <v>0</v>
      </c>
      <c r="Y797" s="80">
        <f t="shared" si="365"/>
        <v>0</v>
      </c>
      <c r="Z797" s="80">
        <f t="shared" si="365"/>
        <v>0</v>
      </c>
      <c r="AA797" s="80">
        <f t="shared" si="367"/>
        <v>0</v>
      </c>
      <c r="AB797" s="94" t="str">
        <f t="shared" si="366"/>
        <v>ok</v>
      </c>
    </row>
    <row r="798" spans="1:28" s="61" customFormat="1" hidden="1">
      <c r="B798" s="61" t="s">
        <v>1278</v>
      </c>
      <c r="E798" s="61" t="s">
        <v>422</v>
      </c>
      <c r="F798" s="80">
        <v>0</v>
      </c>
      <c r="G798" s="80">
        <f t="shared" ref="G798:P807" si="368">IF(VLOOKUP($E798,$D$6:$AN$1131,3,)=0,0,(VLOOKUP($E798,$D$6:$AN$1131,G$2,)/VLOOKUP($E798,$D$6:$AN$1131,3,))*$F798)</f>
        <v>0</v>
      </c>
      <c r="H798" s="80">
        <f t="shared" si="368"/>
        <v>0</v>
      </c>
      <c r="I798" s="80">
        <f t="shared" si="368"/>
        <v>0</v>
      </c>
      <c r="J798" s="80">
        <f t="shared" si="368"/>
        <v>0</v>
      </c>
      <c r="K798" s="80">
        <f t="shared" si="368"/>
        <v>0</v>
      </c>
      <c r="L798" s="80">
        <f t="shared" si="368"/>
        <v>0</v>
      </c>
      <c r="M798" s="80">
        <f t="shared" si="368"/>
        <v>0</v>
      </c>
      <c r="N798" s="80">
        <f t="shared" si="368"/>
        <v>0</v>
      </c>
      <c r="O798" s="80">
        <f t="shared" si="368"/>
        <v>0</v>
      </c>
      <c r="P798" s="80">
        <f t="shared" si="368"/>
        <v>0</v>
      </c>
      <c r="Q798" s="80">
        <f t="shared" ref="Q798:Z807" si="369">IF(VLOOKUP($E798,$D$6:$AN$1131,3,)=0,0,(VLOOKUP($E798,$D$6:$AN$1131,Q$2,)/VLOOKUP($E798,$D$6:$AN$1131,3,))*$F798)</f>
        <v>0</v>
      </c>
      <c r="R798" s="80">
        <f t="shared" si="369"/>
        <v>0</v>
      </c>
      <c r="S798" s="80">
        <f t="shared" si="369"/>
        <v>0</v>
      </c>
      <c r="T798" s="80">
        <f t="shared" si="369"/>
        <v>0</v>
      </c>
      <c r="U798" s="80">
        <f t="shared" si="369"/>
        <v>0</v>
      </c>
      <c r="V798" s="80">
        <f t="shared" si="369"/>
        <v>0</v>
      </c>
      <c r="W798" s="80">
        <f t="shared" si="369"/>
        <v>0</v>
      </c>
      <c r="X798" s="80">
        <f t="shared" si="369"/>
        <v>0</v>
      </c>
      <c r="Y798" s="80">
        <f t="shared" si="369"/>
        <v>0</v>
      </c>
      <c r="Z798" s="80">
        <f t="shared" si="369"/>
        <v>0</v>
      </c>
      <c r="AA798" s="80">
        <f>SUM(G798:Z798)</f>
        <v>0</v>
      </c>
      <c r="AB798" s="94" t="str">
        <f t="shared" si="366"/>
        <v>ok</v>
      </c>
    </row>
    <row r="799" spans="1:28" s="61" customFormat="1" hidden="1">
      <c r="B799" s="61" t="s">
        <v>1316</v>
      </c>
      <c r="E799" s="61" t="s">
        <v>363</v>
      </c>
      <c r="F799" s="297"/>
      <c r="G799" s="80">
        <f t="shared" si="368"/>
        <v>0</v>
      </c>
      <c r="H799" s="80">
        <f t="shared" si="368"/>
        <v>0</v>
      </c>
      <c r="I799" s="80">
        <f t="shared" si="368"/>
        <v>0</v>
      </c>
      <c r="J799" s="80">
        <f t="shared" si="368"/>
        <v>0</v>
      </c>
      <c r="K799" s="80">
        <f t="shared" si="368"/>
        <v>0</v>
      </c>
      <c r="L799" s="80">
        <f t="shared" si="368"/>
        <v>0</v>
      </c>
      <c r="M799" s="80">
        <f t="shared" si="368"/>
        <v>0</v>
      </c>
      <c r="N799" s="80">
        <f t="shared" si="368"/>
        <v>0</v>
      </c>
      <c r="O799" s="80">
        <f t="shared" si="368"/>
        <v>0</v>
      </c>
      <c r="P799" s="80">
        <f t="shared" si="368"/>
        <v>0</v>
      </c>
      <c r="Q799" s="80">
        <f t="shared" si="369"/>
        <v>0</v>
      </c>
      <c r="R799" s="80">
        <f t="shared" si="369"/>
        <v>0</v>
      </c>
      <c r="S799" s="80">
        <f t="shared" si="369"/>
        <v>0</v>
      </c>
      <c r="T799" s="80">
        <f t="shared" si="369"/>
        <v>0</v>
      </c>
      <c r="U799" s="80">
        <f t="shared" si="369"/>
        <v>0</v>
      </c>
      <c r="V799" s="80">
        <f t="shared" si="369"/>
        <v>0</v>
      </c>
      <c r="W799" s="80">
        <f t="shared" si="369"/>
        <v>0</v>
      </c>
      <c r="X799" s="80">
        <f t="shared" si="369"/>
        <v>0</v>
      </c>
      <c r="Y799" s="80">
        <f t="shared" si="369"/>
        <v>0</v>
      </c>
      <c r="Z799" s="80">
        <f t="shared" si="369"/>
        <v>0</v>
      </c>
      <c r="AA799" s="80">
        <f>SUM(G799:Z799)</f>
        <v>0</v>
      </c>
      <c r="AB799" s="94" t="str">
        <f t="shared" si="366"/>
        <v>ok</v>
      </c>
    </row>
    <row r="800" spans="1:28" s="61" customFormat="1">
      <c r="B800" s="61" t="s">
        <v>1280</v>
      </c>
      <c r="E800" s="61" t="s">
        <v>1122</v>
      </c>
      <c r="F800" s="80">
        <v>-984863.11999999953</v>
      </c>
      <c r="G800" s="80">
        <f t="shared" si="368"/>
        <v>-386923.53298670636</v>
      </c>
      <c r="H800" s="80">
        <f t="shared" si="368"/>
        <v>-138592.30440883758</v>
      </c>
      <c r="I800" s="80">
        <f t="shared" si="368"/>
        <v>0</v>
      </c>
      <c r="J800" s="80">
        <f t="shared" si="368"/>
        <v>-11752.445984316924</v>
      </c>
      <c r="K800" s="80">
        <f t="shared" si="368"/>
        <v>-154658.37963094763</v>
      </c>
      <c r="L800" s="80">
        <f t="shared" si="368"/>
        <v>0</v>
      </c>
      <c r="M800" s="80">
        <f t="shared" si="368"/>
        <v>0</v>
      </c>
      <c r="N800" s="80">
        <f t="shared" si="368"/>
        <v>-119299.96608740593</v>
      </c>
      <c r="O800" s="80">
        <f t="shared" si="368"/>
        <v>-79210.371468209982</v>
      </c>
      <c r="P800" s="80">
        <f t="shared" si="368"/>
        <v>-65593.97070022297</v>
      </c>
      <c r="Q800" s="80">
        <f t="shared" si="369"/>
        <v>-6470.9152665995898</v>
      </c>
      <c r="R800" s="80">
        <f t="shared" si="369"/>
        <v>-3359.8282200867957</v>
      </c>
      <c r="S800" s="80">
        <f t="shared" si="369"/>
        <v>-18510.662428640695</v>
      </c>
      <c r="T800" s="80">
        <f t="shared" si="369"/>
        <v>-215.11291296804271</v>
      </c>
      <c r="U800" s="80">
        <f t="shared" si="369"/>
        <v>-275.62990505709371</v>
      </c>
      <c r="V800" s="80">
        <f t="shared" si="369"/>
        <v>0</v>
      </c>
      <c r="W800" s="80">
        <f t="shared" si="369"/>
        <v>0</v>
      </c>
      <c r="X800" s="80">
        <f t="shared" si="369"/>
        <v>0</v>
      </c>
      <c r="Y800" s="80">
        <f t="shared" si="369"/>
        <v>0</v>
      </c>
      <c r="Z800" s="80">
        <f t="shared" si="369"/>
        <v>0</v>
      </c>
      <c r="AA800" s="80">
        <f t="shared" si="367"/>
        <v>-984863.11999999953</v>
      </c>
      <c r="AB800" s="94" t="str">
        <f t="shared" si="366"/>
        <v>ok</v>
      </c>
    </row>
    <row r="801" spans="2:28" s="61" customFormat="1" hidden="1">
      <c r="B801" s="61" t="s">
        <v>1340</v>
      </c>
      <c r="E801" s="61" t="s">
        <v>510</v>
      </c>
      <c r="F801" s="80">
        <v>0</v>
      </c>
      <c r="G801" s="80">
        <f t="shared" si="368"/>
        <v>0</v>
      </c>
      <c r="H801" s="80">
        <f t="shared" si="368"/>
        <v>0</v>
      </c>
      <c r="I801" s="80">
        <f t="shared" si="368"/>
        <v>0</v>
      </c>
      <c r="J801" s="80">
        <f t="shared" si="368"/>
        <v>0</v>
      </c>
      <c r="K801" s="80">
        <f t="shared" si="368"/>
        <v>0</v>
      </c>
      <c r="L801" s="80">
        <f t="shared" si="368"/>
        <v>0</v>
      </c>
      <c r="M801" s="80">
        <f t="shared" si="368"/>
        <v>0</v>
      </c>
      <c r="N801" s="80">
        <f t="shared" si="368"/>
        <v>0</v>
      </c>
      <c r="O801" s="80">
        <f t="shared" si="368"/>
        <v>0</v>
      </c>
      <c r="P801" s="80">
        <f t="shared" si="368"/>
        <v>0</v>
      </c>
      <c r="Q801" s="80">
        <f t="shared" si="369"/>
        <v>0</v>
      </c>
      <c r="R801" s="80">
        <f t="shared" si="369"/>
        <v>0</v>
      </c>
      <c r="S801" s="80">
        <f t="shared" si="369"/>
        <v>0</v>
      </c>
      <c r="T801" s="80">
        <f t="shared" si="369"/>
        <v>0</v>
      </c>
      <c r="U801" s="80">
        <f t="shared" si="369"/>
        <v>0</v>
      </c>
      <c r="V801" s="80">
        <f t="shared" si="369"/>
        <v>0</v>
      </c>
      <c r="W801" s="80">
        <f t="shared" si="369"/>
        <v>0</v>
      </c>
      <c r="X801" s="80">
        <f t="shared" si="369"/>
        <v>0</v>
      </c>
      <c r="Y801" s="80">
        <f t="shared" si="369"/>
        <v>0</v>
      </c>
      <c r="Z801" s="80">
        <f t="shared" si="369"/>
        <v>0</v>
      </c>
      <c r="AA801" s="80">
        <f>SUM(G801:Z801)</f>
        <v>0</v>
      </c>
      <c r="AB801" s="94" t="str">
        <f t="shared" si="366"/>
        <v>ok</v>
      </c>
    </row>
    <row r="802" spans="2:28" s="61" customFormat="1" hidden="1">
      <c r="B802" s="61" t="s">
        <v>1281</v>
      </c>
      <c r="E802" s="61" t="s">
        <v>363</v>
      </c>
      <c r="F802" s="297"/>
      <c r="G802" s="80">
        <f t="shared" si="368"/>
        <v>0</v>
      </c>
      <c r="H802" s="80">
        <f t="shared" si="368"/>
        <v>0</v>
      </c>
      <c r="I802" s="80">
        <f t="shared" si="368"/>
        <v>0</v>
      </c>
      <c r="J802" s="80">
        <f t="shared" si="368"/>
        <v>0</v>
      </c>
      <c r="K802" s="80">
        <f t="shared" si="368"/>
        <v>0</v>
      </c>
      <c r="L802" s="80">
        <f t="shared" si="368"/>
        <v>0</v>
      </c>
      <c r="M802" s="80">
        <f t="shared" si="368"/>
        <v>0</v>
      </c>
      <c r="N802" s="80">
        <f t="shared" si="368"/>
        <v>0</v>
      </c>
      <c r="O802" s="80">
        <f t="shared" si="368"/>
        <v>0</v>
      </c>
      <c r="P802" s="80">
        <f t="shared" si="368"/>
        <v>0</v>
      </c>
      <c r="Q802" s="80">
        <f t="shared" si="369"/>
        <v>0</v>
      </c>
      <c r="R802" s="80">
        <f t="shared" si="369"/>
        <v>0</v>
      </c>
      <c r="S802" s="80">
        <f t="shared" si="369"/>
        <v>0</v>
      </c>
      <c r="T802" s="80">
        <f t="shared" si="369"/>
        <v>0</v>
      </c>
      <c r="U802" s="80">
        <f t="shared" si="369"/>
        <v>0</v>
      </c>
      <c r="V802" s="80">
        <f t="shared" si="369"/>
        <v>0</v>
      </c>
      <c r="W802" s="80">
        <f t="shared" si="369"/>
        <v>0</v>
      </c>
      <c r="X802" s="80">
        <f t="shared" si="369"/>
        <v>0</v>
      </c>
      <c r="Y802" s="80">
        <f t="shared" si="369"/>
        <v>0</v>
      </c>
      <c r="Z802" s="80">
        <f t="shared" si="369"/>
        <v>0</v>
      </c>
      <c r="AA802" s="80">
        <f>SUM(G802:Z802)</f>
        <v>0</v>
      </c>
      <c r="AB802" s="94" t="str">
        <f t="shared" si="366"/>
        <v>ok</v>
      </c>
    </row>
    <row r="803" spans="2:28" s="61" customFormat="1" hidden="1">
      <c r="B803" s="61" t="s">
        <v>1282</v>
      </c>
      <c r="E803" s="61" t="s">
        <v>1101</v>
      </c>
      <c r="F803" s="297"/>
      <c r="G803" s="80">
        <f t="shared" si="368"/>
        <v>0</v>
      </c>
      <c r="H803" s="80">
        <f t="shared" si="368"/>
        <v>0</v>
      </c>
      <c r="I803" s="80">
        <f t="shared" si="368"/>
        <v>0</v>
      </c>
      <c r="J803" s="80">
        <f t="shared" si="368"/>
        <v>0</v>
      </c>
      <c r="K803" s="80">
        <f t="shared" si="368"/>
        <v>0</v>
      </c>
      <c r="L803" s="80">
        <f t="shared" si="368"/>
        <v>0</v>
      </c>
      <c r="M803" s="80">
        <f t="shared" si="368"/>
        <v>0</v>
      </c>
      <c r="N803" s="80">
        <f t="shared" si="368"/>
        <v>0</v>
      </c>
      <c r="O803" s="80">
        <f t="shared" si="368"/>
        <v>0</v>
      </c>
      <c r="P803" s="80">
        <f t="shared" si="368"/>
        <v>0</v>
      </c>
      <c r="Q803" s="80">
        <f t="shared" si="369"/>
        <v>0</v>
      </c>
      <c r="R803" s="80">
        <f t="shared" si="369"/>
        <v>0</v>
      </c>
      <c r="S803" s="80">
        <f t="shared" si="369"/>
        <v>0</v>
      </c>
      <c r="T803" s="80">
        <f t="shared" si="369"/>
        <v>0</v>
      </c>
      <c r="U803" s="80">
        <f t="shared" si="369"/>
        <v>0</v>
      </c>
      <c r="V803" s="80">
        <f t="shared" si="369"/>
        <v>0</v>
      </c>
      <c r="W803" s="80">
        <f t="shared" si="369"/>
        <v>0</v>
      </c>
      <c r="X803" s="80">
        <f t="shared" si="369"/>
        <v>0</v>
      </c>
      <c r="Y803" s="80">
        <f t="shared" si="369"/>
        <v>0</v>
      </c>
      <c r="Z803" s="80">
        <f t="shared" si="369"/>
        <v>0</v>
      </c>
      <c r="AA803" s="80">
        <f>SUM(G803:Z803)</f>
        <v>0</v>
      </c>
      <c r="AB803" s="94" t="str">
        <f t="shared" si="366"/>
        <v>ok</v>
      </c>
    </row>
    <row r="804" spans="2:28" s="61" customFormat="1" hidden="1">
      <c r="B804" s="61" t="s">
        <v>1283</v>
      </c>
      <c r="E804" s="61" t="s">
        <v>1101</v>
      </c>
      <c r="F804" s="297"/>
      <c r="G804" s="80">
        <f t="shared" si="368"/>
        <v>0</v>
      </c>
      <c r="H804" s="80">
        <f t="shared" si="368"/>
        <v>0</v>
      </c>
      <c r="I804" s="80">
        <f t="shared" si="368"/>
        <v>0</v>
      </c>
      <c r="J804" s="80">
        <f t="shared" si="368"/>
        <v>0</v>
      </c>
      <c r="K804" s="80">
        <f t="shared" si="368"/>
        <v>0</v>
      </c>
      <c r="L804" s="80">
        <f t="shared" si="368"/>
        <v>0</v>
      </c>
      <c r="M804" s="80">
        <f t="shared" si="368"/>
        <v>0</v>
      </c>
      <c r="N804" s="80">
        <f t="shared" si="368"/>
        <v>0</v>
      </c>
      <c r="O804" s="80">
        <f t="shared" si="368"/>
        <v>0</v>
      </c>
      <c r="P804" s="80">
        <f t="shared" si="368"/>
        <v>0</v>
      </c>
      <c r="Q804" s="80">
        <f t="shared" si="369"/>
        <v>0</v>
      </c>
      <c r="R804" s="80">
        <f t="shared" si="369"/>
        <v>0</v>
      </c>
      <c r="S804" s="80">
        <f t="shared" si="369"/>
        <v>0</v>
      </c>
      <c r="T804" s="80">
        <f t="shared" si="369"/>
        <v>0</v>
      </c>
      <c r="U804" s="80">
        <f t="shared" si="369"/>
        <v>0</v>
      </c>
      <c r="V804" s="80">
        <f t="shared" si="369"/>
        <v>0</v>
      </c>
      <c r="W804" s="80">
        <f t="shared" si="369"/>
        <v>0</v>
      </c>
      <c r="X804" s="80">
        <f t="shared" si="369"/>
        <v>0</v>
      </c>
      <c r="Y804" s="80">
        <f t="shared" si="369"/>
        <v>0</v>
      </c>
      <c r="Z804" s="80">
        <f t="shared" si="369"/>
        <v>0</v>
      </c>
      <c r="AA804" s="80">
        <f>SUM(G804:Z804)</f>
        <v>0</v>
      </c>
      <c r="AB804" s="94" t="str">
        <f t="shared" si="366"/>
        <v>ok</v>
      </c>
    </row>
    <row r="805" spans="2:28" s="61" customFormat="1" hidden="1">
      <c r="B805" s="61" t="s">
        <v>691</v>
      </c>
      <c r="E805" s="61" t="s">
        <v>1115</v>
      </c>
      <c r="F805" s="297"/>
      <c r="G805" s="80">
        <f t="shared" si="368"/>
        <v>0</v>
      </c>
      <c r="H805" s="80">
        <f t="shared" si="368"/>
        <v>0</v>
      </c>
      <c r="I805" s="80">
        <f t="shared" si="368"/>
        <v>0</v>
      </c>
      <c r="J805" s="80">
        <f t="shared" si="368"/>
        <v>0</v>
      </c>
      <c r="K805" s="80">
        <f t="shared" si="368"/>
        <v>0</v>
      </c>
      <c r="L805" s="80">
        <f t="shared" si="368"/>
        <v>0</v>
      </c>
      <c r="M805" s="80">
        <f t="shared" si="368"/>
        <v>0</v>
      </c>
      <c r="N805" s="80">
        <f t="shared" si="368"/>
        <v>0</v>
      </c>
      <c r="O805" s="80">
        <f t="shared" si="368"/>
        <v>0</v>
      </c>
      <c r="P805" s="80">
        <f t="shared" si="368"/>
        <v>0</v>
      </c>
      <c r="Q805" s="80">
        <f t="shared" si="369"/>
        <v>0</v>
      </c>
      <c r="R805" s="80">
        <f t="shared" si="369"/>
        <v>0</v>
      </c>
      <c r="S805" s="80">
        <f t="shared" si="369"/>
        <v>0</v>
      </c>
      <c r="T805" s="80">
        <f t="shared" si="369"/>
        <v>0</v>
      </c>
      <c r="U805" s="80">
        <f t="shared" si="369"/>
        <v>0</v>
      </c>
      <c r="V805" s="80">
        <f t="shared" si="369"/>
        <v>0</v>
      </c>
      <c r="W805" s="80">
        <f t="shared" si="369"/>
        <v>0</v>
      </c>
      <c r="X805" s="80">
        <f t="shared" si="369"/>
        <v>0</v>
      </c>
      <c r="Y805" s="80">
        <f t="shared" si="369"/>
        <v>0</v>
      </c>
      <c r="Z805" s="80">
        <f t="shared" si="369"/>
        <v>0</v>
      </c>
      <c r="AA805" s="80">
        <f t="shared" si="367"/>
        <v>0</v>
      </c>
      <c r="AB805" s="94" t="str">
        <f t="shared" si="366"/>
        <v>ok</v>
      </c>
    </row>
    <row r="806" spans="2:28" s="61" customFormat="1" hidden="1">
      <c r="B806" s="61" t="s">
        <v>1317</v>
      </c>
      <c r="E806" s="61" t="s">
        <v>422</v>
      </c>
      <c r="F806" s="297"/>
      <c r="G806" s="80">
        <f t="shared" si="368"/>
        <v>0</v>
      </c>
      <c r="H806" s="80">
        <f t="shared" si="368"/>
        <v>0</v>
      </c>
      <c r="I806" s="80">
        <f t="shared" si="368"/>
        <v>0</v>
      </c>
      <c r="J806" s="80">
        <f t="shared" si="368"/>
        <v>0</v>
      </c>
      <c r="K806" s="80">
        <f t="shared" si="368"/>
        <v>0</v>
      </c>
      <c r="L806" s="80">
        <f t="shared" si="368"/>
        <v>0</v>
      </c>
      <c r="M806" s="80">
        <f t="shared" si="368"/>
        <v>0</v>
      </c>
      <c r="N806" s="80">
        <f t="shared" si="368"/>
        <v>0</v>
      </c>
      <c r="O806" s="80">
        <f t="shared" si="368"/>
        <v>0</v>
      </c>
      <c r="P806" s="80">
        <f t="shared" si="368"/>
        <v>0</v>
      </c>
      <c r="Q806" s="80">
        <f t="shared" si="369"/>
        <v>0</v>
      </c>
      <c r="R806" s="80">
        <f t="shared" si="369"/>
        <v>0</v>
      </c>
      <c r="S806" s="80">
        <f t="shared" si="369"/>
        <v>0</v>
      </c>
      <c r="T806" s="80">
        <f t="shared" si="369"/>
        <v>0</v>
      </c>
      <c r="U806" s="80">
        <f t="shared" si="369"/>
        <v>0</v>
      </c>
      <c r="V806" s="80">
        <f t="shared" si="369"/>
        <v>0</v>
      </c>
      <c r="W806" s="80">
        <f t="shared" si="369"/>
        <v>0</v>
      </c>
      <c r="X806" s="80">
        <f t="shared" si="369"/>
        <v>0</v>
      </c>
      <c r="Y806" s="80">
        <f t="shared" si="369"/>
        <v>0</v>
      </c>
      <c r="Z806" s="80">
        <f t="shared" si="369"/>
        <v>0</v>
      </c>
      <c r="AA806" s="80">
        <f t="shared" si="367"/>
        <v>0</v>
      </c>
      <c r="AB806" s="94" t="str">
        <f t="shared" si="366"/>
        <v>ok</v>
      </c>
    </row>
    <row r="807" spans="2:28" s="61" customFormat="1" hidden="1">
      <c r="B807" s="61" t="s">
        <v>1284</v>
      </c>
      <c r="E807" s="61" t="s">
        <v>363</v>
      </c>
      <c r="F807" s="297"/>
      <c r="G807" s="80">
        <f t="shared" si="368"/>
        <v>0</v>
      </c>
      <c r="H807" s="80">
        <f t="shared" si="368"/>
        <v>0</v>
      </c>
      <c r="I807" s="80">
        <f t="shared" si="368"/>
        <v>0</v>
      </c>
      <c r="J807" s="80">
        <f t="shared" si="368"/>
        <v>0</v>
      </c>
      <c r="K807" s="80">
        <f t="shared" si="368"/>
        <v>0</v>
      </c>
      <c r="L807" s="80">
        <f t="shared" si="368"/>
        <v>0</v>
      </c>
      <c r="M807" s="80">
        <f t="shared" si="368"/>
        <v>0</v>
      </c>
      <c r="N807" s="80">
        <f t="shared" si="368"/>
        <v>0</v>
      </c>
      <c r="O807" s="80">
        <f t="shared" si="368"/>
        <v>0</v>
      </c>
      <c r="P807" s="80">
        <f t="shared" si="368"/>
        <v>0</v>
      </c>
      <c r="Q807" s="80">
        <f t="shared" si="369"/>
        <v>0</v>
      </c>
      <c r="R807" s="80">
        <f t="shared" si="369"/>
        <v>0</v>
      </c>
      <c r="S807" s="80">
        <f t="shared" si="369"/>
        <v>0</v>
      </c>
      <c r="T807" s="80">
        <f t="shared" si="369"/>
        <v>0</v>
      </c>
      <c r="U807" s="80">
        <f t="shared" si="369"/>
        <v>0</v>
      </c>
      <c r="V807" s="80">
        <f t="shared" si="369"/>
        <v>0</v>
      </c>
      <c r="W807" s="80">
        <f t="shared" si="369"/>
        <v>0</v>
      </c>
      <c r="X807" s="80">
        <f t="shared" si="369"/>
        <v>0</v>
      </c>
      <c r="Y807" s="80">
        <f t="shared" si="369"/>
        <v>0</v>
      </c>
      <c r="Z807" s="80">
        <f t="shared" si="369"/>
        <v>0</v>
      </c>
      <c r="AA807" s="80">
        <f t="shared" si="367"/>
        <v>0</v>
      </c>
      <c r="AB807" s="94" t="str">
        <f t="shared" si="366"/>
        <v>ok</v>
      </c>
    </row>
    <row r="808" spans="2:28" s="61" customFormat="1" hidden="1">
      <c r="B808" s="61" t="s">
        <v>1285</v>
      </c>
      <c r="E808" s="61" t="s">
        <v>1101</v>
      </c>
      <c r="F808" s="297"/>
      <c r="G808" s="80">
        <f t="shared" ref="G808:P818" si="370">IF(VLOOKUP($E808,$D$6:$AN$1131,3,)=0,0,(VLOOKUP($E808,$D$6:$AN$1131,G$2,)/VLOOKUP($E808,$D$6:$AN$1131,3,))*$F808)</f>
        <v>0</v>
      </c>
      <c r="H808" s="80">
        <f t="shared" si="370"/>
        <v>0</v>
      </c>
      <c r="I808" s="80">
        <f t="shared" si="370"/>
        <v>0</v>
      </c>
      <c r="J808" s="80">
        <f t="shared" si="370"/>
        <v>0</v>
      </c>
      <c r="K808" s="80">
        <f t="shared" si="370"/>
        <v>0</v>
      </c>
      <c r="L808" s="80">
        <f t="shared" si="370"/>
        <v>0</v>
      </c>
      <c r="M808" s="80">
        <f t="shared" si="370"/>
        <v>0</v>
      </c>
      <c r="N808" s="80">
        <f t="shared" si="370"/>
        <v>0</v>
      </c>
      <c r="O808" s="80">
        <f t="shared" si="370"/>
        <v>0</v>
      </c>
      <c r="P808" s="80">
        <f t="shared" si="370"/>
        <v>0</v>
      </c>
      <c r="Q808" s="80">
        <f t="shared" ref="Q808:Z818" si="371">IF(VLOOKUP($E808,$D$6:$AN$1131,3,)=0,0,(VLOOKUP($E808,$D$6:$AN$1131,Q$2,)/VLOOKUP($E808,$D$6:$AN$1131,3,))*$F808)</f>
        <v>0</v>
      </c>
      <c r="R808" s="80">
        <f t="shared" si="371"/>
        <v>0</v>
      </c>
      <c r="S808" s="80">
        <f t="shared" si="371"/>
        <v>0</v>
      </c>
      <c r="T808" s="80">
        <f t="shared" si="371"/>
        <v>0</v>
      </c>
      <c r="U808" s="80">
        <f t="shared" si="371"/>
        <v>0</v>
      </c>
      <c r="V808" s="80">
        <f t="shared" si="371"/>
        <v>0</v>
      </c>
      <c r="W808" s="80">
        <f t="shared" si="371"/>
        <v>0</v>
      </c>
      <c r="X808" s="80">
        <f t="shared" si="371"/>
        <v>0</v>
      </c>
      <c r="Y808" s="80">
        <f t="shared" si="371"/>
        <v>0</v>
      </c>
      <c r="Z808" s="80">
        <f t="shared" si="371"/>
        <v>0</v>
      </c>
      <c r="AA808" s="80">
        <f t="shared" si="367"/>
        <v>0</v>
      </c>
      <c r="AB808" s="94" t="str">
        <f t="shared" si="366"/>
        <v>ok</v>
      </c>
    </row>
    <row r="809" spans="2:28" s="61" customFormat="1" hidden="1">
      <c r="B809" s="61" t="s">
        <v>1286</v>
      </c>
      <c r="E809" s="61" t="s">
        <v>1113</v>
      </c>
      <c r="F809" s="297"/>
      <c r="G809" s="80">
        <f t="shared" si="370"/>
        <v>0</v>
      </c>
      <c r="H809" s="80">
        <f t="shared" si="370"/>
        <v>0</v>
      </c>
      <c r="I809" s="80">
        <f t="shared" si="370"/>
        <v>0</v>
      </c>
      <c r="J809" s="80">
        <f t="shared" si="370"/>
        <v>0</v>
      </c>
      <c r="K809" s="80">
        <f t="shared" si="370"/>
        <v>0</v>
      </c>
      <c r="L809" s="80">
        <f t="shared" si="370"/>
        <v>0</v>
      </c>
      <c r="M809" s="80">
        <f t="shared" si="370"/>
        <v>0</v>
      </c>
      <c r="N809" s="80">
        <f t="shared" si="370"/>
        <v>0</v>
      </c>
      <c r="O809" s="80">
        <f t="shared" si="370"/>
        <v>0</v>
      </c>
      <c r="P809" s="80">
        <f t="shared" si="370"/>
        <v>0</v>
      </c>
      <c r="Q809" s="80">
        <f t="shared" si="371"/>
        <v>0</v>
      </c>
      <c r="R809" s="80">
        <f t="shared" si="371"/>
        <v>0</v>
      </c>
      <c r="S809" s="80">
        <f t="shared" si="371"/>
        <v>0</v>
      </c>
      <c r="T809" s="80">
        <f t="shared" si="371"/>
        <v>0</v>
      </c>
      <c r="U809" s="80">
        <f t="shared" si="371"/>
        <v>0</v>
      </c>
      <c r="V809" s="80">
        <f t="shared" si="371"/>
        <v>0</v>
      </c>
      <c r="W809" s="80">
        <f t="shared" si="371"/>
        <v>0</v>
      </c>
      <c r="X809" s="80">
        <f t="shared" si="371"/>
        <v>0</v>
      </c>
      <c r="Y809" s="80">
        <f t="shared" si="371"/>
        <v>0</v>
      </c>
      <c r="Z809" s="80">
        <f t="shared" si="371"/>
        <v>0</v>
      </c>
      <c r="AA809" s="80">
        <f t="shared" si="367"/>
        <v>0</v>
      </c>
      <c r="AB809" s="94" t="str">
        <f t="shared" si="366"/>
        <v>ok</v>
      </c>
    </row>
    <row r="810" spans="2:28" s="61" customFormat="1" hidden="1">
      <c r="B810" s="61" t="s">
        <v>1315</v>
      </c>
      <c r="E810" s="61" t="s">
        <v>422</v>
      </c>
      <c r="F810" s="297"/>
      <c r="G810" s="80">
        <f t="shared" si="370"/>
        <v>0</v>
      </c>
      <c r="H810" s="80">
        <f t="shared" si="370"/>
        <v>0</v>
      </c>
      <c r="I810" s="80">
        <f t="shared" si="370"/>
        <v>0</v>
      </c>
      <c r="J810" s="80">
        <f t="shared" si="370"/>
        <v>0</v>
      </c>
      <c r="K810" s="80">
        <f t="shared" si="370"/>
        <v>0</v>
      </c>
      <c r="L810" s="80">
        <f t="shared" si="370"/>
        <v>0</v>
      </c>
      <c r="M810" s="80">
        <f t="shared" si="370"/>
        <v>0</v>
      </c>
      <c r="N810" s="80">
        <f t="shared" si="370"/>
        <v>0</v>
      </c>
      <c r="O810" s="80">
        <f t="shared" si="370"/>
        <v>0</v>
      </c>
      <c r="P810" s="80">
        <f t="shared" si="370"/>
        <v>0</v>
      </c>
      <c r="Q810" s="80">
        <f t="shared" si="371"/>
        <v>0</v>
      </c>
      <c r="R810" s="80">
        <f t="shared" si="371"/>
        <v>0</v>
      </c>
      <c r="S810" s="80">
        <f t="shared" si="371"/>
        <v>0</v>
      </c>
      <c r="T810" s="80">
        <f t="shared" si="371"/>
        <v>0</v>
      </c>
      <c r="U810" s="80">
        <f t="shared" si="371"/>
        <v>0</v>
      </c>
      <c r="V810" s="80">
        <f t="shared" si="371"/>
        <v>0</v>
      </c>
      <c r="W810" s="80">
        <f t="shared" si="371"/>
        <v>0</v>
      </c>
      <c r="X810" s="80">
        <f t="shared" si="371"/>
        <v>0</v>
      </c>
      <c r="Y810" s="80">
        <f t="shared" si="371"/>
        <v>0</v>
      </c>
      <c r="Z810" s="80">
        <f t="shared" si="371"/>
        <v>0</v>
      </c>
      <c r="AA810" s="80">
        <f>SUM(G810:Z810)</f>
        <v>0</v>
      </c>
      <c r="AB810" s="94" t="str">
        <f t="shared" si="366"/>
        <v>ok</v>
      </c>
    </row>
    <row r="811" spans="2:28" s="61" customFormat="1" hidden="1">
      <c r="B811" s="61" t="s">
        <v>1287</v>
      </c>
      <c r="E811" s="61" t="s">
        <v>422</v>
      </c>
      <c r="F811" s="297"/>
      <c r="G811" s="80">
        <f t="shared" si="370"/>
        <v>0</v>
      </c>
      <c r="H811" s="80">
        <f t="shared" si="370"/>
        <v>0</v>
      </c>
      <c r="I811" s="80">
        <f t="shared" si="370"/>
        <v>0</v>
      </c>
      <c r="J811" s="80">
        <f t="shared" si="370"/>
        <v>0</v>
      </c>
      <c r="K811" s="80">
        <f t="shared" si="370"/>
        <v>0</v>
      </c>
      <c r="L811" s="80">
        <f t="shared" si="370"/>
        <v>0</v>
      </c>
      <c r="M811" s="80">
        <f t="shared" si="370"/>
        <v>0</v>
      </c>
      <c r="N811" s="80">
        <f t="shared" si="370"/>
        <v>0</v>
      </c>
      <c r="O811" s="80">
        <f t="shared" si="370"/>
        <v>0</v>
      </c>
      <c r="P811" s="80">
        <f t="shared" si="370"/>
        <v>0</v>
      </c>
      <c r="Q811" s="80">
        <f t="shared" si="371"/>
        <v>0</v>
      </c>
      <c r="R811" s="80">
        <f t="shared" si="371"/>
        <v>0</v>
      </c>
      <c r="S811" s="80">
        <f t="shared" si="371"/>
        <v>0</v>
      </c>
      <c r="T811" s="80">
        <f t="shared" si="371"/>
        <v>0</v>
      </c>
      <c r="U811" s="80">
        <f t="shared" si="371"/>
        <v>0</v>
      </c>
      <c r="V811" s="80">
        <f t="shared" si="371"/>
        <v>0</v>
      </c>
      <c r="W811" s="80">
        <f t="shared" si="371"/>
        <v>0</v>
      </c>
      <c r="X811" s="80">
        <f t="shared" si="371"/>
        <v>0</v>
      </c>
      <c r="Y811" s="80">
        <f t="shared" si="371"/>
        <v>0</v>
      </c>
      <c r="Z811" s="80">
        <f t="shared" si="371"/>
        <v>0</v>
      </c>
      <c r="AA811" s="80">
        <f>SUM(G811:Z811)</f>
        <v>0</v>
      </c>
      <c r="AB811" s="94" t="str">
        <f t="shared" si="366"/>
        <v>ok</v>
      </c>
    </row>
    <row r="812" spans="2:28" s="61" customFormat="1" hidden="1">
      <c r="B812" s="61" t="s">
        <v>1292</v>
      </c>
      <c r="E812" s="61" t="s">
        <v>422</v>
      </c>
      <c r="F812" s="297"/>
      <c r="G812" s="80">
        <f t="shared" si="370"/>
        <v>0</v>
      </c>
      <c r="H812" s="80">
        <f t="shared" si="370"/>
        <v>0</v>
      </c>
      <c r="I812" s="80">
        <f t="shared" si="370"/>
        <v>0</v>
      </c>
      <c r="J812" s="80">
        <f t="shared" si="370"/>
        <v>0</v>
      </c>
      <c r="K812" s="80">
        <f t="shared" si="370"/>
        <v>0</v>
      </c>
      <c r="L812" s="80">
        <f t="shared" si="370"/>
        <v>0</v>
      </c>
      <c r="M812" s="80">
        <f t="shared" si="370"/>
        <v>0</v>
      </c>
      <c r="N812" s="80">
        <f t="shared" si="370"/>
        <v>0</v>
      </c>
      <c r="O812" s="80">
        <f t="shared" si="370"/>
        <v>0</v>
      </c>
      <c r="P812" s="80">
        <f t="shared" si="370"/>
        <v>0</v>
      </c>
      <c r="Q812" s="80">
        <f t="shared" si="371"/>
        <v>0</v>
      </c>
      <c r="R812" s="80">
        <f t="shared" si="371"/>
        <v>0</v>
      </c>
      <c r="S812" s="80">
        <f t="shared" si="371"/>
        <v>0</v>
      </c>
      <c r="T812" s="80">
        <f t="shared" si="371"/>
        <v>0</v>
      </c>
      <c r="U812" s="80">
        <f t="shared" si="371"/>
        <v>0</v>
      </c>
      <c r="V812" s="80">
        <f t="shared" si="371"/>
        <v>0</v>
      </c>
      <c r="W812" s="80">
        <f t="shared" si="371"/>
        <v>0</v>
      </c>
      <c r="X812" s="80">
        <f t="shared" si="371"/>
        <v>0</v>
      </c>
      <c r="Y812" s="80">
        <f t="shared" si="371"/>
        <v>0</v>
      </c>
      <c r="Z812" s="80">
        <f t="shared" si="371"/>
        <v>0</v>
      </c>
      <c r="AA812" s="80">
        <f>SUM(G812:Z812)</f>
        <v>0</v>
      </c>
      <c r="AB812" s="94" t="str">
        <f t="shared" si="366"/>
        <v>ok</v>
      </c>
    </row>
    <row r="813" spans="2:28" s="71" customFormat="1">
      <c r="B813" s="71" t="s">
        <v>1191</v>
      </c>
      <c r="E813" s="71" t="s">
        <v>839</v>
      </c>
      <c r="F813" s="147">
        <f>-2776923-489194-161809-28505+324683+57197</f>
        <v>-3074551</v>
      </c>
      <c r="G813" s="147">
        <f t="shared" si="370"/>
        <v>213247.69410420678</v>
      </c>
      <c r="H813" s="147">
        <f t="shared" si="370"/>
        <v>-911004.25346159481</v>
      </c>
      <c r="I813" s="147">
        <f t="shared" si="370"/>
        <v>0</v>
      </c>
      <c r="J813" s="147">
        <f t="shared" si="370"/>
        <v>-51084.121234094891</v>
      </c>
      <c r="K813" s="147">
        <f t="shared" si="370"/>
        <v>-1007763.3331114289</v>
      </c>
      <c r="L813" s="147">
        <f t="shared" si="370"/>
        <v>0</v>
      </c>
      <c r="M813" s="147">
        <f t="shared" si="370"/>
        <v>0</v>
      </c>
      <c r="N813" s="147">
        <f t="shared" si="370"/>
        <v>-349049.00179472205</v>
      </c>
      <c r="O813" s="147">
        <f t="shared" si="370"/>
        <v>-681326.82210901508</v>
      </c>
      <c r="P813" s="147">
        <f t="shared" si="370"/>
        <v>-146400.99084381977</v>
      </c>
      <c r="Q813" s="147">
        <f t="shared" si="371"/>
        <v>1090.969456295438</v>
      </c>
      <c r="R813" s="147">
        <f t="shared" si="371"/>
        <v>-2741.4188939621558</v>
      </c>
      <c r="S813" s="147">
        <f t="shared" si="371"/>
        <v>-136349.68999373086</v>
      </c>
      <c r="T813" s="147">
        <f t="shared" si="371"/>
        <v>-1521.7930792977058</v>
      </c>
      <c r="U813" s="147">
        <f t="shared" si="371"/>
        <v>-1648.2390388401386</v>
      </c>
      <c r="V813" s="147">
        <f t="shared" si="371"/>
        <v>0</v>
      </c>
      <c r="W813" s="147">
        <f t="shared" si="371"/>
        <v>0</v>
      </c>
      <c r="X813" s="147">
        <f t="shared" si="371"/>
        <v>0</v>
      </c>
      <c r="Y813" s="147">
        <f t="shared" si="371"/>
        <v>0</v>
      </c>
      <c r="Z813" s="147">
        <f t="shared" si="371"/>
        <v>0</v>
      </c>
      <c r="AA813" s="147">
        <f t="shared" si="367"/>
        <v>-3074551.0000000037</v>
      </c>
      <c r="AB813" s="145" t="str">
        <f t="shared" si="366"/>
        <v>ok</v>
      </c>
    </row>
    <row r="814" spans="2:28" s="61" customFormat="1">
      <c r="B814" s="61" t="s">
        <v>1192</v>
      </c>
      <c r="E814" s="61" t="s">
        <v>839</v>
      </c>
      <c r="F814" s="148">
        <v>0</v>
      </c>
      <c r="G814" s="148">
        <f t="shared" si="370"/>
        <v>0</v>
      </c>
      <c r="H814" s="148">
        <f t="shared" si="370"/>
        <v>0</v>
      </c>
      <c r="I814" s="148">
        <f t="shared" si="370"/>
        <v>0</v>
      </c>
      <c r="J814" s="148">
        <f t="shared" si="370"/>
        <v>0</v>
      </c>
      <c r="K814" s="148">
        <f t="shared" si="370"/>
        <v>0</v>
      </c>
      <c r="L814" s="148">
        <f t="shared" si="370"/>
        <v>0</v>
      </c>
      <c r="M814" s="148">
        <f t="shared" si="370"/>
        <v>0</v>
      </c>
      <c r="N814" s="148">
        <f t="shared" si="370"/>
        <v>0</v>
      </c>
      <c r="O814" s="148">
        <f t="shared" si="370"/>
        <v>0</v>
      </c>
      <c r="P814" s="148">
        <f t="shared" si="370"/>
        <v>0</v>
      </c>
      <c r="Q814" s="148">
        <f t="shared" si="371"/>
        <v>0</v>
      </c>
      <c r="R814" s="148">
        <f t="shared" si="371"/>
        <v>0</v>
      </c>
      <c r="S814" s="148">
        <f t="shared" si="371"/>
        <v>0</v>
      </c>
      <c r="T814" s="148">
        <f t="shared" si="371"/>
        <v>0</v>
      </c>
      <c r="U814" s="148">
        <f t="shared" si="371"/>
        <v>0</v>
      </c>
      <c r="V814" s="80">
        <f t="shared" si="371"/>
        <v>0</v>
      </c>
      <c r="W814" s="80">
        <f t="shared" si="371"/>
        <v>0</v>
      </c>
      <c r="X814" s="80">
        <f t="shared" si="371"/>
        <v>0</v>
      </c>
      <c r="Y814" s="80">
        <f t="shared" si="371"/>
        <v>0</v>
      </c>
      <c r="Z814" s="80">
        <f t="shared" si="371"/>
        <v>0</v>
      </c>
      <c r="AA814" s="80">
        <f t="shared" si="367"/>
        <v>0</v>
      </c>
      <c r="AB814" s="94" t="str">
        <f t="shared" si="366"/>
        <v>ok</v>
      </c>
    </row>
    <row r="815" spans="2:28" s="61" customFormat="1" hidden="1">
      <c r="B815" s="61" t="s">
        <v>1193</v>
      </c>
      <c r="E815" s="61" t="s">
        <v>839</v>
      </c>
      <c r="F815" s="297"/>
      <c r="G815" s="80">
        <f t="shared" si="370"/>
        <v>0</v>
      </c>
      <c r="H815" s="80">
        <f t="shared" si="370"/>
        <v>0</v>
      </c>
      <c r="I815" s="80">
        <f t="shared" si="370"/>
        <v>0</v>
      </c>
      <c r="J815" s="80">
        <f t="shared" si="370"/>
        <v>0</v>
      </c>
      <c r="K815" s="80">
        <f t="shared" si="370"/>
        <v>0</v>
      </c>
      <c r="L815" s="80">
        <f t="shared" si="370"/>
        <v>0</v>
      </c>
      <c r="M815" s="80">
        <f t="shared" si="370"/>
        <v>0</v>
      </c>
      <c r="N815" s="80">
        <f t="shared" si="370"/>
        <v>0</v>
      </c>
      <c r="O815" s="80">
        <f t="shared" si="370"/>
        <v>0</v>
      </c>
      <c r="P815" s="80">
        <f t="shared" si="370"/>
        <v>0</v>
      </c>
      <c r="Q815" s="80">
        <f t="shared" si="371"/>
        <v>0</v>
      </c>
      <c r="R815" s="80">
        <f t="shared" si="371"/>
        <v>0</v>
      </c>
      <c r="S815" s="80">
        <f t="shared" si="371"/>
        <v>0</v>
      </c>
      <c r="T815" s="80">
        <f t="shared" si="371"/>
        <v>0</v>
      </c>
      <c r="U815" s="80">
        <f t="shared" si="371"/>
        <v>0</v>
      </c>
      <c r="V815" s="80">
        <f t="shared" si="371"/>
        <v>0</v>
      </c>
      <c r="W815" s="80">
        <f t="shared" si="371"/>
        <v>0</v>
      </c>
      <c r="X815" s="80">
        <f t="shared" si="371"/>
        <v>0</v>
      </c>
      <c r="Y815" s="80">
        <f t="shared" si="371"/>
        <v>0</v>
      </c>
      <c r="Z815" s="80">
        <f t="shared" si="371"/>
        <v>0</v>
      </c>
      <c r="AA815" s="80">
        <f t="shared" si="367"/>
        <v>0</v>
      </c>
      <c r="AB815" s="94" t="str">
        <f t="shared" si="366"/>
        <v>ok</v>
      </c>
    </row>
    <row r="816" spans="2:28" s="61" customFormat="1" hidden="1">
      <c r="B816" s="61" t="s">
        <v>1194</v>
      </c>
      <c r="E816" s="61" t="s">
        <v>839</v>
      </c>
      <c r="F816" s="297"/>
      <c r="G816" s="77">
        <f t="shared" si="370"/>
        <v>0</v>
      </c>
      <c r="H816" s="77">
        <f t="shared" si="370"/>
        <v>0</v>
      </c>
      <c r="I816" s="77">
        <f t="shared" si="370"/>
        <v>0</v>
      </c>
      <c r="J816" s="77">
        <f t="shared" si="370"/>
        <v>0</v>
      </c>
      <c r="K816" s="77">
        <f t="shared" si="370"/>
        <v>0</v>
      </c>
      <c r="L816" s="77">
        <f t="shared" si="370"/>
        <v>0</v>
      </c>
      <c r="M816" s="77">
        <f t="shared" si="370"/>
        <v>0</v>
      </c>
      <c r="N816" s="77">
        <f t="shared" si="370"/>
        <v>0</v>
      </c>
      <c r="O816" s="77">
        <f t="shared" si="370"/>
        <v>0</v>
      </c>
      <c r="P816" s="77">
        <f t="shared" si="370"/>
        <v>0</v>
      </c>
      <c r="Q816" s="77">
        <f t="shared" si="371"/>
        <v>0</v>
      </c>
      <c r="R816" s="77">
        <f t="shared" si="371"/>
        <v>0</v>
      </c>
      <c r="S816" s="77">
        <f t="shared" si="371"/>
        <v>0</v>
      </c>
      <c r="T816" s="77">
        <f t="shared" si="371"/>
        <v>0</v>
      </c>
      <c r="U816" s="77">
        <f t="shared" si="371"/>
        <v>0</v>
      </c>
      <c r="V816" s="77">
        <f t="shared" si="371"/>
        <v>0</v>
      </c>
      <c r="W816" s="77">
        <f t="shared" si="371"/>
        <v>0</v>
      </c>
      <c r="X816" s="80">
        <f t="shared" si="371"/>
        <v>0</v>
      </c>
      <c r="Y816" s="80">
        <f t="shared" si="371"/>
        <v>0</v>
      </c>
      <c r="Z816" s="80">
        <f t="shared" si="371"/>
        <v>0</v>
      </c>
      <c r="AA816" s="81">
        <f t="shared" si="367"/>
        <v>0</v>
      </c>
      <c r="AB816" s="94" t="str">
        <f t="shared" si="366"/>
        <v>ok</v>
      </c>
    </row>
    <row r="817" spans="1:54" s="61" customFormat="1" hidden="1">
      <c r="B817" s="61" t="s">
        <v>1195</v>
      </c>
      <c r="E817" s="61" t="s">
        <v>422</v>
      </c>
      <c r="F817" s="297"/>
      <c r="G817" s="77">
        <f t="shared" si="370"/>
        <v>0</v>
      </c>
      <c r="H817" s="77">
        <f t="shared" si="370"/>
        <v>0</v>
      </c>
      <c r="I817" s="77">
        <f t="shared" si="370"/>
        <v>0</v>
      </c>
      <c r="J817" s="77">
        <f t="shared" si="370"/>
        <v>0</v>
      </c>
      <c r="K817" s="77">
        <f t="shared" si="370"/>
        <v>0</v>
      </c>
      <c r="L817" s="77">
        <f t="shared" si="370"/>
        <v>0</v>
      </c>
      <c r="M817" s="77">
        <f t="shared" si="370"/>
        <v>0</v>
      </c>
      <c r="N817" s="77">
        <f t="shared" si="370"/>
        <v>0</v>
      </c>
      <c r="O817" s="77">
        <f t="shared" si="370"/>
        <v>0</v>
      </c>
      <c r="P817" s="77">
        <f t="shared" si="370"/>
        <v>0</v>
      </c>
      <c r="Q817" s="77">
        <f t="shared" si="371"/>
        <v>0</v>
      </c>
      <c r="R817" s="77">
        <f t="shared" si="371"/>
        <v>0</v>
      </c>
      <c r="S817" s="77">
        <f t="shared" si="371"/>
        <v>0</v>
      </c>
      <c r="T817" s="77">
        <f t="shared" si="371"/>
        <v>0</v>
      </c>
      <c r="U817" s="77">
        <f t="shared" si="371"/>
        <v>0</v>
      </c>
      <c r="V817" s="77">
        <f t="shared" si="371"/>
        <v>0</v>
      </c>
      <c r="W817" s="77">
        <f t="shared" si="371"/>
        <v>0</v>
      </c>
      <c r="X817" s="80">
        <f t="shared" si="371"/>
        <v>0</v>
      </c>
      <c r="Y817" s="80">
        <f t="shared" si="371"/>
        <v>0</v>
      </c>
      <c r="Z817" s="80">
        <f t="shared" si="371"/>
        <v>0</v>
      </c>
      <c r="AA817" s="81">
        <f t="shared" si="367"/>
        <v>0</v>
      </c>
      <c r="AB817" s="94" t="str">
        <f t="shared" si="366"/>
        <v>ok</v>
      </c>
    </row>
    <row r="818" spans="1:54" s="61" customFormat="1" hidden="1">
      <c r="B818" s="61" t="s">
        <v>1196</v>
      </c>
      <c r="E818" s="61" t="s">
        <v>422</v>
      </c>
      <c r="F818" s="298"/>
      <c r="G818" s="136">
        <f t="shared" si="370"/>
        <v>0</v>
      </c>
      <c r="H818" s="136">
        <f t="shared" si="370"/>
        <v>0</v>
      </c>
      <c r="I818" s="136">
        <f t="shared" si="370"/>
        <v>0</v>
      </c>
      <c r="J818" s="136">
        <f t="shared" si="370"/>
        <v>0</v>
      </c>
      <c r="K818" s="136">
        <f t="shared" si="370"/>
        <v>0</v>
      </c>
      <c r="L818" s="136">
        <f t="shared" si="370"/>
        <v>0</v>
      </c>
      <c r="M818" s="136">
        <f t="shared" si="370"/>
        <v>0</v>
      </c>
      <c r="N818" s="136">
        <f t="shared" si="370"/>
        <v>0</v>
      </c>
      <c r="O818" s="136">
        <f t="shared" si="370"/>
        <v>0</v>
      </c>
      <c r="P818" s="136">
        <f t="shared" si="370"/>
        <v>0</v>
      </c>
      <c r="Q818" s="136">
        <f t="shared" si="371"/>
        <v>0</v>
      </c>
      <c r="R818" s="136">
        <f t="shared" si="371"/>
        <v>0</v>
      </c>
      <c r="S818" s="136">
        <f t="shared" si="371"/>
        <v>0</v>
      </c>
      <c r="T818" s="136">
        <f t="shared" si="371"/>
        <v>0</v>
      </c>
      <c r="U818" s="136">
        <f t="shared" si="371"/>
        <v>0</v>
      </c>
      <c r="V818" s="136">
        <f t="shared" si="371"/>
        <v>0</v>
      </c>
      <c r="W818" s="136">
        <f t="shared" si="371"/>
        <v>0</v>
      </c>
      <c r="X818" s="80">
        <f t="shared" si="371"/>
        <v>0</v>
      </c>
      <c r="Y818" s="80">
        <f t="shared" si="371"/>
        <v>0</v>
      </c>
      <c r="Z818" s="80">
        <f t="shared" si="371"/>
        <v>0</v>
      </c>
      <c r="AA818" s="137">
        <f t="shared" si="367"/>
        <v>0</v>
      </c>
      <c r="AB818" s="149" t="str">
        <f t="shared" si="366"/>
        <v>ok</v>
      </c>
    </row>
    <row r="819" spans="1:54" s="61" customFormat="1">
      <c r="A819" s="61" t="s">
        <v>708</v>
      </c>
      <c r="F819" s="80">
        <f t="shared" ref="F819:Z819" si="372">SUM(F788:F818)</f>
        <v>-4059414.1199999996</v>
      </c>
      <c r="G819" s="80">
        <f t="shared" si="372"/>
        <v>-173675.83888249958</v>
      </c>
      <c r="H819" s="80">
        <f t="shared" si="372"/>
        <v>-1049596.5578704323</v>
      </c>
      <c r="I819" s="80">
        <f t="shared" si="372"/>
        <v>0</v>
      </c>
      <c r="J819" s="80">
        <f t="shared" si="372"/>
        <v>-62836.567218411816</v>
      </c>
      <c r="K819" s="80">
        <f t="shared" si="372"/>
        <v>-1162421.7127423766</v>
      </c>
      <c r="L819" s="80">
        <f t="shared" si="372"/>
        <v>0</v>
      </c>
      <c r="M819" s="80">
        <f t="shared" si="372"/>
        <v>0</v>
      </c>
      <c r="N819" s="80">
        <f t="shared" si="372"/>
        <v>-468348.96788212797</v>
      </c>
      <c r="O819" s="80">
        <f>SUM(O788:O818)</f>
        <v>-760537.19357722509</v>
      </c>
      <c r="P819" s="80">
        <f t="shared" si="372"/>
        <v>-211994.96154404274</v>
      </c>
      <c r="Q819" s="80">
        <f t="shared" si="372"/>
        <v>-5379.9458103041516</v>
      </c>
      <c r="R819" s="80">
        <f t="shared" si="372"/>
        <v>-6101.2471140489515</v>
      </c>
      <c r="S819" s="80">
        <f t="shared" si="372"/>
        <v>-154860.35242237156</v>
      </c>
      <c r="T819" s="80">
        <f t="shared" si="372"/>
        <v>-1736.9059922657486</v>
      </c>
      <c r="U819" s="80">
        <f t="shared" si="372"/>
        <v>-1923.8689438972324</v>
      </c>
      <c r="V819" s="80">
        <f t="shared" si="372"/>
        <v>0</v>
      </c>
      <c r="W819" s="80">
        <f t="shared" si="372"/>
        <v>0</v>
      </c>
      <c r="X819" s="80">
        <f t="shared" si="372"/>
        <v>0</v>
      </c>
      <c r="Y819" s="80">
        <f t="shared" si="372"/>
        <v>0</v>
      </c>
      <c r="Z819" s="80">
        <f t="shared" si="372"/>
        <v>0</v>
      </c>
      <c r="AA819" s="154">
        <f>SUM(G819:Z819)</f>
        <v>-4059414.1200000029</v>
      </c>
      <c r="AB819" s="145" t="str">
        <f t="shared" si="366"/>
        <v>ok</v>
      </c>
    </row>
    <row r="820" spans="1:54" s="61" customFormat="1">
      <c r="AA820" s="154"/>
      <c r="AB820" s="145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 spans="1:54" s="61" customFormat="1">
      <c r="A821" s="61" t="s">
        <v>1128</v>
      </c>
      <c r="D821" s="61" t="s">
        <v>1089</v>
      </c>
      <c r="F821" s="81">
        <f t="shared" ref="F821:Z821" si="373">SUM(F774:F818)</f>
        <v>900088775.12269807</v>
      </c>
      <c r="G821" s="81">
        <f t="shared" si="373"/>
        <v>377995287.60300291</v>
      </c>
      <c r="H821" s="81">
        <f t="shared" si="373"/>
        <v>116922103.3062624</v>
      </c>
      <c r="I821" s="81">
        <f t="shared" si="373"/>
        <v>0</v>
      </c>
      <c r="J821" s="81">
        <f t="shared" si="373"/>
        <v>10606671.893855421</v>
      </c>
      <c r="K821" s="81">
        <f t="shared" si="373"/>
        <v>132073741.93780506</v>
      </c>
      <c r="L821" s="81">
        <f t="shared" si="373"/>
        <v>0</v>
      </c>
      <c r="M821" s="81">
        <f t="shared" si="373"/>
        <v>0</v>
      </c>
      <c r="N821" s="81">
        <f t="shared" si="373"/>
        <v>111586140.63330151</v>
      </c>
      <c r="O821" s="81">
        <f>SUM(O774:O818)</f>
        <v>63592555.000067912</v>
      </c>
      <c r="P821" s="81">
        <f t="shared" si="373"/>
        <v>62906029.806600019</v>
      </c>
      <c r="Q821" s="81">
        <f t="shared" si="373"/>
        <v>6443949.4070800003</v>
      </c>
      <c r="R821" s="81">
        <f t="shared" si="373"/>
        <v>3303073.2775519788</v>
      </c>
      <c r="S821" s="81">
        <f t="shared" si="373"/>
        <v>14230935.383272838</v>
      </c>
      <c r="T821" s="81">
        <f t="shared" si="373"/>
        <v>188617.87066060083</v>
      </c>
      <c r="U821" s="81">
        <f t="shared" si="373"/>
        <v>239669.00323741461</v>
      </c>
      <c r="V821" s="81">
        <f t="shared" si="373"/>
        <v>0</v>
      </c>
      <c r="W821" s="81">
        <f t="shared" si="373"/>
        <v>0</v>
      </c>
      <c r="X821" s="81">
        <f t="shared" si="373"/>
        <v>0</v>
      </c>
      <c r="Y821" s="81">
        <f t="shared" si="373"/>
        <v>0</v>
      </c>
      <c r="Z821" s="81">
        <f t="shared" si="373"/>
        <v>0</v>
      </c>
      <c r="AA821" s="81">
        <f>SUM(G821:Z821)</f>
        <v>900088775.12269807</v>
      </c>
      <c r="AB821" s="94" t="str">
        <f>IF(ABS(F821-AA821)&lt;0.01,"ok","err")</f>
        <v>ok</v>
      </c>
    </row>
    <row r="822" spans="1:54" s="61" customFormat="1"/>
    <row r="823" spans="1:54" s="61" customFormat="1" ht="15">
      <c r="A823" s="66" t="s">
        <v>903</v>
      </c>
      <c r="F823" s="81">
        <f t="shared" ref="F823:AA823" si="374">F770-F821</f>
        <v>117112877.33855081</v>
      </c>
      <c r="G823" s="81">
        <f t="shared" si="374"/>
        <v>25003634.120774329</v>
      </c>
      <c r="H823" s="81">
        <f t="shared" si="374"/>
        <v>24010460.415442437</v>
      </c>
      <c r="I823" s="81">
        <f t="shared" si="374"/>
        <v>0</v>
      </c>
      <c r="J823" s="81">
        <f t="shared" si="374"/>
        <v>1528524.2155475132</v>
      </c>
      <c r="K823" s="81">
        <f t="shared" si="374"/>
        <v>26731849.783861309</v>
      </c>
      <c r="L823" s="81">
        <f t="shared" si="374"/>
        <v>0</v>
      </c>
      <c r="M823" s="81">
        <f t="shared" si="374"/>
        <v>0</v>
      </c>
      <c r="N823" s="81">
        <f t="shared" si="374"/>
        <v>12198493.679376096</v>
      </c>
      <c r="O823" s="81">
        <f t="shared" si="374"/>
        <v>17104910.522269659</v>
      </c>
      <c r="P823" s="81">
        <f t="shared" si="374"/>
        <v>5459334.3900286853</v>
      </c>
      <c r="Q823" s="81">
        <f t="shared" si="374"/>
        <v>314466.87319000717</v>
      </c>
      <c r="R823" s="81">
        <f t="shared" si="374"/>
        <v>206060.46855074633</v>
      </c>
      <c r="S823" s="81">
        <f t="shared" si="374"/>
        <v>4480227.3184600621</v>
      </c>
      <c r="T823" s="81">
        <f t="shared" si="374"/>
        <v>33333.036566019146</v>
      </c>
      <c r="U823" s="81">
        <f t="shared" si="374"/>
        <v>41582.514484079758</v>
      </c>
      <c r="V823" s="81">
        <f t="shared" si="374"/>
        <v>0</v>
      </c>
      <c r="W823" s="81">
        <f t="shared" si="374"/>
        <v>0</v>
      </c>
      <c r="X823" s="81">
        <f t="shared" si="374"/>
        <v>0</v>
      </c>
      <c r="Y823" s="81">
        <f t="shared" si="374"/>
        <v>0</v>
      </c>
      <c r="Z823" s="81">
        <f t="shared" si="374"/>
        <v>0</v>
      </c>
      <c r="AA823" s="81">
        <f t="shared" si="374"/>
        <v>117112877.33855069</v>
      </c>
      <c r="AB823" s="94" t="str">
        <f>IF(ABS(F823-AA823)&lt;0.01,"ok","err")</f>
        <v>ok</v>
      </c>
    </row>
    <row r="824" spans="1:54" s="61" customFormat="1" ht="15">
      <c r="A824" s="66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94"/>
    </row>
    <row r="825" spans="1:54" s="61" customFormat="1" ht="15">
      <c r="A825" s="66"/>
      <c r="F825" s="81"/>
      <c r="G825" s="81"/>
      <c r="H825" s="81"/>
      <c r="I825" s="81"/>
      <c r="J825" s="135"/>
      <c r="K825" s="81"/>
      <c r="L825" s="81"/>
      <c r="M825" s="81"/>
      <c r="N825" s="135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94"/>
    </row>
    <row r="826" spans="1:54" s="61" customFormat="1" ht="15">
      <c r="A826" s="66" t="s">
        <v>208</v>
      </c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94"/>
    </row>
    <row r="827" spans="1:54" s="61" customFormat="1" ht="15">
      <c r="A827" s="66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94"/>
    </row>
    <row r="828" spans="1:54" s="61" customFormat="1" ht="15">
      <c r="A828" s="66" t="s">
        <v>903</v>
      </c>
      <c r="F828" s="81">
        <f>F823</f>
        <v>117112877.33855081</v>
      </c>
      <c r="G828" s="81">
        <f t="shared" ref="G828:U828" si="375">G823</f>
        <v>25003634.120774329</v>
      </c>
      <c r="H828" s="81">
        <f t="shared" si="375"/>
        <v>24010460.415442437</v>
      </c>
      <c r="I828" s="81">
        <f t="shared" si="375"/>
        <v>0</v>
      </c>
      <c r="J828" s="81">
        <f t="shared" si="375"/>
        <v>1528524.2155475132</v>
      </c>
      <c r="K828" s="81">
        <f t="shared" si="375"/>
        <v>26731849.783861309</v>
      </c>
      <c r="L828" s="81">
        <f t="shared" si="375"/>
        <v>0</v>
      </c>
      <c r="M828" s="81">
        <f t="shared" si="375"/>
        <v>0</v>
      </c>
      <c r="N828" s="81">
        <f t="shared" si="375"/>
        <v>12198493.679376096</v>
      </c>
      <c r="O828" s="81">
        <f>O823</f>
        <v>17104910.522269659</v>
      </c>
      <c r="P828" s="81">
        <f t="shared" si="375"/>
        <v>5459334.3900286853</v>
      </c>
      <c r="Q828" s="81">
        <f t="shared" si="375"/>
        <v>314466.87319000717</v>
      </c>
      <c r="R828" s="81">
        <f t="shared" si="375"/>
        <v>206060.46855074633</v>
      </c>
      <c r="S828" s="81">
        <f t="shared" si="375"/>
        <v>4480227.3184600621</v>
      </c>
      <c r="T828" s="81">
        <f t="shared" si="375"/>
        <v>33333.036566019146</v>
      </c>
      <c r="U828" s="81">
        <f t="shared" si="375"/>
        <v>41582.514484079758</v>
      </c>
      <c r="V828" s="81"/>
      <c r="W828" s="81"/>
      <c r="X828" s="81"/>
      <c r="Y828" s="81"/>
      <c r="Z828" s="81"/>
      <c r="AA828" s="81"/>
      <c r="AB828" s="94"/>
    </row>
    <row r="829" spans="1:54" s="61" customFormat="1"/>
    <row r="830" spans="1:54" s="61" customFormat="1" ht="15">
      <c r="A830" s="66" t="s">
        <v>1111</v>
      </c>
      <c r="F830" s="81">
        <f t="shared" ref="F830:Z830" si="376">F730</f>
        <v>2380933927.241509</v>
      </c>
      <c r="G830" s="81">
        <f t="shared" si="376"/>
        <v>1226298141.3869851</v>
      </c>
      <c r="H830" s="81">
        <f t="shared" si="376"/>
        <v>277706597.11954999</v>
      </c>
      <c r="I830" s="81">
        <f t="shared" si="376"/>
        <v>0</v>
      </c>
      <c r="J830" s="81">
        <f t="shared" si="376"/>
        <v>21749592.64590745</v>
      </c>
      <c r="K830" s="81">
        <f t="shared" si="376"/>
        <v>275721267.25815135</v>
      </c>
      <c r="L830" s="81">
        <f t="shared" si="376"/>
        <v>0</v>
      </c>
      <c r="M830" s="81">
        <f t="shared" si="376"/>
        <v>0</v>
      </c>
      <c r="N830" s="81">
        <f t="shared" si="376"/>
        <v>226471826.17950612</v>
      </c>
      <c r="O830" s="81">
        <f t="shared" si="376"/>
        <v>143715706.90157166</v>
      </c>
      <c r="P830" s="81">
        <f t="shared" si="376"/>
        <v>113082426.76512812</v>
      </c>
      <c r="Q830" s="81">
        <f t="shared" si="376"/>
        <v>14438868.779765479</v>
      </c>
      <c r="R830" s="81">
        <f t="shared" si="376"/>
        <v>6627986.1679961868</v>
      </c>
      <c r="S830" s="81">
        <f t="shared" si="376"/>
        <v>74531365.088449582</v>
      </c>
      <c r="T830" s="81">
        <f t="shared" si="376"/>
        <v>189911.6367086453</v>
      </c>
      <c r="U830" s="81">
        <f t="shared" si="376"/>
        <v>400237.31178913353</v>
      </c>
      <c r="V830" s="81">
        <f t="shared" si="376"/>
        <v>0</v>
      </c>
      <c r="W830" s="81">
        <f t="shared" si="376"/>
        <v>0</v>
      </c>
      <c r="X830" s="81">
        <f t="shared" si="376"/>
        <v>0</v>
      </c>
      <c r="Y830" s="81">
        <f t="shared" si="376"/>
        <v>0</v>
      </c>
      <c r="Z830" s="81">
        <f t="shared" si="376"/>
        <v>0</v>
      </c>
      <c r="AA830" s="81">
        <f>SUM(G830:Z830)</f>
        <v>2380933927.241509</v>
      </c>
      <c r="AB830" s="94" t="str">
        <f>IF(ABS(F830-AA830)&lt;0.01,"ok","err")</f>
        <v>ok</v>
      </c>
    </row>
    <row r="831" spans="1:54" s="61" customFormat="1" ht="15">
      <c r="A831" s="66" t="s">
        <v>1318</v>
      </c>
      <c r="E831" s="61" t="s">
        <v>1101</v>
      </c>
      <c r="F831" s="80">
        <v>0</v>
      </c>
      <c r="G831" s="80">
        <f t="shared" ref="G831:P833" si="377">IF(VLOOKUP($E831,$D$6:$AN$1131,3,)=0,0,(VLOOKUP($E831,$D$6:$AN$1131,G$2,)/VLOOKUP($E831,$D$6:$AN$1131,3,))*$F831)</f>
        <v>0</v>
      </c>
      <c r="H831" s="80">
        <f t="shared" si="377"/>
        <v>0</v>
      </c>
      <c r="I831" s="80">
        <f t="shared" si="377"/>
        <v>0</v>
      </c>
      <c r="J831" s="80">
        <f t="shared" si="377"/>
        <v>0</v>
      </c>
      <c r="K831" s="80">
        <f t="shared" si="377"/>
        <v>0</v>
      </c>
      <c r="L831" s="80">
        <f t="shared" si="377"/>
        <v>0</v>
      </c>
      <c r="M831" s="80">
        <f t="shared" si="377"/>
        <v>0</v>
      </c>
      <c r="N831" s="80">
        <f t="shared" si="377"/>
        <v>0</v>
      </c>
      <c r="O831" s="80">
        <f t="shared" si="377"/>
        <v>0</v>
      </c>
      <c r="P831" s="80">
        <f t="shared" si="377"/>
        <v>0</v>
      </c>
      <c r="Q831" s="80">
        <f t="shared" ref="Q831:Z833" si="378">IF(VLOOKUP($E831,$D$6:$AN$1131,3,)=0,0,(VLOOKUP($E831,$D$6:$AN$1131,Q$2,)/VLOOKUP($E831,$D$6:$AN$1131,3,))*$F831)</f>
        <v>0</v>
      </c>
      <c r="R831" s="80">
        <f t="shared" si="378"/>
        <v>0</v>
      </c>
      <c r="S831" s="80">
        <f t="shared" si="378"/>
        <v>0</v>
      </c>
      <c r="T831" s="80">
        <f t="shared" si="378"/>
        <v>0</v>
      </c>
      <c r="U831" s="80">
        <f t="shared" si="378"/>
        <v>0</v>
      </c>
      <c r="V831" s="80">
        <f t="shared" si="378"/>
        <v>0</v>
      </c>
      <c r="W831" s="80">
        <f t="shared" si="378"/>
        <v>0</v>
      </c>
      <c r="X831" s="80">
        <f t="shared" si="378"/>
        <v>0</v>
      </c>
      <c r="Y831" s="80">
        <f t="shared" si="378"/>
        <v>0</v>
      </c>
      <c r="Z831" s="80">
        <f t="shared" si="378"/>
        <v>0</v>
      </c>
      <c r="AA831" s="80">
        <f>SUM(G831:Z831)</f>
        <v>0</v>
      </c>
      <c r="AB831" s="94" t="str">
        <f>IF(ABS(F831-AA831)&lt;0.01,"ok","err")</f>
        <v>ok</v>
      </c>
    </row>
    <row r="832" spans="1:54" s="61" customFormat="1" ht="15">
      <c r="A832" s="66" t="s">
        <v>1173</v>
      </c>
      <c r="E832" s="61" t="s">
        <v>532</v>
      </c>
      <c r="F832" s="80">
        <v>0</v>
      </c>
      <c r="G832" s="80">
        <f t="shared" si="377"/>
        <v>0</v>
      </c>
      <c r="H832" s="80">
        <f t="shared" si="377"/>
        <v>0</v>
      </c>
      <c r="I832" s="80">
        <f t="shared" si="377"/>
        <v>0</v>
      </c>
      <c r="J832" s="80">
        <f t="shared" si="377"/>
        <v>0</v>
      </c>
      <c r="K832" s="80">
        <f t="shared" si="377"/>
        <v>0</v>
      </c>
      <c r="L832" s="80">
        <f t="shared" si="377"/>
        <v>0</v>
      </c>
      <c r="M832" s="80">
        <f t="shared" si="377"/>
        <v>0</v>
      </c>
      <c r="N832" s="80">
        <f t="shared" si="377"/>
        <v>0</v>
      </c>
      <c r="O832" s="80">
        <f t="shared" si="377"/>
        <v>0</v>
      </c>
      <c r="P832" s="80">
        <f t="shared" si="377"/>
        <v>0</v>
      </c>
      <c r="Q832" s="80">
        <f t="shared" si="378"/>
        <v>0</v>
      </c>
      <c r="R832" s="80">
        <f t="shared" si="378"/>
        <v>0</v>
      </c>
      <c r="S832" s="80">
        <f t="shared" si="378"/>
        <v>0</v>
      </c>
      <c r="T832" s="80">
        <f t="shared" si="378"/>
        <v>0</v>
      </c>
      <c r="U832" s="80">
        <f t="shared" si="378"/>
        <v>0</v>
      </c>
      <c r="V832" s="80">
        <f t="shared" si="378"/>
        <v>0</v>
      </c>
      <c r="W832" s="80">
        <f t="shared" si="378"/>
        <v>0</v>
      </c>
      <c r="X832" s="80">
        <f t="shared" si="378"/>
        <v>0</v>
      </c>
      <c r="Y832" s="80">
        <f t="shared" si="378"/>
        <v>0</v>
      </c>
      <c r="Z832" s="80">
        <f t="shared" si="378"/>
        <v>0</v>
      </c>
      <c r="AA832" s="80">
        <f>SUM(G832:Z832)</f>
        <v>0</v>
      </c>
      <c r="AB832" s="94" t="str">
        <f>IF(ABS(F832-AA832)&lt;0.01,"ok","err")</f>
        <v>ok</v>
      </c>
    </row>
    <row r="833" spans="1:28" s="61" customFormat="1" ht="15">
      <c r="A833" s="66" t="s">
        <v>0</v>
      </c>
      <c r="E833" s="61" t="s">
        <v>703</v>
      </c>
      <c r="F833" s="80">
        <v>0</v>
      </c>
      <c r="G833" s="80">
        <f t="shared" si="377"/>
        <v>0</v>
      </c>
      <c r="H833" s="80">
        <f t="shared" si="377"/>
        <v>0</v>
      </c>
      <c r="I833" s="80">
        <f t="shared" si="377"/>
        <v>0</v>
      </c>
      <c r="J833" s="80">
        <f t="shared" si="377"/>
        <v>0</v>
      </c>
      <c r="K833" s="80">
        <f t="shared" si="377"/>
        <v>0</v>
      </c>
      <c r="L833" s="80">
        <f t="shared" si="377"/>
        <v>0</v>
      </c>
      <c r="M833" s="80">
        <f t="shared" si="377"/>
        <v>0</v>
      </c>
      <c r="N833" s="80">
        <f t="shared" si="377"/>
        <v>0</v>
      </c>
      <c r="O833" s="80">
        <f t="shared" si="377"/>
        <v>0</v>
      </c>
      <c r="P833" s="80">
        <f t="shared" si="377"/>
        <v>0</v>
      </c>
      <c r="Q833" s="80">
        <f t="shared" si="378"/>
        <v>0</v>
      </c>
      <c r="R833" s="80">
        <f t="shared" si="378"/>
        <v>0</v>
      </c>
      <c r="S833" s="80">
        <f t="shared" si="378"/>
        <v>0</v>
      </c>
      <c r="T833" s="80">
        <f t="shared" si="378"/>
        <v>0</v>
      </c>
      <c r="U833" s="80">
        <f t="shared" si="378"/>
        <v>0</v>
      </c>
      <c r="V833" s="80">
        <f t="shared" si="378"/>
        <v>0</v>
      </c>
      <c r="W833" s="80">
        <f t="shared" si="378"/>
        <v>0</v>
      </c>
      <c r="X833" s="80">
        <f t="shared" si="378"/>
        <v>0</v>
      </c>
      <c r="Y833" s="80">
        <f t="shared" si="378"/>
        <v>0</v>
      </c>
      <c r="Z833" s="80">
        <f t="shared" si="378"/>
        <v>0</v>
      </c>
      <c r="AA833" s="80">
        <f>SUM(G833:Z833)</f>
        <v>0</v>
      </c>
      <c r="AB833" s="94" t="str">
        <f>IF(ABS(F833-AA833)&lt;0.01,"ok","err")</f>
        <v>ok</v>
      </c>
    </row>
    <row r="834" spans="1:28" s="61" customFormat="1" ht="15">
      <c r="A834" s="66" t="s">
        <v>917</v>
      </c>
      <c r="F834" s="81">
        <f t="shared" ref="F834:Z834" si="379">SUM(F830:F833)</f>
        <v>2380933927.241509</v>
      </c>
      <c r="G834" s="81">
        <f t="shared" si="379"/>
        <v>1226298141.3869851</v>
      </c>
      <c r="H834" s="81">
        <f t="shared" si="379"/>
        <v>277706597.11954999</v>
      </c>
      <c r="I834" s="81">
        <f t="shared" si="379"/>
        <v>0</v>
      </c>
      <c r="J834" s="81">
        <f t="shared" si="379"/>
        <v>21749592.64590745</v>
      </c>
      <c r="K834" s="81">
        <f t="shared" si="379"/>
        <v>275721267.25815135</v>
      </c>
      <c r="L834" s="81">
        <f t="shared" si="379"/>
        <v>0</v>
      </c>
      <c r="M834" s="81">
        <f t="shared" si="379"/>
        <v>0</v>
      </c>
      <c r="N834" s="81">
        <f t="shared" si="379"/>
        <v>226471826.17950612</v>
      </c>
      <c r="O834" s="81">
        <f t="shared" si="379"/>
        <v>143715706.90157166</v>
      </c>
      <c r="P834" s="81">
        <f t="shared" si="379"/>
        <v>113082426.76512812</v>
      </c>
      <c r="Q834" s="81">
        <f t="shared" si="379"/>
        <v>14438868.779765479</v>
      </c>
      <c r="R834" s="81">
        <f t="shared" si="379"/>
        <v>6627986.1679961868</v>
      </c>
      <c r="S834" s="81">
        <f t="shared" si="379"/>
        <v>74531365.088449582</v>
      </c>
      <c r="T834" s="81">
        <f t="shared" si="379"/>
        <v>189911.6367086453</v>
      </c>
      <c r="U834" s="81">
        <f t="shared" si="379"/>
        <v>400237.31178913353</v>
      </c>
      <c r="V834" s="81">
        <f t="shared" si="379"/>
        <v>0</v>
      </c>
      <c r="W834" s="81">
        <f t="shared" si="379"/>
        <v>0</v>
      </c>
      <c r="X834" s="81">
        <f t="shared" si="379"/>
        <v>0</v>
      </c>
      <c r="Y834" s="81">
        <f t="shared" si="379"/>
        <v>0</v>
      </c>
      <c r="Z834" s="81">
        <f t="shared" si="379"/>
        <v>0</v>
      </c>
      <c r="AA834" s="81">
        <f>SUM(G834:Z834)</f>
        <v>2380933927.241509</v>
      </c>
      <c r="AB834" s="94" t="str">
        <f>IF(ABS(F834-AA834)&lt;0.01,"ok","err")</f>
        <v>ok</v>
      </c>
    </row>
    <row r="835" spans="1:28" s="61" customFormat="1" ht="15" thickBot="1"/>
    <row r="836" spans="1:28" s="61" customFormat="1" ht="15.75" thickBot="1">
      <c r="A836" s="295" t="s">
        <v>1129</v>
      </c>
      <c r="B836" s="151"/>
      <c r="C836" s="151"/>
      <c r="D836" s="151"/>
      <c r="E836" s="151"/>
      <c r="F836" s="152">
        <f t="shared" ref="F836:Z836" si="380">F823/F834</f>
        <v>4.9187789715036269E-2</v>
      </c>
      <c r="G836" s="152">
        <f t="shared" si="380"/>
        <v>2.0389522969099801E-2</v>
      </c>
      <c r="H836" s="152">
        <f t="shared" si="380"/>
        <v>8.6459812854594045E-2</v>
      </c>
      <c r="I836" s="152" t="e">
        <f t="shared" si="380"/>
        <v>#DIV/0!</v>
      </c>
      <c r="J836" s="152">
        <f t="shared" si="380"/>
        <v>7.0278291664240919E-2</v>
      </c>
      <c r="K836" s="152">
        <f t="shared" si="380"/>
        <v>9.6952440592233693E-2</v>
      </c>
      <c r="L836" s="152" t="e">
        <f t="shared" si="380"/>
        <v>#DIV/0!</v>
      </c>
      <c r="M836" s="152" t="e">
        <f t="shared" si="380"/>
        <v>#DIV/0!</v>
      </c>
      <c r="N836" s="152">
        <f t="shared" si="380"/>
        <v>5.3863184154780135E-2</v>
      </c>
      <c r="O836" s="152">
        <f t="shared" si="380"/>
        <v>0.11901907516611604</v>
      </c>
      <c r="P836" s="152">
        <f t="shared" si="380"/>
        <v>4.8277478174108407E-2</v>
      </c>
      <c r="Q836" s="152">
        <f t="shared" si="380"/>
        <v>2.1779190460591943E-2</v>
      </c>
      <c r="R836" s="152">
        <f t="shared" si="380"/>
        <v>3.1089453618012571E-2</v>
      </c>
      <c r="S836" s="152">
        <f t="shared" si="380"/>
        <v>6.011197182747402E-2</v>
      </c>
      <c r="T836" s="152">
        <f t="shared" si="380"/>
        <v>0.17551866301461733</v>
      </c>
      <c r="U836" s="152">
        <f t="shared" si="380"/>
        <v>0.10389464764841229</v>
      </c>
      <c r="V836" s="152" t="e">
        <f t="shared" si="380"/>
        <v>#DIV/0!</v>
      </c>
      <c r="W836" s="152" t="e">
        <f t="shared" si="380"/>
        <v>#DIV/0!</v>
      </c>
      <c r="X836" s="152" t="e">
        <f t="shared" si="380"/>
        <v>#DIV/0!</v>
      </c>
      <c r="Y836" s="152" t="e">
        <f t="shared" si="380"/>
        <v>#DIV/0!</v>
      </c>
      <c r="Z836" s="152" t="e">
        <f t="shared" si="380"/>
        <v>#DIV/0!</v>
      </c>
      <c r="AA836" s="140"/>
      <c r="AB836" s="140"/>
    </row>
    <row r="837" spans="1:28" s="61" customFormat="1"/>
    <row r="838" spans="1:28" s="61" customFormat="1" ht="15">
      <c r="A838" s="66" t="s">
        <v>842</v>
      </c>
    </row>
    <row r="839" spans="1:28" s="61" customFormat="1"/>
    <row r="840" spans="1:28" s="61" customFormat="1">
      <c r="A840" s="61" t="s">
        <v>837</v>
      </c>
      <c r="F840" s="81">
        <f t="shared" ref="F840:Z840" si="381">F770</f>
        <v>1017201652.4612489</v>
      </c>
      <c r="G840" s="81">
        <f t="shared" si="381"/>
        <v>402998921.72377723</v>
      </c>
      <c r="H840" s="81">
        <f t="shared" si="381"/>
        <v>140932563.72170484</v>
      </c>
      <c r="I840" s="81">
        <f t="shared" si="381"/>
        <v>0</v>
      </c>
      <c r="J840" s="81">
        <f t="shared" si="381"/>
        <v>12135196.109402934</v>
      </c>
      <c r="K840" s="81">
        <f t="shared" si="381"/>
        <v>158805591.72166637</v>
      </c>
      <c r="L840" s="81">
        <f t="shared" si="381"/>
        <v>0</v>
      </c>
      <c r="M840" s="81">
        <f t="shared" si="381"/>
        <v>0</v>
      </c>
      <c r="N840" s="81">
        <f t="shared" si="381"/>
        <v>123784634.31267761</v>
      </c>
      <c r="O840" s="81">
        <f t="shared" si="381"/>
        <v>80697465.522337571</v>
      </c>
      <c r="P840" s="81">
        <f t="shared" si="381"/>
        <v>68365364.196628705</v>
      </c>
      <c r="Q840" s="81">
        <f t="shared" si="381"/>
        <v>6758416.2802700074</v>
      </c>
      <c r="R840" s="81">
        <f t="shared" si="381"/>
        <v>3509133.7461027252</v>
      </c>
      <c r="S840" s="81">
        <f t="shared" si="381"/>
        <v>18711162.7017329</v>
      </c>
      <c r="T840" s="81">
        <f t="shared" si="381"/>
        <v>221950.90722661998</v>
      </c>
      <c r="U840" s="81">
        <f t="shared" si="381"/>
        <v>281251.51772149437</v>
      </c>
      <c r="V840" s="81">
        <f t="shared" si="381"/>
        <v>0</v>
      </c>
      <c r="W840" s="81">
        <f t="shared" si="381"/>
        <v>0</v>
      </c>
      <c r="X840" s="81">
        <f t="shared" si="381"/>
        <v>0</v>
      </c>
      <c r="Y840" s="81">
        <f t="shared" si="381"/>
        <v>0</v>
      </c>
      <c r="Z840" s="81">
        <f t="shared" si="381"/>
        <v>0</v>
      </c>
      <c r="AA840" s="81">
        <f>SUM(G840:Z840)</f>
        <v>1017201652.4612488</v>
      </c>
      <c r="AB840" s="94" t="str">
        <f>IF(ABS(F840-AA840)&lt;0.01,"ok","err")</f>
        <v>ok</v>
      </c>
    </row>
    <row r="841" spans="1:28" s="61" customFormat="1"/>
    <row r="842" spans="1:28" s="61" customFormat="1">
      <c r="A842" s="61" t="s">
        <v>1125</v>
      </c>
      <c r="F842" s="81">
        <f t="shared" ref="F842:Z842" si="382">F774+F775+F777+F780+F781+F782+F784+F785+F819</f>
        <v>851931689.12269807</v>
      </c>
      <c r="G842" s="81">
        <f t="shared" si="382"/>
        <v>381335413.54148239</v>
      </c>
      <c r="H842" s="81">
        <f t="shared" si="382"/>
        <v>102652927.03294125</v>
      </c>
      <c r="I842" s="81">
        <f t="shared" si="382"/>
        <v>0</v>
      </c>
      <c r="J842" s="81">
        <f t="shared" si="382"/>
        <v>9806534.761797851</v>
      </c>
      <c r="K842" s="81">
        <f t="shared" si="382"/>
        <v>116289015.81021971</v>
      </c>
      <c r="L842" s="81">
        <f t="shared" si="382"/>
        <v>0</v>
      </c>
      <c r="M842" s="81">
        <f t="shared" si="382"/>
        <v>0</v>
      </c>
      <c r="N842" s="81">
        <f t="shared" si="382"/>
        <v>106118941.42351687</v>
      </c>
      <c r="O842" s="81">
        <f t="shared" si="382"/>
        <v>52920845.743525885</v>
      </c>
      <c r="P842" s="81">
        <f t="shared" si="382"/>
        <v>60612932.34080711</v>
      </c>
      <c r="Q842" s="81">
        <f t="shared" si="382"/>
        <v>6461037.40136931</v>
      </c>
      <c r="R842" s="81">
        <f t="shared" si="382"/>
        <v>3260134.0823854129</v>
      </c>
      <c r="S842" s="81">
        <f t="shared" si="382"/>
        <v>12095272.729733691</v>
      </c>
      <c r="T842" s="81">
        <f t="shared" si="382"/>
        <v>164781.8307985382</v>
      </c>
      <c r="U842" s="81">
        <f t="shared" si="382"/>
        <v>213852.42412001442</v>
      </c>
      <c r="V842" s="81">
        <f t="shared" si="382"/>
        <v>0</v>
      </c>
      <c r="W842" s="81">
        <f t="shared" si="382"/>
        <v>0</v>
      </c>
      <c r="X842" s="81">
        <f t="shared" si="382"/>
        <v>0</v>
      </c>
      <c r="Y842" s="81">
        <f t="shared" si="382"/>
        <v>0</v>
      </c>
      <c r="Z842" s="81">
        <f t="shared" si="382"/>
        <v>0</v>
      </c>
      <c r="AA842" s="81">
        <f>SUM(G842:Z842)</f>
        <v>851931689.12269807</v>
      </c>
      <c r="AB842" s="94" t="str">
        <f>IF(ABS(F842-AA842)&lt;0.01,"ok","err")</f>
        <v>ok</v>
      </c>
    </row>
    <row r="843" spans="1:28" s="61" customFormat="1"/>
    <row r="844" spans="1:28" s="61" customFormat="1">
      <c r="A844" s="61" t="s">
        <v>838</v>
      </c>
      <c r="D844" s="61" t="s">
        <v>843</v>
      </c>
      <c r="F844" s="154">
        <f t="shared" ref="F844:Z844" si="383">F691</f>
        <v>62185554.183806494</v>
      </c>
      <c r="G844" s="154">
        <f t="shared" si="383"/>
        <v>32240169.296117432</v>
      </c>
      <c r="H844" s="154">
        <f t="shared" si="383"/>
        <v>7241147.2646080162</v>
      </c>
      <c r="I844" s="154">
        <f t="shared" si="383"/>
        <v>0</v>
      </c>
      <c r="J844" s="154">
        <f t="shared" si="383"/>
        <v>561174.6281117684</v>
      </c>
      <c r="K844" s="154">
        <f t="shared" si="383"/>
        <v>7138109.2931845216</v>
      </c>
      <c r="L844" s="154">
        <f t="shared" si="383"/>
        <v>0</v>
      </c>
      <c r="M844" s="154">
        <f t="shared" si="383"/>
        <v>0</v>
      </c>
      <c r="N844" s="154">
        <f t="shared" si="383"/>
        <v>5832103.965985979</v>
      </c>
      <c r="O844" s="154">
        <f t="shared" si="383"/>
        <v>3743082.0389003134</v>
      </c>
      <c r="P844" s="154">
        <f t="shared" si="383"/>
        <v>2885769.2657072162</v>
      </c>
      <c r="Q844" s="154">
        <f t="shared" si="383"/>
        <v>372838.11218678986</v>
      </c>
      <c r="R844" s="154">
        <f t="shared" si="383"/>
        <v>170209.28774185729</v>
      </c>
      <c r="S844" s="154">
        <f t="shared" si="383"/>
        <v>1986064.9020895297</v>
      </c>
      <c r="T844" s="154">
        <f t="shared" si="383"/>
        <v>4648.0685284378324</v>
      </c>
      <c r="U844" s="154">
        <f t="shared" si="383"/>
        <v>10238.060644628042</v>
      </c>
      <c r="V844" s="154">
        <f t="shared" si="383"/>
        <v>0</v>
      </c>
      <c r="W844" s="154">
        <f t="shared" si="383"/>
        <v>0</v>
      </c>
      <c r="X844" s="154">
        <f t="shared" si="383"/>
        <v>0</v>
      </c>
      <c r="Y844" s="154">
        <f t="shared" si="383"/>
        <v>0</v>
      </c>
      <c r="Z844" s="154">
        <f t="shared" si="383"/>
        <v>0</v>
      </c>
      <c r="AA844" s="154">
        <f>SUM(G844:Z844)</f>
        <v>62185554.183806479</v>
      </c>
      <c r="AB844" s="94" t="str">
        <f>IF(ABS(F844-AA844)&lt;0.01,"ok","err")</f>
        <v>ok</v>
      </c>
    </row>
    <row r="845" spans="1:28" s="61" customFormat="1"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94"/>
    </row>
    <row r="846" spans="1:28" s="61" customFormat="1">
      <c r="A846" s="61" t="s">
        <v>844</v>
      </c>
      <c r="E846" s="61" t="s">
        <v>843</v>
      </c>
      <c r="F846" s="137">
        <f>6252540+1101472</f>
        <v>7354012</v>
      </c>
      <c r="G846" s="136">
        <f t="shared" ref="G846:Z846" si="384">IF(VLOOKUP($E846,$D$6:$AN$1131,3,)=0,0,(VLOOKUP($E846,$D$6:$AN$1131,G$2,)/VLOOKUP($E846,$D$6:$AN$1131,3,))*$F846)</f>
        <v>3812695.6492963126</v>
      </c>
      <c r="H846" s="136">
        <f t="shared" si="384"/>
        <v>856332.06259278697</v>
      </c>
      <c r="I846" s="136">
        <f t="shared" si="384"/>
        <v>0</v>
      </c>
      <c r="J846" s="136">
        <f t="shared" si="384"/>
        <v>66364.045531078475</v>
      </c>
      <c r="K846" s="136">
        <f t="shared" si="384"/>
        <v>844146.87765314139</v>
      </c>
      <c r="L846" s="136">
        <f t="shared" si="384"/>
        <v>0</v>
      </c>
      <c r="M846" s="136">
        <f t="shared" si="384"/>
        <v>0</v>
      </c>
      <c r="N846" s="136">
        <f t="shared" si="384"/>
        <v>689699.77214221144</v>
      </c>
      <c r="O846" s="136">
        <f t="shared" si="384"/>
        <v>442653.77373167302</v>
      </c>
      <c r="P846" s="136">
        <f t="shared" si="384"/>
        <v>341268.67707111943</v>
      </c>
      <c r="Q846" s="136">
        <f t="shared" si="384"/>
        <v>44091.525549079939</v>
      </c>
      <c r="R846" s="136">
        <f t="shared" si="384"/>
        <v>20128.809029590146</v>
      </c>
      <c r="S846" s="136">
        <f t="shared" si="384"/>
        <v>234870.38612817574</v>
      </c>
      <c r="T846" s="136">
        <f t="shared" si="384"/>
        <v>549.67672449971269</v>
      </c>
      <c r="U846" s="136">
        <f t="shared" si="384"/>
        <v>1210.7445503304455</v>
      </c>
      <c r="V846" s="136">
        <f t="shared" si="384"/>
        <v>0</v>
      </c>
      <c r="W846" s="136">
        <f t="shared" si="384"/>
        <v>0</v>
      </c>
      <c r="X846" s="80">
        <f t="shared" si="384"/>
        <v>0</v>
      </c>
      <c r="Y846" s="80">
        <f t="shared" si="384"/>
        <v>0</v>
      </c>
      <c r="Z846" s="80">
        <f t="shared" si="384"/>
        <v>0</v>
      </c>
      <c r="AA846" s="137">
        <f>SUM(G846:Z846)</f>
        <v>7354012</v>
      </c>
      <c r="AB846" s="94" t="str">
        <f>IF(ABS(F846-AA846)&lt;0.01,"ok","err")</f>
        <v>ok</v>
      </c>
    </row>
    <row r="847" spans="1:28" s="61" customFormat="1"/>
    <row r="848" spans="1:28" s="61" customFormat="1">
      <c r="A848" s="61" t="s">
        <v>836</v>
      </c>
      <c r="D848" s="61" t="s">
        <v>845</v>
      </c>
      <c r="F848" s="81">
        <f>F840-F842-F844-F846</f>
        <v>95730397.154744312</v>
      </c>
      <c r="G848" s="81">
        <f t="shared" ref="G848:Z848" si="385">G840-G842-G844-G846</f>
        <v>-14389356.7631189</v>
      </c>
      <c r="H848" s="81">
        <f t="shared" si="385"/>
        <v>30182157.361562785</v>
      </c>
      <c r="I848" s="81">
        <f t="shared" si="385"/>
        <v>0</v>
      </c>
      <c r="J848" s="81">
        <f t="shared" si="385"/>
        <v>1701122.6739622361</v>
      </c>
      <c r="K848" s="81">
        <f t="shared" si="385"/>
        <v>34534319.740608998</v>
      </c>
      <c r="L848" s="81">
        <f t="shared" si="385"/>
        <v>0</v>
      </c>
      <c r="M848" s="81">
        <f t="shared" si="385"/>
        <v>0</v>
      </c>
      <c r="N848" s="81">
        <f t="shared" si="385"/>
        <v>11143889.151032547</v>
      </c>
      <c r="O848" s="81">
        <f>O840-O842-O844-O846</f>
        <v>23590883.966179702</v>
      </c>
      <c r="P848" s="81">
        <f t="shared" si="385"/>
        <v>4525393.9130432587</v>
      </c>
      <c r="Q848" s="81">
        <f t="shared" si="385"/>
        <v>-119550.75883517234</v>
      </c>
      <c r="R848" s="81">
        <f t="shared" si="385"/>
        <v>58661.566945864834</v>
      </c>
      <c r="S848" s="81">
        <f t="shared" si="385"/>
        <v>4394954.6837815037</v>
      </c>
      <c r="T848" s="81">
        <f t="shared" si="385"/>
        <v>51971.331175144238</v>
      </c>
      <c r="U848" s="81">
        <f t="shared" si="385"/>
        <v>55950.28840652146</v>
      </c>
      <c r="V848" s="81">
        <f t="shared" si="385"/>
        <v>0</v>
      </c>
      <c r="W848" s="81">
        <f t="shared" si="385"/>
        <v>0</v>
      </c>
      <c r="X848" s="81">
        <f t="shared" si="385"/>
        <v>0</v>
      </c>
      <c r="Y848" s="81">
        <f t="shared" si="385"/>
        <v>0</v>
      </c>
      <c r="Z848" s="81">
        <f t="shared" si="385"/>
        <v>0</v>
      </c>
      <c r="AA848" s="81">
        <f>SUM(G848:Z848)</f>
        <v>95730397.154744506</v>
      </c>
      <c r="AB848" s="94" t="str">
        <f>IF(ABS(F848-AA848)&lt;0.01,"ok","err")</f>
        <v>ok</v>
      </c>
    </row>
    <row r="849" spans="1:28" s="61" customFormat="1"/>
    <row r="850" spans="1:28" s="61" customFormat="1" hidden="1"/>
    <row r="851" spans="1:28" s="61" customFormat="1" ht="15" hidden="1">
      <c r="A851" s="66" t="s">
        <v>1324</v>
      </c>
    </row>
    <row r="852" spans="1:28" s="61" customFormat="1" hidden="1"/>
    <row r="853" spans="1:28" s="61" customFormat="1" ht="15" hidden="1">
      <c r="A853" s="66" t="s">
        <v>1121</v>
      </c>
    </row>
    <row r="854" spans="1:28" s="61" customFormat="1" hidden="1"/>
    <row r="855" spans="1:28" s="61" customFormat="1" hidden="1">
      <c r="A855" s="61" t="s">
        <v>134</v>
      </c>
      <c r="F855" s="81">
        <f t="shared" ref="F855:Z855" si="386">F770</f>
        <v>1017201652.4612489</v>
      </c>
      <c r="G855" s="81">
        <f t="shared" si="386"/>
        <v>402998921.72377723</v>
      </c>
      <c r="H855" s="81">
        <f t="shared" si="386"/>
        <v>140932563.72170484</v>
      </c>
      <c r="I855" s="81">
        <f t="shared" si="386"/>
        <v>0</v>
      </c>
      <c r="J855" s="81">
        <f t="shared" si="386"/>
        <v>12135196.109402934</v>
      </c>
      <c r="K855" s="81">
        <f t="shared" si="386"/>
        <v>158805591.72166637</v>
      </c>
      <c r="L855" s="81">
        <f t="shared" si="386"/>
        <v>0</v>
      </c>
      <c r="M855" s="81">
        <f t="shared" si="386"/>
        <v>0</v>
      </c>
      <c r="N855" s="81">
        <f t="shared" si="386"/>
        <v>123784634.31267761</v>
      </c>
      <c r="O855" s="81">
        <f t="shared" si="386"/>
        <v>80697465.522337571</v>
      </c>
      <c r="P855" s="81">
        <f t="shared" si="386"/>
        <v>68365364.196628705</v>
      </c>
      <c r="Q855" s="81">
        <f t="shared" si="386"/>
        <v>6758416.2802700074</v>
      </c>
      <c r="R855" s="81">
        <f t="shared" si="386"/>
        <v>3509133.7461027252</v>
      </c>
      <c r="S855" s="81">
        <f t="shared" si="386"/>
        <v>18711162.7017329</v>
      </c>
      <c r="T855" s="81">
        <f t="shared" si="386"/>
        <v>221950.90722661998</v>
      </c>
      <c r="U855" s="81">
        <f t="shared" si="386"/>
        <v>281251.51772149437</v>
      </c>
      <c r="V855" s="81">
        <f t="shared" si="386"/>
        <v>0</v>
      </c>
      <c r="W855" s="81">
        <f t="shared" si="386"/>
        <v>0</v>
      </c>
      <c r="X855" s="81">
        <f t="shared" si="386"/>
        <v>0</v>
      </c>
      <c r="Y855" s="81">
        <f t="shared" si="386"/>
        <v>0</v>
      </c>
      <c r="Z855" s="81">
        <f t="shared" si="386"/>
        <v>0</v>
      </c>
      <c r="AA855" s="81">
        <f>ROUND(SUM(G855:Z855),2)</f>
        <v>1017201652.46</v>
      </c>
      <c r="AB855" s="94" t="str">
        <f>IF(ABS(F855-AA855)&lt;0.01,"ok","err")</f>
        <v>ok</v>
      </c>
    </row>
    <row r="856" spans="1:28" s="61" customFormat="1" hidden="1"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94"/>
    </row>
    <row r="857" spans="1:28" s="61" customFormat="1" hidden="1">
      <c r="A857" s="61" t="s">
        <v>135</v>
      </c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94"/>
    </row>
    <row r="858" spans="1:28" s="61" customFormat="1" hidden="1">
      <c r="A858" s="61" t="s">
        <v>909</v>
      </c>
      <c r="F858" s="77">
        <f t="shared" ref="F858:Z858" si="387">($F$836*F834-F828)/(1-$E$868)</f>
        <v>0</v>
      </c>
      <c r="G858" s="77">
        <f t="shared" si="387"/>
        <v>57553293.663887143</v>
      </c>
      <c r="H858" s="77">
        <f t="shared" si="387"/>
        <v>-16868517.899557613</v>
      </c>
      <c r="I858" s="77">
        <f t="shared" si="387"/>
        <v>0</v>
      </c>
      <c r="J858" s="77">
        <f t="shared" si="387"/>
        <v>-747559.57030361646</v>
      </c>
      <c r="K858" s="77">
        <f t="shared" si="387"/>
        <v>-21462713.881678578</v>
      </c>
      <c r="L858" s="77">
        <f t="shared" si="387"/>
        <v>0</v>
      </c>
      <c r="M858" s="77">
        <f t="shared" si="387"/>
        <v>0</v>
      </c>
      <c r="N858" s="77">
        <f t="shared" si="387"/>
        <v>-1725600.2718182169</v>
      </c>
      <c r="O858" s="77">
        <f t="shared" si="387"/>
        <v>-16355432.552295683</v>
      </c>
      <c r="P858" s="77">
        <f t="shared" si="387"/>
        <v>167761.74354410218</v>
      </c>
      <c r="Q858" s="77">
        <f t="shared" si="387"/>
        <v>644952.5630437762</v>
      </c>
      <c r="R858" s="77">
        <f t="shared" si="387"/>
        <v>195491.55668509225</v>
      </c>
      <c r="S858" s="77">
        <f t="shared" si="387"/>
        <v>-1326892.5923238024</v>
      </c>
      <c r="T858" s="77">
        <f t="shared" si="387"/>
        <v>-39099.286960713507</v>
      </c>
      <c r="U858" s="77">
        <f t="shared" si="387"/>
        <v>-35683.47222213124</v>
      </c>
      <c r="V858" s="77">
        <f t="shared" si="387"/>
        <v>0</v>
      </c>
      <c r="W858" s="77">
        <f t="shared" si="387"/>
        <v>0</v>
      </c>
      <c r="X858" s="77">
        <f t="shared" si="387"/>
        <v>0</v>
      </c>
      <c r="Y858" s="77">
        <f t="shared" si="387"/>
        <v>0</v>
      </c>
      <c r="Z858" s="77">
        <f t="shared" si="387"/>
        <v>0</v>
      </c>
      <c r="AA858" s="81">
        <f>SUM(G858:Z858)</f>
        <v>-2.4258042685687542E-7</v>
      </c>
      <c r="AB858" s="94" t="str">
        <f>IF(ABS(F858-AA858)&lt;0.01,"ok","err")</f>
        <v>ok</v>
      </c>
    </row>
    <row r="859" spans="1:28" s="61" customFormat="1" hidden="1"/>
    <row r="860" spans="1:28" s="61" customFormat="1" hidden="1">
      <c r="A860" s="61" t="s">
        <v>136</v>
      </c>
      <c r="F860" s="81">
        <f t="shared" ref="F860:Z860" si="388">SUM(F855:F858)</f>
        <v>1017201652.4612489</v>
      </c>
      <c r="G860" s="81">
        <f t="shared" si="388"/>
        <v>460552215.38766438</v>
      </c>
      <c r="H860" s="81">
        <f t="shared" si="388"/>
        <v>124064045.82214722</v>
      </c>
      <c r="I860" s="81">
        <f t="shared" si="388"/>
        <v>0</v>
      </c>
      <c r="J860" s="81">
        <f t="shared" si="388"/>
        <v>11387636.539099317</v>
      </c>
      <c r="K860" s="81">
        <f t="shared" si="388"/>
        <v>137342877.83998778</v>
      </c>
      <c r="L860" s="81">
        <f t="shared" si="388"/>
        <v>0</v>
      </c>
      <c r="M860" s="81">
        <f t="shared" si="388"/>
        <v>0</v>
      </c>
      <c r="N860" s="81">
        <f t="shared" si="388"/>
        <v>122059034.04085939</v>
      </c>
      <c r="O860" s="81">
        <f t="shared" si="388"/>
        <v>64342032.970041886</v>
      </c>
      <c r="P860" s="81">
        <f t="shared" si="388"/>
        <v>68533125.940172806</v>
      </c>
      <c r="Q860" s="81">
        <f t="shared" si="388"/>
        <v>7403368.8433137834</v>
      </c>
      <c r="R860" s="81">
        <f t="shared" si="388"/>
        <v>3704625.3027878175</v>
      </c>
      <c r="S860" s="81">
        <f t="shared" si="388"/>
        <v>17384270.109409098</v>
      </c>
      <c r="T860" s="81">
        <f t="shared" si="388"/>
        <v>182851.62026590647</v>
      </c>
      <c r="U860" s="81">
        <f t="shared" si="388"/>
        <v>245568.04549936313</v>
      </c>
      <c r="V860" s="81">
        <f t="shared" si="388"/>
        <v>0</v>
      </c>
      <c r="W860" s="81">
        <f t="shared" si="388"/>
        <v>0</v>
      </c>
      <c r="X860" s="81">
        <f t="shared" si="388"/>
        <v>0</v>
      </c>
      <c r="Y860" s="81">
        <f t="shared" si="388"/>
        <v>0</v>
      </c>
      <c r="Z860" s="81">
        <f t="shared" si="388"/>
        <v>0</v>
      </c>
      <c r="AA860" s="81">
        <f>ROUND(SUM(G860:Z860),2)</f>
        <v>1017201652.46</v>
      </c>
      <c r="AB860" s="94" t="str">
        <f>IF(ABS(F860-AA860)&lt;0.01,"ok","err")</f>
        <v>ok</v>
      </c>
    </row>
    <row r="861" spans="1:28" s="61" customFormat="1" hidden="1"/>
    <row r="862" spans="1:28" s="61" customFormat="1" ht="15" hidden="1">
      <c r="A862" s="66" t="s">
        <v>1125</v>
      </c>
    </row>
    <row r="863" spans="1:28" s="61" customFormat="1" hidden="1"/>
    <row r="864" spans="1:28" s="61" customFormat="1" hidden="1">
      <c r="A864" s="61" t="s">
        <v>1128</v>
      </c>
      <c r="F864" s="81">
        <f>F821</f>
        <v>900088775.12269807</v>
      </c>
      <c r="G864" s="81">
        <f t="shared" ref="G864:Z864" si="389">G821</f>
        <v>377995287.60300291</v>
      </c>
      <c r="H864" s="81">
        <f t="shared" si="389"/>
        <v>116922103.3062624</v>
      </c>
      <c r="I864" s="81">
        <f t="shared" si="389"/>
        <v>0</v>
      </c>
      <c r="J864" s="81">
        <f t="shared" si="389"/>
        <v>10606671.893855421</v>
      </c>
      <c r="K864" s="81">
        <f t="shared" si="389"/>
        <v>132073741.93780506</v>
      </c>
      <c r="L864" s="81">
        <f t="shared" si="389"/>
        <v>0</v>
      </c>
      <c r="M864" s="81">
        <f t="shared" si="389"/>
        <v>0</v>
      </c>
      <c r="N864" s="81">
        <f t="shared" si="389"/>
        <v>111586140.63330151</v>
      </c>
      <c r="O864" s="81">
        <f t="shared" si="389"/>
        <v>63592555.000067912</v>
      </c>
      <c r="P864" s="81">
        <f t="shared" si="389"/>
        <v>62906029.806600019</v>
      </c>
      <c r="Q864" s="81">
        <f t="shared" si="389"/>
        <v>6443949.4070800003</v>
      </c>
      <c r="R864" s="81">
        <f t="shared" si="389"/>
        <v>3303073.2775519788</v>
      </c>
      <c r="S864" s="81">
        <f t="shared" si="389"/>
        <v>14230935.383272838</v>
      </c>
      <c r="T864" s="81">
        <f t="shared" si="389"/>
        <v>188617.87066060083</v>
      </c>
      <c r="U864" s="81">
        <f t="shared" si="389"/>
        <v>239669.00323741461</v>
      </c>
      <c r="V864" s="81">
        <f t="shared" si="389"/>
        <v>0</v>
      </c>
      <c r="W864" s="81">
        <f t="shared" si="389"/>
        <v>0</v>
      </c>
      <c r="X864" s="81">
        <f t="shared" si="389"/>
        <v>0</v>
      </c>
      <c r="Y864" s="81">
        <f t="shared" si="389"/>
        <v>0</v>
      </c>
      <c r="Z864" s="81">
        <f t="shared" si="389"/>
        <v>0</v>
      </c>
      <c r="AA864" s="81">
        <f>ROUND(SUM(G864:Z864),2)</f>
        <v>900088775.12</v>
      </c>
      <c r="AB864" s="94" t="str">
        <f>IF(ABS(F864-AA864)&lt;0.01,"ok","err")</f>
        <v>ok</v>
      </c>
    </row>
    <row r="865" spans="1:28" s="61" customFormat="1" hidden="1"/>
    <row r="866" spans="1:28" s="61" customFormat="1" hidden="1">
      <c r="A866" s="61" t="s">
        <v>710</v>
      </c>
      <c r="F866" s="113">
        <f t="shared" ref="F866:Z866" si="390">F838</f>
        <v>0</v>
      </c>
      <c r="G866" s="113">
        <f t="shared" si="390"/>
        <v>0</v>
      </c>
      <c r="H866" s="113">
        <f t="shared" si="390"/>
        <v>0</v>
      </c>
      <c r="I866" s="113">
        <f t="shared" si="390"/>
        <v>0</v>
      </c>
      <c r="J866" s="113">
        <f t="shared" si="390"/>
        <v>0</v>
      </c>
      <c r="K866" s="113">
        <f t="shared" si="390"/>
        <v>0</v>
      </c>
      <c r="L866" s="113">
        <f t="shared" si="390"/>
        <v>0</v>
      </c>
      <c r="M866" s="113">
        <f t="shared" si="390"/>
        <v>0</v>
      </c>
      <c r="N866" s="113">
        <f t="shared" si="390"/>
        <v>0</v>
      </c>
      <c r="O866" s="113">
        <f t="shared" si="390"/>
        <v>0</v>
      </c>
      <c r="P866" s="113">
        <f t="shared" si="390"/>
        <v>0</v>
      </c>
      <c r="Q866" s="113">
        <f t="shared" si="390"/>
        <v>0</v>
      </c>
      <c r="R866" s="113">
        <f t="shared" si="390"/>
        <v>0</v>
      </c>
      <c r="S866" s="113">
        <f t="shared" si="390"/>
        <v>0</v>
      </c>
      <c r="T866" s="113">
        <f t="shared" si="390"/>
        <v>0</v>
      </c>
      <c r="U866" s="113">
        <f t="shared" si="390"/>
        <v>0</v>
      </c>
      <c r="V866" s="113">
        <f t="shared" si="390"/>
        <v>0</v>
      </c>
      <c r="W866" s="113">
        <f t="shared" si="390"/>
        <v>0</v>
      </c>
      <c r="X866" s="113">
        <f t="shared" si="390"/>
        <v>0</v>
      </c>
      <c r="Y866" s="113">
        <f t="shared" si="390"/>
        <v>0</v>
      </c>
      <c r="Z866" s="113">
        <f t="shared" si="390"/>
        <v>0</v>
      </c>
      <c r="AA866" s="81">
        <f>ROUND(SUM(G866:Z866),2)</f>
        <v>0</v>
      </c>
      <c r="AB866" s="94" t="str">
        <f>IF(ABS(F866-AA866)&lt;0.01,"ok","err")</f>
        <v>ok</v>
      </c>
    </row>
    <row r="867" spans="1:28" s="61" customFormat="1" hidden="1"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81"/>
      <c r="AB867" s="94"/>
    </row>
    <row r="868" spans="1:28" s="61" customFormat="1" hidden="1">
      <c r="A868" s="61" t="s">
        <v>711</v>
      </c>
      <c r="E868" s="61">
        <f>0.0582471+0.32814317</f>
        <v>0.38639026999999998</v>
      </c>
      <c r="F868" s="113">
        <f>F858*$E$868</f>
        <v>0</v>
      </c>
      <c r="G868" s="113">
        <f>G858*$E$868</f>
        <v>22238032.678178642</v>
      </c>
      <c r="H868" s="113">
        <f>H858*$E$868</f>
        <v>-6517831.1857098984</v>
      </c>
      <c r="I868" s="113">
        <f t="shared" ref="I868:Z868" si="391">I858*$E$868</f>
        <v>0</v>
      </c>
      <c r="J868" s="113">
        <f t="shared" si="391"/>
        <v>-288849.74421069835</v>
      </c>
      <c r="K868" s="113">
        <f t="shared" si="391"/>
        <v>-8292983.8116745334</v>
      </c>
      <c r="L868" s="113">
        <f t="shared" si="391"/>
        <v>0</v>
      </c>
      <c r="M868" s="113">
        <f t="shared" si="391"/>
        <v>0</v>
      </c>
      <c r="N868" s="113">
        <f t="shared" si="391"/>
        <v>-666755.15493991424</v>
      </c>
      <c r="O868" s="113">
        <f t="shared" si="391"/>
        <v>-6319579.9998483174</v>
      </c>
      <c r="P868" s="113">
        <f t="shared" si="391"/>
        <v>64821.505383676398</v>
      </c>
      <c r="Q868" s="113">
        <f t="shared" si="391"/>
        <v>249203.39497167669</v>
      </c>
      <c r="R868" s="113">
        <f t="shared" si="391"/>
        <v>75536.035370273094</v>
      </c>
      <c r="S868" s="113">
        <f t="shared" si="391"/>
        <v>-512698.38700899389</v>
      </c>
      <c r="T868" s="113">
        <f t="shared" si="391"/>
        <v>-15107.584045557571</v>
      </c>
      <c r="U868" s="113">
        <f t="shared" si="391"/>
        <v>-13787.74646644679</v>
      </c>
      <c r="V868" s="113">
        <f t="shared" si="391"/>
        <v>0</v>
      </c>
      <c r="W868" s="113">
        <f t="shared" si="391"/>
        <v>0</v>
      </c>
      <c r="X868" s="113">
        <f t="shared" si="391"/>
        <v>0</v>
      </c>
      <c r="Y868" s="113">
        <f t="shared" si="391"/>
        <v>0</v>
      </c>
      <c r="Z868" s="113">
        <f t="shared" si="391"/>
        <v>0</v>
      </c>
      <c r="AA868" s="81">
        <f>ROUND(SUM(G868:Z868),2)</f>
        <v>0</v>
      </c>
      <c r="AB868" s="94" t="str">
        <f>IF(ABS(F868-AA868)&lt;0.01,"ok","err")</f>
        <v>ok</v>
      </c>
    </row>
    <row r="869" spans="1:28" s="61" customFormat="1" hidden="1">
      <c r="A869" s="69"/>
      <c r="F869" s="80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81"/>
      <c r="AB869" s="94"/>
    </row>
    <row r="870" spans="1:28" s="61" customFormat="1" hidden="1">
      <c r="A870" s="61" t="s">
        <v>137</v>
      </c>
      <c r="F870" s="81">
        <f t="shared" ref="F870:N870" si="392">SUM(F864:F869)</f>
        <v>900088775.12269807</v>
      </c>
      <c r="G870" s="81">
        <f t="shared" si="392"/>
        <v>400233320.28118157</v>
      </c>
      <c r="H870" s="81">
        <f t="shared" si="392"/>
        <v>110404272.12055251</v>
      </c>
      <c r="I870" s="81">
        <f t="shared" si="392"/>
        <v>0</v>
      </c>
      <c r="J870" s="81">
        <f t="shared" si="392"/>
        <v>10317822.149644723</v>
      </c>
      <c r="K870" s="81">
        <f t="shared" si="392"/>
        <v>123780758.12613052</v>
      </c>
      <c r="L870" s="81">
        <f t="shared" si="392"/>
        <v>0</v>
      </c>
      <c r="M870" s="81">
        <f t="shared" si="392"/>
        <v>0</v>
      </c>
      <c r="N870" s="81">
        <f t="shared" si="392"/>
        <v>110919385.47836159</v>
      </c>
      <c r="O870" s="81">
        <f>SUM(O864:O869)</f>
        <v>57272975.000219598</v>
      </c>
      <c r="P870" s="81">
        <f t="shared" ref="P870:Z870" si="393">SUM(P864:P869)</f>
        <v>62970851.311983697</v>
      </c>
      <c r="Q870" s="81">
        <f t="shared" si="393"/>
        <v>6693152.8020516774</v>
      </c>
      <c r="R870" s="81">
        <f t="shared" si="393"/>
        <v>3378609.3129222519</v>
      </c>
      <c r="S870" s="81">
        <f t="shared" si="393"/>
        <v>13718236.996263843</v>
      </c>
      <c r="T870" s="81">
        <f t="shared" si="393"/>
        <v>173510.28661504327</v>
      </c>
      <c r="U870" s="81">
        <f t="shared" si="393"/>
        <v>225881.25677096783</v>
      </c>
      <c r="V870" s="81">
        <f t="shared" si="393"/>
        <v>0</v>
      </c>
      <c r="W870" s="81">
        <f t="shared" si="393"/>
        <v>0</v>
      </c>
      <c r="X870" s="81">
        <f t="shared" si="393"/>
        <v>0</v>
      </c>
      <c r="Y870" s="81">
        <f t="shared" si="393"/>
        <v>0</v>
      </c>
      <c r="Z870" s="81">
        <f t="shared" si="393"/>
        <v>0</v>
      </c>
      <c r="AA870" s="81">
        <f>ROUND(SUM(G870:Z870),2)</f>
        <v>900088775.12</v>
      </c>
      <c r="AB870" s="94" t="str">
        <f>IF(ABS(F870-AA870)&lt;0.01,"ok","err")</f>
        <v>ok</v>
      </c>
    </row>
    <row r="871" spans="1:28" s="61" customFormat="1" hidden="1"/>
    <row r="872" spans="1:28" s="61" customFormat="1" hidden="1"/>
    <row r="873" spans="1:28" s="61" customFormat="1" ht="15" hidden="1">
      <c r="A873" s="66" t="s">
        <v>903</v>
      </c>
      <c r="F873" s="81">
        <f t="shared" ref="F873:Z873" si="394">F860-F870</f>
        <v>117112877.33855081</v>
      </c>
      <c r="G873" s="81">
        <f t="shared" si="394"/>
        <v>60318895.106482804</v>
      </c>
      <c r="H873" s="81">
        <f t="shared" si="394"/>
        <v>13659773.70159471</v>
      </c>
      <c r="I873" s="81">
        <f t="shared" si="394"/>
        <v>0</v>
      </c>
      <c r="J873" s="81">
        <f t="shared" si="394"/>
        <v>1069814.3894545939</v>
      </c>
      <c r="K873" s="81">
        <f t="shared" si="394"/>
        <v>13562119.713857263</v>
      </c>
      <c r="L873" s="81">
        <f t="shared" si="394"/>
        <v>0</v>
      </c>
      <c r="M873" s="81">
        <f t="shared" si="394"/>
        <v>0</v>
      </c>
      <c r="N873" s="81">
        <f t="shared" si="394"/>
        <v>11139648.562497795</v>
      </c>
      <c r="O873" s="81">
        <f t="shared" si="394"/>
        <v>7069057.9698222876</v>
      </c>
      <c r="P873" s="81">
        <f t="shared" si="394"/>
        <v>5562274.6281891093</v>
      </c>
      <c r="Q873" s="81">
        <f t="shared" si="394"/>
        <v>710216.04126210604</v>
      </c>
      <c r="R873" s="81">
        <f t="shared" si="394"/>
        <v>326015.98986556567</v>
      </c>
      <c r="S873" s="81">
        <f t="shared" si="394"/>
        <v>3666033.1131452546</v>
      </c>
      <c r="T873" s="81">
        <f t="shared" si="394"/>
        <v>9341.3336508632055</v>
      </c>
      <c r="U873" s="81">
        <f t="shared" si="394"/>
        <v>19686.788728395302</v>
      </c>
      <c r="V873" s="81">
        <f t="shared" si="394"/>
        <v>0</v>
      </c>
      <c r="W873" s="81">
        <f t="shared" si="394"/>
        <v>0</v>
      </c>
      <c r="X873" s="81">
        <f t="shared" si="394"/>
        <v>0</v>
      </c>
      <c r="Y873" s="81">
        <f t="shared" si="394"/>
        <v>0</v>
      </c>
      <c r="Z873" s="81">
        <f t="shared" si="394"/>
        <v>0</v>
      </c>
      <c r="AA873" s="81">
        <f>ROUND(SUM(G873:Z873),2)</f>
        <v>117112877.34</v>
      </c>
      <c r="AB873" s="94" t="str">
        <f>IF(ABS(F873-AA873)&lt;0.01,"ok","err")</f>
        <v>ok</v>
      </c>
    </row>
    <row r="874" spans="1:28" s="61" customFormat="1" hidden="1"/>
    <row r="875" spans="1:28" s="61" customFormat="1" ht="15" hidden="1">
      <c r="A875" s="66" t="s">
        <v>1111</v>
      </c>
      <c r="F875" s="81">
        <f>F834</f>
        <v>2380933927.241509</v>
      </c>
      <c r="G875" s="81">
        <f t="shared" ref="G875:Z875" si="395">G834</f>
        <v>1226298141.3869851</v>
      </c>
      <c r="H875" s="81">
        <f t="shared" si="395"/>
        <v>277706597.11954999</v>
      </c>
      <c r="I875" s="81">
        <f t="shared" si="395"/>
        <v>0</v>
      </c>
      <c r="J875" s="81">
        <f t="shared" si="395"/>
        <v>21749592.64590745</v>
      </c>
      <c r="K875" s="81">
        <f t="shared" si="395"/>
        <v>275721267.25815135</v>
      </c>
      <c r="L875" s="81">
        <f t="shared" si="395"/>
        <v>0</v>
      </c>
      <c r="M875" s="81">
        <f t="shared" si="395"/>
        <v>0</v>
      </c>
      <c r="N875" s="81">
        <f t="shared" si="395"/>
        <v>226471826.17950612</v>
      </c>
      <c r="O875" s="81">
        <f t="shared" si="395"/>
        <v>143715706.90157166</v>
      </c>
      <c r="P875" s="81">
        <f t="shared" si="395"/>
        <v>113082426.76512812</v>
      </c>
      <c r="Q875" s="81">
        <f t="shared" si="395"/>
        <v>14438868.779765479</v>
      </c>
      <c r="R875" s="81">
        <f t="shared" si="395"/>
        <v>6627986.1679961868</v>
      </c>
      <c r="S875" s="81">
        <f t="shared" si="395"/>
        <v>74531365.088449582</v>
      </c>
      <c r="T875" s="81">
        <f t="shared" si="395"/>
        <v>189911.6367086453</v>
      </c>
      <c r="U875" s="81">
        <f t="shared" si="395"/>
        <v>400237.31178913353</v>
      </c>
      <c r="V875" s="81">
        <f t="shared" si="395"/>
        <v>0</v>
      </c>
      <c r="W875" s="81">
        <f t="shared" si="395"/>
        <v>0</v>
      </c>
      <c r="X875" s="81">
        <f t="shared" si="395"/>
        <v>0</v>
      </c>
      <c r="Y875" s="81">
        <f t="shared" si="395"/>
        <v>0</v>
      </c>
      <c r="Z875" s="81">
        <f t="shared" si="395"/>
        <v>0</v>
      </c>
      <c r="AA875" s="81">
        <f>ROUND(SUM(G875:Z875),2)</f>
        <v>2380933927.2399998</v>
      </c>
      <c r="AB875" s="94" t="str">
        <f>IF(ABS(F875-AA875)&lt;0.01,"ok","err")</f>
        <v>ok</v>
      </c>
    </row>
    <row r="876" spans="1:28" s="61" customFormat="1" ht="15" hidden="1" thickBot="1"/>
    <row r="877" spans="1:28" s="61" customFormat="1" ht="15.75" hidden="1" thickBot="1">
      <c r="A877" s="295" t="s">
        <v>1129</v>
      </c>
      <c r="B877" s="151"/>
      <c r="C877" s="151"/>
      <c r="D877" s="151"/>
      <c r="E877" s="151"/>
      <c r="F877" s="152">
        <f t="shared" ref="F877:N877" si="396">F873/F875</f>
        <v>4.9187789715036269E-2</v>
      </c>
      <c r="G877" s="152">
        <f t="shared" si="396"/>
        <v>4.9187789715036241E-2</v>
      </c>
      <c r="H877" s="152">
        <f t="shared" si="396"/>
        <v>4.9187789715036227E-2</v>
      </c>
      <c r="I877" s="152" t="e">
        <f t="shared" si="396"/>
        <v>#DIV/0!</v>
      </c>
      <c r="J877" s="152">
        <f t="shared" si="396"/>
        <v>4.918778971503622E-2</v>
      </c>
      <c r="K877" s="152">
        <f t="shared" si="396"/>
        <v>4.9187789715036269E-2</v>
      </c>
      <c r="L877" s="152" t="e">
        <f t="shared" si="396"/>
        <v>#DIV/0!</v>
      </c>
      <c r="M877" s="152" t="e">
        <f t="shared" si="396"/>
        <v>#DIV/0!</v>
      </c>
      <c r="N877" s="152">
        <f t="shared" si="396"/>
        <v>4.9187789715036276E-2</v>
      </c>
      <c r="O877" s="152">
        <f>O873/O875</f>
        <v>4.9187789715036227E-2</v>
      </c>
      <c r="P877" s="152">
        <f>P873/P875</f>
        <v>4.9187789715036255E-2</v>
      </c>
      <c r="Q877" s="152">
        <f>Q873/Q875</f>
        <v>4.918778971503622E-2</v>
      </c>
      <c r="R877" s="152">
        <f t="shared" ref="R877:Z877" si="397">R873/R875</f>
        <v>4.9187789715036297E-2</v>
      </c>
      <c r="S877" s="152">
        <f t="shared" si="397"/>
        <v>4.9187789715036283E-2</v>
      </c>
      <c r="T877" s="152">
        <f t="shared" si="397"/>
        <v>4.9187789715036262E-2</v>
      </c>
      <c r="U877" s="152">
        <f t="shared" si="397"/>
        <v>4.9187789715036255E-2</v>
      </c>
      <c r="V877" s="152" t="e">
        <f t="shared" si="397"/>
        <v>#DIV/0!</v>
      </c>
      <c r="W877" s="152" t="e">
        <f t="shared" si="397"/>
        <v>#DIV/0!</v>
      </c>
      <c r="X877" s="152" t="e">
        <f t="shared" si="397"/>
        <v>#DIV/0!</v>
      </c>
      <c r="Y877" s="152" t="e">
        <f t="shared" si="397"/>
        <v>#DIV/0!</v>
      </c>
      <c r="Z877" s="152" t="e">
        <f t="shared" si="397"/>
        <v>#DIV/0!</v>
      </c>
      <c r="AA877" s="140"/>
      <c r="AB877" s="140"/>
    </row>
    <row r="878" spans="1:28" s="61" customFormat="1" hidden="1"/>
    <row r="879" spans="1:28" s="61" customFormat="1" hidden="1"/>
    <row r="880" spans="1:28" s="61" customFormat="1" ht="15" hidden="1">
      <c r="A880" s="66" t="s">
        <v>907</v>
      </c>
      <c r="B880" s="66"/>
      <c r="F880" s="81">
        <f t="shared" ref="F880:Z880" si="398">F858</f>
        <v>0</v>
      </c>
      <c r="G880" s="81">
        <f t="shared" si="398"/>
        <v>57553293.663887143</v>
      </c>
      <c r="H880" s="81">
        <f t="shared" si="398"/>
        <v>-16868517.899557613</v>
      </c>
      <c r="I880" s="81">
        <f t="shared" si="398"/>
        <v>0</v>
      </c>
      <c r="J880" s="81">
        <f t="shared" si="398"/>
        <v>-747559.57030361646</v>
      </c>
      <c r="K880" s="81">
        <f t="shared" si="398"/>
        <v>-21462713.881678578</v>
      </c>
      <c r="L880" s="81">
        <f t="shared" si="398"/>
        <v>0</v>
      </c>
      <c r="M880" s="81">
        <f t="shared" si="398"/>
        <v>0</v>
      </c>
      <c r="N880" s="81">
        <f t="shared" si="398"/>
        <v>-1725600.2718182169</v>
      </c>
      <c r="O880" s="81">
        <f t="shared" si="398"/>
        <v>-16355432.552295683</v>
      </c>
      <c r="P880" s="81">
        <f t="shared" si="398"/>
        <v>167761.74354410218</v>
      </c>
      <c r="Q880" s="81">
        <f t="shared" si="398"/>
        <v>644952.5630437762</v>
      </c>
      <c r="R880" s="81">
        <f t="shared" si="398"/>
        <v>195491.55668509225</v>
      </c>
      <c r="S880" s="81">
        <f t="shared" si="398"/>
        <v>-1326892.5923238024</v>
      </c>
      <c r="T880" s="81">
        <f t="shared" si="398"/>
        <v>-39099.286960713507</v>
      </c>
      <c r="U880" s="81">
        <f t="shared" si="398"/>
        <v>-35683.47222213124</v>
      </c>
      <c r="V880" s="81">
        <f t="shared" si="398"/>
        <v>0</v>
      </c>
      <c r="W880" s="81">
        <f t="shared" si="398"/>
        <v>0</v>
      </c>
      <c r="X880" s="81">
        <f t="shared" si="398"/>
        <v>0</v>
      </c>
      <c r="Y880" s="81">
        <f t="shared" si="398"/>
        <v>0</v>
      </c>
      <c r="Z880" s="81">
        <f t="shared" si="398"/>
        <v>0</v>
      </c>
      <c r="AA880" s="81">
        <f>ROUND(SUM(G880:Z880),2)</f>
        <v>0</v>
      </c>
      <c r="AB880" s="94" t="str">
        <f>IF(ABS(F880-AA880)&lt;0.01,"ok","err")</f>
        <v>ok</v>
      </c>
    </row>
    <row r="881" spans="1:36" s="61" customFormat="1" ht="15" hidden="1">
      <c r="A881" s="66"/>
      <c r="B881" s="66"/>
    </row>
    <row r="882" spans="1:36" s="61" customFormat="1" ht="15" hidden="1">
      <c r="A882" s="66" t="s">
        <v>908</v>
      </c>
      <c r="B882" s="66"/>
      <c r="F882" s="153">
        <f t="shared" ref="F882:Z882" si="399">F880/F855</f>
        <v>0</v>
      </c>
      <c r="G882" s="153">
        <f t="shared" si="399"/>
        <v>0.1428125251991002</v>
      </c>
      <c r="H882" s="153">
        <f t="shared" si="399"/>
        <v>-0.11969212404925346</v>
      </c>
      <c r="I882" s="153" t="e">
        <f t="shared" si="399"/>
        <v>#DIV/0!</v>
      </c>
      <c r="J882" s="153">
        <f t="shared" si="399"/>
        <v>-6.1602594928348235E-2</v>
      </c>
      <c r="K882" s="153">
        <f t="shared" si="399"/>
        <v>-0.1351508699976737</v>
      </c>
      <c r="L882" s="153" t="e">
        <f t="shared" si="399"/>
        <v>#DIV/0!</v>
      </c>
      <c r="M882" s="153" t="e">
        <f t="shared" si="399"/>
        <v>#DIV/0!</v>
      </c>
      <c r="N882" s="153">
        <f t="shared" si="399"/>
        <v>-1.3940343091852448E-2</v>
      </c>
      <c r="O882" s="153">
        <f t="shared" si="399"/>
        <v>-0.20267591362913864</v>
      </c>
      <c r="P882" s="153">
        <f t="shared" si="399"/>
        <v>2.4538996539475028E-3</v>
      </c>
      <c r="Q882" s="153">
        <f t="shared" si="399"/>
        <v>9.5429540930557999E-2</v>
      </c>
      <c r="R882" s="153">
        <f t="shared" si="399"/>
        <v>5.5709349038692783E-2</v>
      </c>
      <c r="S882" s="153">
        <f t="shared" si="399"/>
        <v>-7.0914491711459207E-2</v>
      </c>
      <c r="T882" s="153">
        <f t="shared" si="399"/>
        <v>-0.17616187043016548</v>
      </c>
      <c r="U882" s="153">
        <f t="shared" si="399"/>
        <v>-0.12687388324590779</v>
      </c>
      <c r="V882" s="153" t="e">
        <f t="shared" si="399"/>
        <v>#DIV/0!</v>
      </c>
      <c r="W882" s="153" t="e">
        <f t="shared" si="399"/>
        <v>#DIV/0!</v>
      </c>
      <c r="X882" s="153" t="e">
        <f t="shared" si="399"/>
        <v>#DIV/0!</v>
      </c>
      <c r="Y882" s="153" t="e">
        <f t="shared" si="399"/>
        <v>#DIV/0!</v>
      </c>
      <c r="Z882" s="153" t="e">
        <f t="shared" si="399"/>
        <v>#DIV/0!</v>
      </c>
    </row>
    <row r="883" spans="1:36" s="61" customFormat="1" ht="15" hidden="1">
      <c r="A883" s="66"/>
      <c r="B883" s="66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36" s="61" customFormat="1" ht="15" hidden="1">
      <c r="A884" s="66" t="s">
        <v>1310</v>
      </c>
    </row>
    <row r="885" spans="1:36" s="61" customFormat="1" hidden="1"/>
    <row r="886" spans="1:36" s="61" customFormat="1" ht="15" hidden="1">
      <c r="A886" s="66" t="s">
        <v>1121</v>
      </c>
      <c r="AH886" s="262"/>
      <c r="AI886" s="262"/>
      <c r="AJ886" s="262"/>
    </row>
    <row r="887" spans="1:36" s="61" customFormat="1" hidden="1"/>
    <row r="888" spans="1:36" s="61" customFormat="1" hidden="1">
      <c r="A888" s="61" t="s">
        <v>1</v>
      </c>
      <c r="F888" s="81">
        <f t="shared" ref="F888:Z888" si="400">F770</f>
        <v>1017201652.4612489</v>
      </c>
      <c r="G888" s="81">
        <f t="shared" si="400"/>
        <v>402998921.72377723</v>
      </c>
      <c r="H888" s="81">
        <f t="shared" si="400"/>
        <v>140932563.72170484</v>
      </c>
      <c r="I888" s="81">
        <f t="shared" si="400"/>
        <v>0</v>
      </c>
      <c r="J888" s="81">
        <f t="shared" si="400"/>
        <v>12135196.109402934</v>
      </c>
      <c r="K888" s="81">
        <f t="shared" si="400"/>
        <v>158805591.72166637</v>
      </c>
      <c r="L888" s="81">
        <f t="shared" si="400"/>
        <v>0</v>
      </c>
      <c r="M888" s="81">
        <f t="shared" si="400"/>
        <v>0</v>
      </c>
      <c r="N888" s="81">
        <f t="shared" si="400"/>
        <v>123784634.31267761</v>
      </c>
      <c r="O888" s="81">
        <f t="shared" si="400"/>
        <v>80697465.522337571</v>
      </c>
      <c r="P888" s="81">
        <f t="shared" si="400"/>
        <v>68365364.196628705</v>
      </c>
      <c r="Q888" s="81">
        <f t="shared" si="400"/>
        <v>6758416.2802700074</v>
      </c>
      <c r="R888" s="81">
        <f t="shared" si="400"/>
        <v>3509133.7461027252</v>
      </c>
      <c r="S888" s="81">
        <f t="shared" si="400"/>
        <v>18711162.7017329</v>
      </c>
      <c r="T888" s="81">
        <f t="shared" si="400"/>
        <v>221950.90722661998</v>
      </c>
      <c r="U888" s="81">
        <f t="shared" si="400"/>
        <v>281251.51772149437</v>
      </c>
      <c r="V888" s="81">
        <f t="shared" si="400"/>
        <v>0</v>
      </c>
      <c r="W888" s="81">
        <f t="shared" si="400"/>
        <v>0</v>
      </c>
      <c r="X888" s="81">
        <f t="shared" si="400"/>
        <v>0</v>
      </c>
      <c r="Y888" s="81">
        <f t="shared" si="400"/>
        <v>0</v>
      </c>
      <c r="Z888" s="81">
        <f t="shared" si="400"/>
        <v>0</v>
      </c>
      <c r="AA888" s="81">
        <f>ROUND(SUM(G888:Z888),2)</f>
        <v>1017201652.46</v>
      </c>
      <c r="AB888" s="94" t="str">
        <f>IF(ABS(F888-AA888)&lt;0.01,"ok","err")</f>
        <v>ok</v>
      </c>
      <c r="AH888" s="77"/>
      <c r="AI888" s="77"/>
      <c r="AJ888" s="153"/>
    </row>
    <row r="889" spans="1:36" s="61" customFormat="1" hidden="1"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94"/>
      <c r="AH889" s="80"/>
      <c r="AI889" s="80"/>
      <c r="AJ889" s="153"/>
    </row>
    <row r="890" spans="1:36" s="61" customFormat="1" hidden="1">
      <c r="A890" s="61" t="s">
        <v>135</v>
      </c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94"/>
      <c r="AH890" s="80"/>
      <c r="AI890" s="80"/>
      <c r="AJ890" s="153"/>
    </row>
    <row r="891" spans="1:36" s="61" customFormat="1" hidden="1">
      <c r="A891" s="61" t="s">
        <v>904</v>
      </c>
      <c r="F891" s="81"/>
      <c r="G891" s="81">
        <v>0</v>
      </c>
      <c r="H891" s="81">
        <v>0</v>
      </c>
      <c r="I891" s="81">
        <v>0</v>
      </c>
      <c r="J891" s="81">
        <v>0</v>
      </c>
      <c r="K891" s="81">
        <v>0</v>
      </c>
      <c r="L891" s="81">
        <v>0</v>
      </c>
      <c r="M891" s="81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1">
        <v>0</v>
      </c>
      <c r="U891" s="81">
        <v>0</v>
      </c>
      <c r="V891" s="77">
        <v>0</v>
      </c>
      <c r="W891" s="77">
        <v>0</v>
      </c>
      <c r="X891" s="77">
        <v>0</v>
      </c>
      <c r="Y891" s="77">
        <v>0</v>
      </c>
      <c r="Z891" s="77">
        <v>0</v>
      </c>
      <c r="AA891" s="81">
        <f>SUM(G891:Z891)</f>
        <v>0</v>
      </c>
      <c r="AB891" s="94" t="str">
        <f>IF(ABS(F891-AA891)&lt;0.01,"ok","err")</f>
        <v>ok</v>
      </c>
      <c r="AH891" s="80"/>
      <c r="AI891" s="80"/>
      <c r="AJ891" s="153"/>
    </row>
    <row r="892" spans="1:36" s="61" customFormat="1" hidden="1">
      <c r="A892" s="61" t="s">
        <v>1391</v>
      </c>
      <c r="E892" s="61" t="str">
        <f>E965</f>
        <v>INTCRE</v>
      </c>
      <c r="F892" s="77"/>
      <c r="G892" s="77">
        <f t="shared" ref="G892:Z892" si="401">IF(VLOOKUP($E892,$D$6:$AN$1131,3,)=0,0,(VLOOKUP($E892,$D$6:$AN$1131,G$2,)/VLOOKUP($E892,$D$6:$AN$1131,3,))*$F892)</f>
        <v>0</v>
      </c>
      <c r="H892" s="77">
        <f t="shared" si="401"/>
        <v>0</v>
      </c>
      <c r="I892" s="77">
        <f t="shared" si="401"/>
        <v>0</v>
      </c>
      <c r="J892" s="77">
        <f t="shared" si="401"/>
        <v>0</v>
      </c>
      <c r="K892" s="77">
        <f t="shared" si="401"/>
        <v>0</v>
      </c>
      <c r="L892" s="77">
        <f t="shared" si="401"/>
        <v>0</v>
      </c>
      <c r="M892" s="77">
        <f t="shared" si="401"/>
        <v>0</v>
      </c>
      <c r="N892" s="77">
        <f t="shared" si="401"/>
        <v>0</v>
      </c>
      <c r="O892" s="77">
        <f t="shared" si="401"/>
        <v>0</v>
      </c>
      <c r="P892" s="77">
        <f t="shared" si="401"/>
        <v>0</v>
      </c>
      <c r="Q892" s="77">
        <f t="shared" si="401"/>
        <v>0</v>
      </c>
      <c r="R892" s="77">
        <f t="shared" si="401"/>
        <v>0</v>
      </c>
      <c r="S892" s="77">
        <f t="shared" si="401"/>
        <v>0</v>
      </c>
      <c r="T892" s="77">
        <f t="shared" si="401"/>
        <v>0</v>
      </c>
      <c r="U892" s="77">
        <f t="shared" si="401"/>
        <v>0</v>
      </c>
      <c r="V892" s="77">
        <f t="shared" si="401"/>
        <v>0</v>
      </c>
      <c r="W892" s="77">
        <f t="shared" si="401"/>
        <v>0</v>
      </c>
      <c r="X892" s="80">
        <f t="shared" si="401"/>
        <v>0</v>
      </c>
      <c r="Y892" s="80">
        <f t="shared" si="401"/>
        <v>0</v>
      </c>
      <c r="Z892" s="80">
        <f t="shared" si="401"/>
        <v>0</v>
      </c>
      <c r="AA892" s="81">
        <f>SUM(G892:Z892)</f>
        <v>0</v>
      </c>
      <c r="AB892" s="94" t="str">
        <f>IF(ABS(F892-AA892)&lt;0.01,"ok","err")</f>
        <v>ok</v>
      </c>
    </row>
    <row r="893" spans="1:36" s="61" customFormat="1" hidden="1">
      <c r="A893" s="61" t="s">
        <v>905</v>
      </c>
      <c r="E893" s="61" t="str">
        <f>E966</f>
        <v>MISCR</v>
      </c>
      <c r="F893" s="80">
        <f>F966</f>
        <v>-22391</v>
      </c>
      <c r="G893" s="77">
        <f t="shared" ref="G893:Z893" si="402">IF(VLOOKUP($E893,$D$6:$AN$1131,3,)=0,0,(VLOOKUP($E893,$D$6:$AN$1131,G$2,)/VLOOKUP($E893,$D$6:$AN$1131,3,))*$F893)</f>
        <v>-20834.355219506127</v>
      </c>
      <c r="H893" s="77">
        <f t="shared" si="402"/>
        <v>-1347.7923692579229</v>
      </c>
      <c r="I893" s="77">
        <f t="shared" si="402"/>
        <v>0</v>
      </c>
      <c r="J893" s="77">
        <f t="shared" si="402"/>
        <v>-5.0261070647315949</v>
      </c>
      <c r="K893" s="77">
        <f t="shared" si="402"/>
        <v>-197.14672271267796</v>
      </c>
      <c r="L893" s="77">
        <f t="shared" si="402"/>
        <v>0</v>
      </c>
      <c r="M893" s="77">
        <f t="shared" si="402"/>
        <v>0</v>
      </c>
      <c r="N893" s="77">
        <f t="shared" si="402"/>
        <v>-0.59476066757413615</v>
      </c>
      <c r="O893" s="77">
        <f t="shared" si="402"/>
        <v>-1.5559615568764129</v>
      </c>
      <c r="P893" s="77">
        <f t="shared" si="402"/>
        <v>-7.3288044345628148E-2</v>
      </c>
      <c r="Q893" s="77">
        <f t="shared" si="402"/>
        <v>0</v>
      </c>
      <c r="R893" s="77">
        <f t="shared" si="402"/>
        <v>0</v>
      </c>
      <c r="S893" s="77">
        <f t="shared" si="402"/>
        <v>-4.4555711897395023</v>
      </c>
      <c r="T893" s="77">
        <f t="shared" si="402"/>
        <v>0</v>
      </c>
      <c r="U893" s="77">
        <f t="shared" si="402"/>
        <v>0</v>
      </c>
      <c r="V893" s="77">
        <f t="shared" si="402"/>
        <v>0</v>
      </c>
      <c r="W893" s="77">
        <f t="shared" si="402"/>
        <v>0</v>
      </c>
      <c r="X893" s="80">
        <f t="shared" si="402"/>
        <v>0</v>
      </c>
      <c r="Y893" s="80">
        <f t="shared" si="402"/>
        <v>0</v>
      </c>
      <c r="Z893" s="80">
        <f t="shared" si="402"/>
        <v>0</v>
      </c>
      <c r="AA893" s="81">
        <f>SUM(G893:Z893)</f>
        <v>-22391</v>
      </c>
      <c r="AB893" s="94" t="str">
        <f>IF(ABS(F893-AA893)&lt;0.01,"ok","err")</f>
        <v>ok</v>
      </c>
      <c r="AH893" s="80"/>
      <c r="AI893" s="80"/>
      <c r="AJ893" s="153"/>
    </row>
    <row r="894" spans="1:36" s="61" customFormat="1" hidden="1">
      <c r="AH894" s="80"/>
      <c r="AI894" s="80"/>
      <c r="AJ894" s="153"/>
    </row>
    <row r="895" spans="1:36" s="61" customFormat="1" hidden="1">
      <c r="A895" s="61" t="s">
        <v>136</v>
      </c>
      <c r="F895" s="81">
        <f>SUM(F888:F893)</f>
        <v>1017179261.4612489</v>
      </c>
      <c r="G895" s="81">
        <f t="shared" ref="G895:P895" si="403">SUM(G888:G893)</f>
        <v>402978087.36855775</v>
      </c>
      <c r="H895" s="81">
        <f t="shared" si="403"/>
        <v>140931215.92933559</v>
      </c>
      <c r="I895" s="81">
        <f t="shared" si="403"/>
        <v>0</v>
      </c>
      <c r="J895" s="81">
        <f t="shared" si="403"/>
        <v>12135191.083295869</v>
      </c>
      <c r="K895" s="81">
        <f t="shared" si="403"/>
        <v>158805394.57494366</v>
      </c>
      <c r="L895" s="81">
        <f t="shared" si="403"/>
        <v>0</v>
      </c>
      <c r="M895" s="81">
        <f t="shared" si="403"/>
        <v>0</v>
      </c>
      <c r="N895" s="81">
        <f t="shared" si="403"/>
        <v>123784633.71791694</v>
      </c>
      <c r="O895" s="81">
        <f>SUM(O888:O893)</f>
        <v>80697463.966376007</v>
      </c>
      <c r="P895" s="81">
        <f t="shared" si="403"/>
        <v>68365364.123340666</v>
      </c>
      <c r="Q895" s="81">
        <f>SUM(Q888:Q893)</f>
        <v>6758416.2802700074</v>
      </c>
      <c r="R895" s="81">
        <f t="shared" ref="R895:Z895" si="404">SUM(R888:R893)</f>
        <v>3509133.7461027252</v>
      </c>
      <c r="S895" s="81">
        <f t="shared" si="404"/>
        <v>18711158.24616171</v>
      </c>
      <c r="T895" s="81">
        <f t="shared" si="404"/>
        <v>221950.90722661998</v>
      </c>
      <c r="U895" s="81">
        <f t="shared" si="404"/>
        <v>281251.51772149437</v>
      </c>
      <c r="V895" s="81">
        <f t="shared" si="404"/>
        <v>0</v>
      </c>
      <c r="W895" s="81">
        <f t="shared" si="404"/>
        <v>0</v>
      </c>
      <c r="X895" s="81">
        <f t="shared" si="404"/>
        <v>0</v>
      </c>
      <c r="Y895" s="81">
        <f t="shared" si="404"/>
        <v>0</v>
      </c>
      <c r="Z895" s="81">
        <f t="shared" si="404"/>
        <v>0</v>
      </c>
      <c r="AA895" s="81">
        <f>ROUND(SUM(G895:Z895),2)</f>
        <v>1017179261.46</v>
      </c>
      <c r="AB895" s="94" t="str">
        <f>IF(ABS(F895-AA895)&lt;0.01,"ok","err")</f>
        <v>ok</v>
      </c>
    </row>
    <row r="896" spans="1:36" s="61" customFormat="1" hidden="1">
      <c r="AH896" s="77"/>
      <c r="AI896" s="77"/>
      <c r="AJ896" s="153"/>
    </row>
    <row r="897" spans="1:28" s="61" customFormat="1" hidden="1"/>
    <row r="898" spans="1:28" s="61" customFormat="1" ht="15" hidden="1">
      <c r="A898" s="66" t="s">
        <v>1125</v>
      </c>
      <c r="F898" s="81"/>
    </row>
    <row r="899" spans="1:28" s="61" customFormat="1" hidden="1"/>
    <row r="900" spans="1:28" s="61" customFormat="1" hidden="1">
      <c r="A900" s="61" t="s">
        <v>1128</v>
      </c>
      <c r="F900" s="81">
        <f t="shared" ref="F900:Z900" si="405">F726</f>
        <v>904148189.24269807</v>
      </c>
      <c r="G900" s="81">
        <f t="shared" si="405"/>
        <v>378168963.44188541</v>
      </c>
      <c r="H900" s="81">
        <f t="shared" si="405"/>
        <v>117971699.86413284</v>
      </c>
      <c r="I900" s="81">
        <f t="shared" si="405"/>
        <v>0</v>
      </c>
      <c r="J900" s="81">
        <f t="shared" si="405"/>
        <v>10669508.461073833</v>
      </c>
      <c r="K900" s="81">
        <f t="shared" si="405"/>
        <v>133236163.65054744</v>
      </c>
      <c r="L900" s="81">
        <f t="shared" si="405"/>
        <v>0</v>
      </c>
      <c r="M900" s="81">
        <f t="shared" si="405"/>
        <v>0</v>
      </c>
      <c r="N900" s="81">
        <f t="shared" si="405"/>
        <v>112054489.60118364</v>
      </c>
      <c r="O900" s="81">
        <f t="shared" si="405"/>
        <v>64353092.193645135</v>
      </c>
      <c r="P900" s="81">
        <f t="shared" si="405"/>
        <v>63118024.768144056</v>
      </c>
      <c r="Q900" s="81">
        <f t="shared" si="405"/>
        <v>6449329.3528903043</v>
      </c>
      <c r="R900" s="81">
        <f t="shared" si="405"/>
        <v>3309174.5246660276</v>
      </c>
      <c r="S900" s="81">
        <f t="shared" si="405"/>
        <v>14385795.735695209</v>
      </c>
      <c r="T900" s="81">
        <f t="shared" si="405"/>
        <v>190354.77665286657</v>
      </c>
      <c r="U900" s="81">
        <f t="shared" si="405"/>
        <v>241592.87218131183</v>
      </c>
      <c r="V900" s="81">
        <f t="shared" si="405"/>
        <v>0</v>
      </c>
      <c r="W900" s="81">
        <f t="shared" si="405"/>
        <v>0</v>
      </c>
      <c r="X900" s="81">
        <f t="shared" si="405"/>
        <v>0</v>
      </c>
      <c r="Y900" s="81">
        <f t="shared" si="405"/>
        <v>0</v>
      </c>
      <c r="Z900" s="81">
        <f t="shared" si="405"/>
        <v>0</v>
      </c>
      <c r="AA900" s="81">
        <f>ROUND(SUM(G900:Z900),2)</f>
        <v>904148189.24000001</v>
      </c>
      <c r="AB900" s="94" t="str">
        <f>IF(ABS(F900-AA900)&lt;0.01,"ok","err")</f>
        <v>ok</v>
      </c>
    </row>
    <row r="901" spans="1:28" s="61" customFormat="1" hidden="1"/>
    <row r="902" spans="1:28" s="61" customFormat="1" hidden="1">
      <c r="A902" s="61" t="s">
        <v>710</v>
      </c>
      <c r="F902" s="113">
        <f t="shared" ref="F902:Z902" si="406">F819</f>
        <v>-4059414.1199999996</v>
      </c>
      <c r="G902" s="113">
        <f t="shared" si="406"/>
        <v>-173675.83888249958</v>
      </c>
      <c r="H902" s="113">
        <f t="shared" si="406"/>
        <v>-1049596.5578704323</v>
      </c>
      <c r="I902" s="113">
        <f t="shared" si="406"/>
        <v>0</v>
      </c>
      <c r="J902" s="113">
        <f t="shared" si="406"/>
        <v>-62836.567218411816</v>
      </c>
      <c r="K902" s="113">
        <f t="shared" si="406"/>
        <v>-1162421.7127423766</v>
      </c>
      <c r="L902" s="113">
        <f t="shared" si="406"/>
        <v>0</v>
      </c>
      <c r="M902" s="113">
        <f t="shared" si="406"/>
        <v>0</v>
      </c>
      <c r="N902" s="113">
        <f t="shared" si="406"/>
        <v>-468348.96788212797</v>
      </c>
      <c r="O902" s="113">
        <f t="shared" si="406"/>
        <v>-760537.19357722509</v>
      </c>
      <c r="P902" s="113">
        <f t="shared" si="406"/>
        <v>-211994.96154404274</v>
      </c>
      <c r="Q902" s="113">
        <f t="shared" si="406"/>
        <v>-5379.9458103041516</v>
      </c>
      <c r="R902" s="113">
        <f t="shared" si="406"/>
        <v>-6101.2471140489515</v>
      </c>
      <c r="S902" s="113">
        <f t="shared" si="406"/>
        <v>-154860.35242237156</v>
      </c>
      <c r="T902" s="113">
        <f t="shared" si="406"/>
        <v>-1736.9059922657486</v>
      </c>
      <c r="U902" s="113">
        <f t="shared" si="406"/>
        <v>-1923.8689438972324</v>
      </c>
      <c r="V902" s="113">
        <f t="shared" si="406"/>
        <v>0</v>
      </c>
      <c r="W902" s="113">
        <f t="shared" si="406"/>
        <v>0</v>
      </c>
      <c r="X902" s="113">
        <f t="shared" si="406"/>
        <v>0</v>
      </c>
      <c r="Y902" s="113">
        <f t="shared" si="406"/>
        <v>0</v>
      </c>
      <c r="Z902" s="113">
        <f t="shared" si="406"/>
        <v>0</v>
      </c>
      <c r="AA902" s="81">
        <f>ROUND(SUM(G902:Z902),2)</f>
        <v>-4059414.12</v>
      </c>
      <c r="AB902" s="94" t="str">
        <f>IF(ABS(F902-AA902)&lt;0.01,"ok","err")</f>
        <v>ok</v>
      </c>
    </row>
    <row r="903" spans="1:28" s="61" customFormat="1" hidden="1"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81"/>
      <c r="AB903" s="94"/>
    </row>
    <row r="904" spans="1:28" s="61" customFormat="1" hidden="1">
      <c r="A904" s="61" t="s">
        <v>711</v>
      </c>
      <c r="F904" s="113">
        <f>(F891+F893)*$E$868</f>
        <v>-8651.6645355700002</v>
      </c>
      <c r="G904" s="113">
        <f>(G891+G893)*$E$868</f>
        <v>-8050.1921385408814</v>
      </c>
      <c r="H904" s="113">
        <f t="shared" ref="H904:Z904" si="407">(H891+H893)*$E$868</f>
        <v>-520.77385746150856</v>
      </c>
      <c r="I904" s="113">
        <f t="shared" si="407"/>
        <v>0</v>
      </c>
      <c r="J904" s="113">
        <f t="shared" si="407"/>
        <v>-1.9420388657905483</v>
      </c>
      <c r="K904" s="113">
        <f t="shared" si="407"/>
        <v>-76.175575418566766</v>
      </c>
      <c r="L904" s="113">
        <f t="shared" si="407"/>
        <v>0</v>
      </c>
      <c r="M904" s="113">
        <f t="shared" si="407"/>
        <v>0</v>
      </c>
      <c r="N904" s="113">
        <f t="shared" si="407"/>
        <v>-0.2298097349293507</v>
      </c>
      <c r="O904" s="113">
        <f t="shared" si="407"/>
        <v>-0.60120840607109749</v>
      </c>
      <c r="P904" s="113">
        <f t="shared" si="407"/>
        <v>-2.8317787242479232E-2</v>
      </c>
      <c r="Q904" s="113">
        <f t="shared" si="407"/>
        <v>0</v>
      </c>
      <c r="R904" s="113">
        <f t="shared" si="407"/>
        <v>0</v>
      </c>
      <c r="S904" s="113">
        <f t="shared" si="407"/>
        <v>-1.7215893550076675</v>
      </c>
      <c r="T904" s="113">
        <f t="shared" si="407"/>
        <v>0</v>
      </c>
      <c r="U904" s="113">
        <f t="shared" si="407"/>
        <v>0</v>
      </c>
      <c r="V904" s="113">
        <f t="shared" si="407"/>
        <v>0</v>
      </c>
      <c r="W904" s="113">
        <f t="shared" si="407"/>
        <v>0</v>
      </c>
      <c r="X904" s="113">
        <f t="shared" si="407"/>
        <v>0</v>
      </c>
      <c r="Y904" s="113">
        <f t="shared" si="407"/>
        <v>0</v>
      </c>
      <c r="Z904" s="113">
        <f t="shared" si="407"/>
        <v>0</v>
      </c>
      <c r="AA904" s="81">
        <f>ROUND(SUM(G904:Z904),2)</f>
        <v>-8651.66</v>
      </c>
      <c r="AB904" s="94" t="str">
        <f>IF(ABS(F904-AA904)&lt;0.01,"ok","err")</f>
        <v>ok</v>
      </c>
    </row>
    <row r="905" spans="1:28" s="61" customFormat="1" hidden="1">
      <c r="A905" s="69"/>
      <c r="F905" s="80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81"/>
      <c r="AB905" s="94"/>
    </row>
    <row r="906" spans="1:28" s="61" customFormat="1" hidden="1">
      <c r="A906" s="61" t="s">
        <v>137</v>
      </c>
      <c r="F906" s="81">
        <f t="shared" ref="F906:Z906" si="408">SUM(F900:F905)</f>
        <v>900080123.45816255</v>
      </c>
      <c r="G906" s="81">
        <f>SUM(G900:G905)</f>
        <v>377987237.41086435</v>
      </c>
      <c r="H906" s="81">
        <f t="shared" si="408"/>
        <v>116921582.53240494</v>
      </c>
      <c r="I906" s="81">
        <f t="shared" si="408"/>
        <v>0</v>
      </c>
      <c r="J906" s="81">
        <f t="shared" si="408"/>
        <v>10606669.951816555</v>
      </c>
      <c r="K906" s="81">
        <f t="shared" si="408"/>
        <v>132073665.76222965</v>
      </c>
      <c r="L906" s="81">
        <f t="shared" si="408"/>
        <v>0</v>
      </c>
      <c r="M906" s="81">
        <f t="shared" si="408"/>
        <v>0</v>
      </c>
      <c r="N906" s="81">
        <f t="shared" si="408"/>
        <v>111586140.40349178</v>
      </c>
      <c r="O906" s="81">
        <f>SUM(O900:O905)</f>
        <v>63592554.398859508</v>
      </c>
      <c r="P906" s="81">
        <f t="shared" si="408"/>
        <v>62906029.778282225</v>
      </c>
      <c r="Q906" s="81">
        <f t="shared" si="408"/>
        <v>6443949.4070800003</v>
      </c>
      <c r="R906" s="81">
        <f t="shared" si="408"/>
        <v>3303073.2775519788</v>
      </c>
      <c r="S906" s="81">
        <f t="shared" si="408"/>
        <v>14230933.661683483</v>
      </c>
      <c r="T906" s="81">
        <f t="shared" si="408"/>
        <v>188617.87066060081</v>
      </c>
      <c r="U906" s="81">
        <f t="shared" si="408"/>
        <v>239669.00323741461</v>
      </c>
      <c r="V906" s="81">
        <f t="shared" si="408"/>
        <v>0</v>
      </c>
      <c r="W906" s="81">
        <f t="shared" si="408"/>
        <v>0</v>
      </c>
      <c r="X906" s="81">
        <f t="shared" si="408"/>
        <v>0</v>
      </c>
      <c r="Y906" s="81">
        <f t="shared" si="408"/>
        <v>0</v>
      </c>
      <c r="Z906" s="81">
        <f t="shared" si="408"/>
        <v>0</v>
      </c>
      <c r="AA906" s="81">
        <f>ROUND(SUM(G906:Z906),2)</f>
        <v>900080123.46000004</v>
      </c>
      <c r="AB906" s="94" t="str">
        <f>IF(ABS(F906-AA906)&lt;0.01,"ok","err")</f>
        <v>ok</v>
      </c>
    </row>
    <row r="907" spans="1:28" s="61" customFormat="1" hidden="1"/>
    <row r="908" spans="1:28" s="61" customFormat="1" hidden="1">
      <c r="G908" s="81"/>
      <c r="H908" s="81"/>
      <c r="I908" s="81"/>
    </row>
    <row r="909" spans="1:28" s="61" customFormat="1" ht="15" hidden="1">
      <c r="A909" s="66" t="s">
        <v>903</v>
      </c>
      <c r="F909" s="81">
        <f t="shared" ref="F909:Z909" si="409">F895-F906</f>
        <v>117099138.00308633</v>
      </c>
      <c r="G909" s="81">
        <f>G895-G906</f>
        <v>24990849.957693398</v>
      </c>
      <c r="H909" s="81">
        <f t="shared" si="409"/>
        <v>24009633.39693065</v>
      </c>
      <c r="I909" s="81">
        <f t="shared" si="409"/>
        <v>0</v>
      </c>
      <c r="J909" s="81">
        <f t="shared" si="409"/>
        <v>1528521.1314793136</v>
      </c>
      <c r="K909" s="81">
        <f t="shared" si="409"/>
        <v>26731728.81271401</v>
      </c>
      <c r="L909" s="81">
        <f t="shared" si="409"/>
        <v>0</v>
      </c>
      <c r="M909" s="81">
        <f t="shared" si="409"/>
        <v>0</v>
      </c>
      <c r="N909" s="81">
        <f t="shared" si="409"/>
        <v>12198493.314425156</v>
      </c>
      <c r="O909" s="81">
        <f>O895-O906</f>
        <v>17104909.567516498</v>
      </c>
      <c r="P909" s="81">
        <f t="shared" si="409"/>
        <v>5459334.3450584412</v>
      </c>
      <c r="Q909" s="81">
        <f t="shared" si="409"/>
        <v>314466.87319000717</v>
      </c>
      <c r="R909" s="81">
        <f t="shared" si="409"/>
        <v>206060.46855074633</v>
      </c>
      <c r="S909" s="81">
        <f t="shared" si="409"/>
        <v>4480224.5844782274</v>
      </c>
      <c r="T909" s="81">
        <f t="shared" si="409"/>
        <v>33333.036566019175</v>
      </c>
      <c r="U909" s="81">
        <f t="shared" si="409"/>
        <v>41582.514484079758</v>
      </c>
      <c r="V909" s="81">
        <f t="shared" si="409"/>
        <v>0</v>
      </c>
      <c r="W909" s="81">
        <f t="shared" si="409"/>
        <v>0</v>
      </c>
      <c r="X909" s="81">
        <f t="shared" si="409"/>
        <v>0</v>
      </c>
      <c r="Y909" s="81">
        <f t="shared" si="409"/>
        <v>0</v>
      </c>
      <c r="Z909" s="81">
        <f t="shared" si="409"/>
        <v>0</v>
      </c>
      <c r="AA909" s="81">
        <f>ROUND(SUM(G909:Z909),2)</f>
        <v>117099138</v>
      </c>
      <c r="AB909" s="94" t="str">
        <f>IF(ABS(F909-AA909)&lt;0.01,"ok","err")</f>
        <v>ok</v>
      </c>
    </row>
    <row r="910" spans="1:28" s="61" customFormat="1" hidden="1"/>
    <row r="911" spans="1:28" s="61" customFormat="1" ht="15" hidden="1">
      <c r="A911" s="66" t="s">
        <v>1111</v>
      </c>
      <c r="F911" s="81">
        <f t="shared" ref="F911:Z911" si="410">F834</f>
        <v>2380933927.241509</v>
      </c>
      <c r="G911" s="81">
        <f t="shared" si="410"/>
        <v>1226298141.3869851</v>
      </c>
      <c r="H911" s="81">
        <f t="shared" si="410"/>
        <v>277706597.11954999</v>
      </c>
      <c r="I911" s="81">
        <f t="shared" si="410"/>
        <v>0</v>
      </c>
      <c r="J911" s="81">
        <f t="shared" si="410"/>
        <v>21749592.64590745</v>
      </c>
      <c r="K911" s="81">
        <f t="shared" si="410"/>
        <v>275721267.25815135</v>
      </c>
      <c r="L911" s="81">
        <f t="shared" si="410"/>
        <v>0</v>
      </c>
      <c r="M911" s="81">
        <f t="shared" si="410"/>
        <v>0</v>
      </c>
      <c r="N911" s="81">
        <f t="shared" si="410"/>
        <v>226471826.17950612</v>
      </c>
      <c r="O911" s="81">
        <f t="shared" si="410"/>
        <v>143715706.90157166</v>
      </c>
      <c r="P911" s="81">
        <f t="shared" si="410"/>
        <v>113082426.76512812</v>
      </c>
      <c r="Q911" s="81">
        <f t="shared" si="410"/>
        <v>14438868.779765479</v>
      </c>
      <c r="R911" s="81">
        <f t="shared" si="410"/>
        <v>6627986.1679961868</v>
      </c>
      <c r="S911" s="81">
        <f t="shared" si="410"/>
        <v>74531365.088449582</v>
      </c>
      <c r="T911" s="81">
        <f t="shared" si="410"/>
        <v>189911.6367086453</v>
      </c>
      <c r="U911" s="81">
        <f t="shared" si="410"/>
        <v>400237.31178913353</v>
      </c>
      <c r="V911" s="81">
        <f t="shared" si="410"/>
        <v>0</v>
      </c>
      <c r="W911" s="81">
        <f t="shared" si="410"/>
        <v>0</v>
      </c>
      <c r="X911" s="81">
        <f t="shared" si="410"/>
        <v>0</v>
      </c>
      <c r="Y911" s="81">
        <f t="shared" si="410"/>
        <v>0</v>
      </c>
      <c r="Z911" s="81">
        <f t="shared" si="410"/>
        <v>0</v>
      </c>
      <c r="AA911" s="81">
        <f>ROUND(SUM(G911:Z911),2)</f>
        <v>2380933927.2399998</v>
      </c>
      <c r="AB911" s="94" t="str">
        <f>IF(ABS(F911-AA911)&lt;0.01,"ok","err")</f>
        <v>ok</v>
      </c>
    </row>
    <row r="912" spans="1:28" s="61" customFormat="1" ht="15" hidden="1" thickBot="1"/>
    <row r="913" spans="1:28" s="61" customFormat="1" ht="15.75" hidden="1" thickBot="1">
      <c r="A913" s="295" t="s">
        <v>1129</v>
      </c>
      <c r="B913" s="151"/>
      <c r="C913" s="151"/>
      <c r="D913" s="151"/>
      <c r="E913" s="151"/>
      <c r="F913" s="152">
        <f t="shared" ref="F913:P913" si="411">F909/F911</f>
        <v>4.9182019149416084E-2</v>
      </c>
      <c r="G913" s="152">
        <f t="shared" si="411"/>
        <v>2.0379097965057578E-2</v>
      </c>
      <c r="H913" s="152">
        <f t="shared" si="411"/>
        <v>8.6456834824830381E-2</v>
      </c>
      <c r="I913" s="152" t="e">
        <f t="shared" si="411"/>
        <v>#DIV/0!</v>
      </c>
      <c r="J913" s="152">
        <f t="shared" si="411"/>
        <v>7.0278149865346112E-2</v>
      </c>
      <c r="K913" s="152">
        <f t="shared" si="411"/>
        <v>9.6952001847886909E-2</v>
      </c>
      <c r="L913" s="152" t="e">
        <f t="shared" si="411"/>
        <v>#DIV/0!</v>
      </c>
      <c r="M913" s="152" t="e">
        <f t="shared" si="411"/>
        <v>#DIV/0!</v>
      </c>
      <c r="N913" s="152">
        <f t="shared" si="411"/>
        <v>5.3863182543317262E-2</v>
      </c>
      <c r="O913" s="152">
        <f>O909/O911</f>
        <v>0.11901906852277008</v>
      </c>
      <c r="P913" s="152">
        <f t="shared" si="411"/>
        <v>4.8277477776431724E-2</v>
      </c>
      <c r="Q913" s="152">
        <f>Q909/Q911</f>
        <v>2.1779190460591943E-2</v>
      </c>
      <c r="R913" s="152">
        <f t="shared" ref="R913:Z913" si="412">R909/R911</f>
        <v>3.1089453618012571E-2</v>
      </c>
      <c r="S913" s="152">
        <f t="shared" si="412"/>
        <v>6.0111935145174808E-2</v>
      </c>
      <c r="T913" s="152">
        <f t="shared" si="412"/>
        <v>0.17551866301461749</v>
      </c>
      <c r="U913" s="152">
        <f t="shared" si="412"/>
        <v>0.10389464764841229</v>
      </c>
      <c r="V913" s="152" t="e">
        <f t="shared" si="412"/>
        <v>#DIV/0!</v>
      </c>
      <c r="W913" s="152" t="e">
        <f t="shared" si="412"/>
        <v>#DIV/0!</v>
      </c>
      <c r="X913" s="152" t="e">
        <f t="shared" si="412"/>
        <v>#DIV/0!</v>
      </c>
      <c r="Y913" s="152" t="e">
        <f t="shared" si="412"/>
        <v>#DIV/0!</v>
      </c>
      <c r="Z913" s="152" t="e">
        <f t="shared" si="412"/>
        <v>#DIV/0!</v>
      </c>
      <c r="AA913" s="140"/>
      <c r="AB913" s="140"/>
    </row>
    <row r="914" spans="1:28" s="61" customFormat="1" hidden="1"/>
    <row r="915" spans="1:28" s="61" customFormat="1" hidden="1"/>
    <row r="916" spans="1:28" s="61" customFormat="1" ht="15" hidden="1">
      <c r="A916" s="66" t="s">
        <v>1325</v>
      </c>
    </row>
    <row r="917" spans="1:28" s="61" customFormat="1" hidden="1"/>
    <row r="918" spans="1:28" s="61" customFormat="1" ht="15" hidden="1">
      <c r="A918" s="66" t="s">
        <v>1121</v>
      </c>
    </row>
    <row r="919" spans="1:28" s="61" customFormat="1" hidden="1"/>
    <row r="920" spans="1:28" s="61" customFormat="1" hidden="1">
      <c r="A920" s="112" t="s">
        <v>1328</v>
      </c>
      <c r="F920" s="81">
        <f>F895</f>
        <v>1017179261.4612489</v>
      </c>
      <c r="G920" s="81">
        <f t="shared" ref="G920:Z920" si="413">G895</f>
        <v>402978087.36855775</v>
      </c>
      <c r="H920" s="81">
        <f t="shared" si="413"/>
        <v>140931215.92933559</v>
      </c>
      <c r="I920" s="81">
        <f t="shared" si="413"/>
        <v>0</v>
      </c>
      <c r="J920" s="81">
        <f t="shared" si="413"/>
        <v>12135191.083295869</v>
      </c>
      <c r="K920" s="81">
        <f t="shared" si="413"/>
        <v>158805394.57494366</v>
      </c>
      <c r="L920" s="81">
        <f t="shared" si="413"/>
        <v>0</v>
      </c>
      <c r="M920" s="81">
        <f t="shared" si="413"/>
        <v>0</v>
      </c>
      <c r="N920" s="81">
        <f t="shared" si="413"/>
        <v>123784633.71791694</v>
      </c>
      <c r="O920" s="81">
        <f t="shared" si="413"/>
        <v>80697463.966376007</v>
      </c>
      <c r="P920" s="81">
        <f t="shared" si="413"/>
        <v>68365364.123340666</v>
      </c>
      <c r="Q920" s="81">
        <f t="shared" si="413"/>
        <v>6758416.2802700074</v>
      </c>
      <c r="R920" s="81">
        <f t="shared" si="413"/>
        <v>3509133.7461027252</v>
      </c>
      <c r="S920" s="81">
        <f t="shared" si="413"/>
        <v>18711158.24616171</v>
      </c>
      <c r="T920" s="81">
        <f t="shared" si="413"/>
        <v>221950.90722661998</v>
      </c>
      <c r="U920" s="81">
        <f t="shared" si="413"/>
        <v>281251.51772149437</v>
      </c>
      <c r="V920" s="81">
        <f t="shared" si="413"/>
        <v>0</v>
      </c>
      <c r="W920" s="81">
        <f t="shared" si="413"/>
        <v>0</v>
      </c>
      <c r="X920" s="81">
        <f t="shared" si="413"/>
        <v>0</v>
      </c>
      <c r="Y920" s="81">
        <f t="shared" si="413"/>
        <v>0</v>
      </c>
      <c r="Z920" s="81">
        <f t="shared" si="413"/>
        <v>0</v>
      </c>
      <c r="AA920" s="81">
        <f>ROUND(SUM(G920:Z920),2)</f>
        <v>1017179261.46</v>
      </c>
      <c r="AB920" s="94" t="str">
        <f>IF(ABS(F920-AA920)&lt;0.01,"ok","err")</f>
        <v>ok</v>
      </c>
    </row>
    <row r="921" spans="1:28" s="61" customFormat="1" hidden="1"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94"/>
    </row>
    <row r="922" spans="1:28" s="61" customFormat="1" hidden="1">
      <c r="A922" s="61" t="s">
        <v>135</v>
      </c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94"/>
    </row>
    <row r="923" spans="1:28" s="61" customFormat="1" hidden="1">
      <c r="A923" s="61" t="s">
        <v>909</v>
      </c>
      <c r="F923" s="77">
        <f>($F$913*F911-F909)/(1-$E$935)-SUM(F893:F894)</f>
        <v>22391</v>
      </c>
      <c r="G923" s="263">
        <f>($F$913*G911-G909)/(1-$E$935)-SUM(G893:G894)</f>
        <v>57583429.907435812</v>
      </c>
      <c r="H923" s="263">
        <f t="shared" ref="H923:Z923" si="414">($F$913*H911-H909)/(1-$E$935)-SUM(H893:H894)</f>
        <v>-16868433.948995508</v>
      </c>
      <c r="I923" s="263">
        <f t="shared" si="414"/>
        <v>0</v>
      </c>
      <c r="J923" s="263">
        <f t="shared" si="414"/>
        <v>-747754.05762893474</v>
      </c>
      <c r="K923" s="263">
        <f t="shared" si="414"/>
        <v>-21464912.551786043</v>
      </c>
      <c r="L923" s="263">
        <f t="shared" si="414"/>
        <v>0</v>
      </c>
      <c r="M923" s="263">
        <f t="shared" si="414"/>
        <v>0</v>
      </c>
      <c r="N923" s="263">
        <f t="shared" si="414"/>
        <v>-1727728.8896812673</v>
      </c>
      <c r="O923" s="263">
        <f t="shared" si="414"/>
        <v>-16356780.984972937</v>
      </c>
      <c r="P923" s="263">
        <f t="shared" si="414"/>
        <v>166698.42985832217</v>
      </c>
      <c r="Q923" s="263">
        <f t="shared" si="414"/>
        <v>644816.77569279191</v>
      </c>
      <c r="R923" s="263">
        <f t="shared" si="414"/>
        <v>195429.22516190709</v>
      </c>
      <c r="S923" s="263">
        <f t="shared" si="414"/>
        <v>-1327584.5959680984</v>
      </c>
      <c r="T923" s="263">
        <f t="shared" si="414"/>
        <v>-39101.072945368105</v>
      </c>
      <c r="U923" s="263">
        <f t="shared" si="414"/>
        <v>-35687.236171036231</v>
      </c>
      <c r="V923" s="263">
        <f t="shared" si="414"/>
        <v>0</v>
      </c>
      <c r="W923" s="263">
        <f t="shared" si="414"/>
        <v>0</v>
      </c>
      <c r="X923" s="263">
        <f t="shared" si="414"/>
        <v>0</v>
      </c>
      <c r="Y923" s="263">
        <f t="shared" si="414"/>
        <v>0</v>
      </c>
      <c r="Z923" s="263">
        <f t="shared" si="414"/>
        <v>0</v>
      </c>
      <c r="AA923" s="81">
        <f>SUM(G923:Z923)</f>
        <v>22390.999999638581</v>
      </c>
      <c r="AB923" s="94" t="str">
        <f>IF(ABS(F923-AA923)&lt;0.01,"ok","err")</f>
        <v>ok</v>
      </c>
    </row>
    <row r="924" spans="1:28" s="61" customFormat="1" hidden="1">
      <c r="A924" s="61" t="s">
        <v>905</v>
      </c>
      <c r="E924" s="61" t="s">
        <v>182</v>
      </c>
      <c r="F924" s="77">
        <f>F893</f>
        <v>-22391</v>
      </c>
      <c r="G924" s="77">
        <f>G893</f>
        <v>-20834.355219506127</v>
      </c>
      <c r="H924" s="77">
        <f t="shared" ref="H924:U924" si="415">H893</f>
        <v>-1347.7923692579229</v>
      </c>
      <c r="I924" s="77">
        <f t="shared" si="415"/>
        <v>0</v>
      </c>
      <c r="J924" s="77">
        <f t="shared" si="415"/>
        <v>-5.0261070647315949</v>
      </c>
      <c r="K924" s="77">
        <f t="shared" si="415"/>
        <v>-197.14672271267796</v>
      </c>
      <c r="L924" s="77">
        <f t="shared" si="415"/>
        <v>0</v>
      </c>
      <c r="M924" s="77">
        <f t="shared" si="415"/>
        <v>0</v>
      </c>
      <c r="N924" s="77">
        <f t="shared" si="415"/>
        <v>-0.59476066757413615</v>
      </c>
      <c r="O924" s="77">
        <f>O893</f>
        <v>-1.5559615568764129</v>
      </c>
      <c r="P924" s="77">
        <f t="shared" si="415"/>
        <v>-7.3288044345628148E-2</v>
      </c>
      <c r="Q924" s="77">
        <f t="shared" si="415"/>
        <v>0</v>
      </c>
      <c r="R924" s="77">
        <f t="shared" si="415"/>
        <v>0</v>
      </c>
      <c r="S924" s="77">
        <f t="shared" si="415"/>
        <v>-4.4555711897395023</v>
      </c>
      <c r="T924" s="77">
        <f t="shared" si="415"/>
        <v>0</v>
      </c>
      <c r="U924" s="77">
        <f t="shared" si="415"/>
        <v>0</v>
      </c>
      <c r="V924" s="77">
        <f>IF(VLOOKUP($E924,$D$6:$AN$1131,3,)=0,0,(VLOOKUP($E924,$D$6:$AN$1131,V$2,)/VLOOKUP($E924,$D$6:$AN$1131,3,))*$F924)</f>
        <v>0</v>
      </c>
      <c r="W924" s="77">
        <f>IF(VLOOKUP($E924,$D$6:$AN$1131,3,)=0,0,(VLOOKUP($E924,$D$6:$AN$1131,W$2,)/VLOOKUP($E924,$D$6:$AN$1131,3,))*$F924)</f>
        <v>0</v>
      </c>
      <c r="X924" s="80">
        <f>IF(VLOOKUP($E924,$D$6:$AN$1131,3,)=0,0,(VLOOKUP($E924,$D$6:$AN$1131,X$2,)/VLOOKUP($E924,$D$6:$AN$1131,3,))*$F924)</f>
        <v>0</v>
      </c>
      <c r="Y924" s="80">
        <f>IF(VLOOKUP($E924,$D$6:$AN$1131,3,)=0,0,(VLOOKUP($E924,$D$6:$AN$1131,Y$2,)/VLOOKUP($E924,$D$6:$AN$1131,3,))*$F924)</f>
        <v>0</v>
      </c>
      <c r="Z924" s="80">
        <f>IF(VLOOKUP($E924,$D$6:$AN$1131,3,)=0,0,(VLOOKUP($E924,$D$6:$AN$1131,Z$2,)/VLOOKUP($E924,$D$6:$AN$1131,3,))*$F924)</f>
        <v>0</v>
      </c>
      <c r="AA924" s="81">
        <f>SUM(G924:Z924)</f>
        <v>-22391</v>
      </c>
      <c r="AB924" s="94" t="str">
        <f>IF(ABS(F924-AA924)&lt;0.01,"ok","err")</f>
        <v>ok</v>
      </c>
    </row>
    <row r="925" spans="1:28" s="61" customFormat="1" hidden="1"/>
    <row r="926" spans="1:28" s="61" customFormat="1" hidden="1">
      <c r="A926" s="61" t="s">
        <v>136</v>
      </c>
      <c r="F926" s="81">
        <f>SUM(F920:F924)</f>
        <v>1017179261.4612489</v>
      </c>
      <c r="G926" s="81">
        <f t="shared" ref="G926:P926" si="416">SUM(G920:G924)</f>
        <v>460540682.9207741</v>
      </c>
      <c r="H926" s="81">
        <f t="shared" si="416"/>
        <v>124061434.18797083</v>
      </c>
      <c r="I926" s="81">
        <f t="shared" si="416"/>
        <v>0</v>
      </c>
      <c r="J926" s="81">
        <f t="shared" si="416"/>
        <v>11387431.999559868</v>
      </c>
      <c r="K926" s="81">
        <f t="shared" si="416"/>
        <v>137340284.87643492</v>
      </c>
      <c r="L926" s="81">
        <f t="shared" si="416"/>
        <v>0</v>
      </c>
      <c r="M926" s="81">
        <f t="shared" si="416"/>
        <v>0</v>
      </c>
      <c r="N926" s="81">
        <f t="shared" si="416"/>
        <v>122056904.233475</v>
      </c>
      <c r="O926" s="81">
        <f>SUM(O920:O924)</f>
        <v>64340681.425441511</v>
      </c>
      <c r="P926" s="81">
        <f t="shared" si="416"/>
        <v>68532062.479910955</v>
      </c>
      <c r="Q926" s="81">
        <f>SUM(Q920:Q924)</f>
        <v>7403233.0559627991</v>
      </c>
      <c r="R926" s="81">
        <f t="shared" ref="R926:Z926" si="417">SUM(R920:R924)</f>
        <v>3704562.9712646324</v>
      </c>
      <c r="S926" s="81">
        <f t="shared" si="417"/>
        <v>17383569.194622423</v>
      </c>
      <c r="T926" s="81">
        <f t="shared" si="417"/>
        <v>182849.83428125188</v>
      </c>
      <c r="U926" s="81">
        <f t="shared" si="417"/>
        <v>245564.28155045814</v>
      </c>
      <c r="V926" s="81">
        <f t="shared" si="417"/>
        <v>0</v>
      </c>
      <c r="W926" s="81">
        <f t="shared" si="417"/>
        <v>0</v>
      </c>
      <c r="X926" s="81">
        <f t="shared" si="417"/>
        <v>0</v>
      </c>
      <c r="Y926" s="81">
        <f t="shared" si="417"/>
        <v>0</v>
      </c>
      <c r="Z926" s="81">
        <f t="shared" si="417"/>
        <v>0</v>
      </c>
      <c r="AA926" s="81">
        <f>ROUND(SUM(G926:Z926),2)</f>
        <v>1017179261.46</v>
      </c>
      <c r="AB926" s="94" t="str">
        <f>IF(ABS(F926-AA926)&lt;0.01,"ok","err")</f>
        <v>ok</v>
      </c>
    </row>
    <row r="927" spans="1:28" s="61" customFormat="1" hidden="1"/>
    <row r="928" spans="1:28" s="61" customFormat="1" hidden="1"/>
    <row r="929" spans="1:28" s="61" customFormat="1" ht="15" hidden="1">
      <c r="A929" s="66" t="s">
        <v>1125</v>
      </c>
    </row>
    <row r="930" spans="1:28" s="61" customFormat="1" hidden="1"/>
    <row r="931" spans="1:28" s="61" customFormat="1" hidden="1">
      <c r="A931" s="61" t="s">
        <v>1128</v>
      </c>
      <c r="F931" s="81">
        <f>F900+F904</f>
        <v>904139537.57816255</v>
      </c>
      <c r="G931" s="81">
        <f t="shared" ref="G931:Z931" si="418">G900+G904</f>
        <v>378160913.24974686</v>
      </c>
      <c r="H931" s="81">
        <f t="shared" si="418"/>
        <v>117971179.09027538</v>
      </c>
      <c r="I931" s="81">
        <f t="shared" si="418"/>
        <v>0</v>
      </c>
      <c r="J931" s="81">
        <f t="shared" si="418"/>
        <v>10669506.519034967</v>
      </c>
      <c r="K931" s="81">
        <f t="shared" si="418"/>
        <v>133236087.47497202</v>
      </c>
      <c r="L931" s="81">
        <f t="shared" si="418"/>
        <v>0</v>
      </c>
      <c r="M931" s="81">
        <f t="shared" si="418"/>
        <v>0</v>
      </c>
      <c r="N931" s="81">
        <f t="shared" si="418"/>
        <v>112054489.37137391</v>
      </c>
      <c r="O931" s="81">
        <f t="shared" si="418"/>
        <v>64353091.592436731</v>
      </c>
      <c r="P931" s="81">
        <f t="shared" si="418"/>
        <v>63118024.739826269</v>
      </c>
      <c r="Q931" s="81">
        <f t="shared" si="418"/>
        <v>6449329.3528903043</v>
      </c>
      <c r="R931" s="81">
        <f t="shared" si="418"/>
        <v>3309174.5246660276</v>
      </c>
      <c r="S931" s="81">
        <f t="shared" si="418"/>
        <v>14385794.014105855</v>
      </c>
      <c r="T931" s="81">
        <f t="shared" si="418"/>
        <v>190354.77665286657</v>
      </c>
      <c r="U931" s="81">
        <f t="shared" si="418"/>
        <v>241592.87218131183</v>
      </c>
      <c r="V931" s="81">
        <f t="shared" si="418"/>
        <v>0</v>
      </c>
      <c r="W931" s="81">
        <f t="shared" si="418"/>
        <v>0</v>
      </c>
      <c r="X931" s="81">
        <f t="shared" si="418"/>
        <v>0</v>
      </c>
      <c r="Y931" s="81">
        <f t="shared" si="418"/>
        <v>0</v>
      </c>
      <c r="Z931" s="81">
        <f t="shared" si="418"/>
        <v>0</v>
      </c>
      <c r="AA931" s="81">
        <f>ROUND(SUM(G931:Z931),2)</f>
        <v>904139537.58000004</v>
      </c>
      <c r="AB931" s="94" t="str">
        <f>IF(ABS(F931-AA931)&lt;0.01,"ok","err")</f>
        <v>ok</v>
      </c>
    </row>
    <row r="932" spans="1:28" s="61" customFormat="1" hidden="1"/>
    <row r="933" spans="1:28" s="61" customFormat="1" hidden="1">
      <c r="A933" s="61" t="s">
        <v>710</v>
      </c>
      <c r="F933" s="113">
        <f>F902</f>
        <v>-4059414.1199999996</v>
      </c>
      <c r="G933" s="113">
        <f t="shared" ref="G933:Z933" si="419">G902</f>
        <v>-173675.83888249958</v>
      </c>
      <c r="H933" s="113">
        <f t="shared" si="419"/>
        <v>-1049596.5578704323</v>
      </c>
      <c r="I933" s="113">
        <f t="shared" si="419"/>
        <v>0</v>
      </c>
      <c r="J933" s="113">
        <f t="shared" si="419"/>
        <v>-62836.567218411816</v>
      </c>
      <c r="K933" s="113">
        <f t="shared" si="419"/>
        <v>-1162421.7127423766</v>
      </c>
      <c r="L933" s="113">
        <f t="shared" si="419"/>
        <v>0</v>
      </c>
      <c r="M933" s="113">
        <f t="shared" si="419"/>
        <v>0</v>
      </c>
      <c r="N933" s="113">
        <f t="shared" si="419"/>
        <v>-468348.96788212797</v>
      </c>
      <c r="O933" s="113">
        <f t="shared" si="419"/>
        <v>-760537.19357722509</v>
      </c>
      <c r="P933" s="113">
        <f t="shared" si="419"/>
        <v>-211994.96154404274</v>
      </c>
      <c r="Q933" s="113">
        <f t="shared" si="419"/>
        <v>-5379.9458103041516</v>
      </c>
      <c r="R933" s="113">
        <f t="shared" si="419"/>
        <v>-6101.2471140489515</v>
      </c>
      <c r="S933" s="113">
        <f t="shared" si="419"/>
        <v>-154860.35242237156</v>
      </c>
      <c r="T933" s="113">
        <f t="shared" si="419"/>
        <v>-1736.9059922657486</v>
      </c>
      <c r="U933" s="113">
        <f t="shared" si="419"/>
        <v>-1923.8689438972324</v>
      </c>
      <c r="V933" s="113">
        <f t="shared" si="419"/>
        <v>0</v>
      </c>
      <c r="W933" s="113">
        <f t="shared" si="419"/>
        <v>0</v>
      </c>
      <c r="X933" s="113">
        <f t="shared" si="419"/>
        <v>0</v>
      </c>
      <c r="Y933" s="113">
        <f t="shared" si="419"/>
        <v>0</v>
      </c>
      <c r="Z933" s="113">
        <f t="shared" si="419"/>
        <v>0</v>
      </c>
      <c r="AA933" s="81">
        <f>ROUND(SUM(G933:Z933),2)</f>
        <v>-4059414.12</v>
      </c>
      <c r="AB933" s="94" t="str">
        <f>IF(ABS(F933-AA933)&lt;0.01,"ok","err")</f>
        <v>ok</v>
      </c>
    </row>
    <row r="934" spans="1:28" s="61" customFormat="1" hidden="1"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81"/>
      <c r="AB934" s="94"/>
    </row>
    <row r="935" spans="1:28" s="61" customFormat="1" hidden="1">
      <c r="A935" s="61" t="s">
        <v>711</v>
      </c>
      <c r="E935" s="61">
        <f>E868</f>
        <v>0.38639026999999998</v>
      </c>
      <c r="F935" s="113">
        <f>(F923+F924)*$E$935</f>
        <v>0</v>
      </c>
      <c r="G935" s="113">
        <f>(G923+G924)*$E$935</f>
        <v>22241626.837321658</v>
      </c>
      <c r="H935" s="113">
        <f t="shared" ref="H935:Y935" si="420">(H923+H924)*$E$935</f>
        <v>-6518319.5218870016</v>
      </c>
      <c r="I935" s="113">
        <f t="shared" si="420"/>
        <v>0</v>
      </c>
      <c r="J935" s="113">
        <f t="shared" si="420"/>
        <v>-288926.83425970539</v>
      </c>
      <c r="K935" s="113">
        <f t="shared" si="420"/>
        <v>-8293909.5319864154</v>
      </c>
      <c r="L935" s="113">
        <f t="shared" si="420"/>
        <v>0</v>
      </c>
      <c r="M935" s="113">
        <f t="shared" si="420"/>
        <v>0</v>
      </c>
      <c r="N935" s="113">
        <f t="shared" si="420"/>
        <v>-667577.86198048003</v>
      </c>
      <c r="O935" s="113">
        <f t="shared" si="420"/>
        <v>-6320101.6223229645</v>
      </c>
      <c r="P935" s="113">
        <f t="shared" si="420"/>
        <v>64410.623003745925</v>
      </c>
      <c r="Q935" s="113">
        <f t="shared" si="420"/>
        <v>249150.9280604673</v>
      </c>
      <c r="R935" s="113">
        <f t="shared" si="420"/>
        <v>75511.951076200072</v>
      </c>
      <c r="S935" s="113">
        <f t="shared" si="420"/>
        <v>-512967.49207330943</v>
      </c>
      <c r="T935" s="113">
        <f t="shared" si="420"/>
        <v>-15108.274132650477</v>
      </c>
      <c r="U935" s="113">
        <f t="shared" si="420"/>
        <v>-13789.200819680455</v>
      </c>
      <c r="V935" s="113">
        <f t="shared" si="420"/>
        <v>0</v>
      </c>
      <c r="W935" s="113">
        <f t="shared" si="420"/>
        <v>0</v>
      </c>
      <c r="X935" s="113">
        <f t="shared" si="420"/>
        <v>0</v>
      </c>
      <c r="Y935" s="113">
        <f t="shared" si="420"/>
        <v>0</v>
      </c>
      <c r="Z935" s="113">
        <f>(Z923+Z924)*$E$935</f>
        <v>0</v>
      </c>
      <c r="AA935" s="81">
        <f>ROUND(SUM(G935:Z935),2)</f>
        <v>0</v>
      </c>
      <c r="AB935" s="94" t="str">
        <f>IF(ABS(F935-AA935)&lt;0.01,"ok","err")</f>
        <v>ok</v>
      </c>
    </row>
    <row r="936" spans="1:28" s="61" customFormat="1" hidden="1">
      <c r="A936" s="69"/>
      <c r="F936" s="80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81"/>
      <c r="AB936" s="94"/>
    </row>
    <row r="937" spans="1:28" s="61" customFormat="1" hidden="1">
      <c r="A937" s="61" t="s">
        <v>137</v>
      </c>
      <c r="F937" s="81">
        <f t="shared" ref="F937:Z937" si="421">SUM(F931:F936)</f>
        <v>900080123.45816255</v>
      </c>
      <c r="G937" s="81">
        <f t="shared" si="421"/>
        <v>400228864.24818599</v>
      </c>
      <c r="H937" s="81">
        <f t="shared" si="421"/>
        <v>110403263.01051794</v>
      </c>
      <c r="I937" s="81">
        <f t="shared" si="421"/>
        <v>0</v>
      </c>
      <c r="J937" s="81">
        <f t="shared" si="421"/>
        <v>10317743.117556849</v>
      </c>
      <c r="K937" s="81">
        <f t="shared" si="421"/>
        <v>123779756.23024324</v>
      </c>
      <c r="L937" s="81">
        <f t="shared" si="421"/>
        <v>0</v>
      </c>
      <c r="M937" s="81">
        <f t="shared" si="421"/>
        <v>0</v>
      </c>
      <c r="N937" s="81">
        <f t="shared" si="421"/>
        <v>110918562.5415113</v>
      </c>
      <c r="O937" s="81">
        <f>SUM(O931:O936)</f>
        <v>57272452.776536547</v>
      </c>
      <c r="P937" s="81">
        <f t="shared" si="421"/>
        <v>62970440.401285969</v>
      </c>
      <c r="Q937" s="81">
        <f t="shared" si="421"/>
        <v>6693100.3351404676</v>
      </c>
      <c r="R937" s="81">
        <f t="shared" si="421"/>
        <v>3378585.2286281791</v>
      </c>
      <c r="S937" s="81">
        <f t="shared" si="421"/>
        <v>13717966.169610174</v>
      </c>
      <c r="T937" s="81">
        <f t="shared" si="421"/>
        <v>173509.59652795031</v>
      </c>
      <c r="U937" s="81">
        <f t="shared" si="421"/>
        <v>225879.80241773414</v>
      </c>
      <c r="V937" s="81">
        <f t="shared" si="421"/>
        <v>0</v>
      </c>
      <c r="W937" s="81">
        <f t="shared" si="421"/>
        <v>0</v>
      </c>
      <c r="X937" s="81">
        <f t="shared" si="421"/>
        <v>0</v>
      </c>
      <c r="Y937" s="81">
        <f t="shared" si="421"/>
        <v>0</v>
      </c>
      <c r="Z937" s="81">
        <f t="shared" si="421"/>
        <v>0</v>
      </c>
      <c r="AA937" s="81">
        <f>ROUND(SUM(G937:Z937),2)</f>
        <v>900080123.46000004</v>
      </c>
      <c r="AB937" s="94" t="str">
        <f>IF(ABS(F937-AA937)&lt;0.01,"ok","err")</f>
        <v>ok</v>
      </c>
    </row>
    <row r="938" spans="1:28" s="61" customFormat="1" hidden="1"/>
    <row r="939" spans="1:28" s="61" customFormat="1" hidden="1"/>
    <row r="940" spans="1:28" s="61" customFormat="1" ht="15" hidden="1">
      <c r="A940" s="66" t="s">
        <v>903</v>
      </c>
      <c r="F940" s="81">
        <f t="shared" ref="F940:Z940" si="422">F926-F937</f>
        <v>117099138.00308633</v>
      </c>
      <c r="G940" s="81">
        <f t="shared" si="422"/>
        <v>60311818.67258811</v>
      </c>
      <c r="H940" s="81">
        <f t="shared" si="422"/>
        <v>13658171.177452892</v>
      </c>
      <c r="I940" s="81">
        <f t="shared" si="422"/>
        <v>0</v>
      </c>
      <c r="J940" s="81">
        <f t="shared" si="422"/>
        <v>1069688.8820030186</v>
      </c>
      <c r="K940" s="81">
        <f t="shared" si="422"/>
        <v>13560528.646191686</v>
      </c>
      <c r="L940" s="81">
        <f t="shared" si="422"/>
        <v>0</v>
      </c>
      <c r="M940" s="81">
        <f t="shared" si="422"/>
        <v>0</v>
      </c>
      <c r="N940" s="81">
        <f t="shared" si="422"/>
        <v>11138341.691963702</v>
      </c>
      <c r="O940" s="81">
        <f>O926-O937</f>
        <v>7068228.6489049643</v>
      </c>
      <c r="P940" s="81">
        <f t="shared" si="422"/>
        <v>5561622.0786249861</v>
      </c>
      <c r="Q940" s="81">
        <f t="shared" si="422"/>
        <v>710132.7208223315</v>
      </c>
      <c r="R940" s="81">
        <f t="shared" si="422"/>
        <v>325977.74263645336</v>
      </c>
      <c r="S940" s="81">
        <f t="shared" si="422"/>
        <v>3665603.0250122491</v>
      </c>
      <c r="T940" s="81">
        <f t="shared" si="422"/>
        <v>9340.2377533015679</v>
      </c>
      <c r="U940" s="81">
        <f t="shared" si="422"/>
        <v>19684.479132723995</v>
      </c>
      <c r="V940" s="81">
        <f t="shared" si="422"/>
        <v>0</v>
      </c>
      <c r="W940" s="81">
        <f t="shared" si="422"/>
        <v>0</v>
      </c>
      <c r="X940" s="81">
        <f t="shared" si="422"/>
        <v>0</v>
      </c>
      <c r="Y940" s="81">
        <f t="shared" si="422"/>
        <v>0</v>
      </c>
      <c r="Z940" s="81">
        <f t="shared" si="422"/>
        <v>0</v>
      </c>
      <c r="AA940" s="81">
        <f>ROUND(SUM(G940:Z940),2)</f>
        <v>117099138</v>
      </c>
      <c r="AB940" s="94" t="str">
        <f>IF(ABS(F940-AA940)&lt;0.01,"ok","err")</f>
        <v>ok</v>
      </c>
    </row>
    <row r="941" spans="1:28" s="61" customFormat="1" hidden="1"/>
    <row r="942" spans="1:28" s="61" customFormat="1" ht="15" hidden="1">
      <c r="A942" s="66" t="s">
        <v>1111</v>
      </c>
      <c r="F942" s="81">
        <f>F911</f>
        <v>2380933927.241509</v>
      </c>
      <c r="G942" s="81">
        <f t="shared" ref="G942:W942" si="423">G911</f>
        <v>1226298141.3869851</v>
      </c>
      <c r="H942" s="81">
        <f t="shared" si="423"/>
        <v>277706597.11954999</v>
      </c>
      <c r="I942" s="81">
        <f t="shared" si="423"/>
        <v>0</v>
      </c>
      <c r="J942" s="81">
        <f t="shared" si="423"/>
        <v>21749592.64590745</v>
      </c>
      <c r="K942" s="81">
        <f t="shared" si="423"/>
        <v>275721267.25815135</v>
      </c>
      <c r="L942" s="81">
        <f t="shared" si="423"/>
        <v>0</v>
      </c>
      <c r="M942" s="81">
        <f t="shared" si="423"/>
        <v>0</v>
      </c>
      <c r="N942" s="81">
        <f t="shared" si="423"/>
        <v>226471826.17950612</v>
      </c>
      <c r="O942" s="81">
        <f>O911</f>
        <v>143715706.90157166</v>
      </c>
      <c r="P942" s="81">
        <f t="shared" si="423"/>
        <v>113082426.76512812</v>
      </c>
      <c r="Q942" s="81">
        <f t="shared" si="423"/>
        <v>14438868.779765479</v>
      </c>
      <c r="R942" s="81">
        <f t="shared" si="423"/>
        <v>6627986.1679961868</v>
      </c>
      <c r="S942" s="81">
        <f t="shared" si="423"/>
        <v>74531365.088449582</v>
      </c>
      <c r="T942" s="81">
        <f t="shared" si="423"/>
        <v>189911.6367086453</v>
      </c>
      <c r="U942" s="81">
        <f t="shared" si="423"/>
        <v>400237.31178913353</v>
      </c>
      <c r="V942" s="81">
        <f t="shared" si="423"/>
        <v>0</v>
      </c>
      <c r="W942" s="81">
        <f t="shared" si="423"/>
        <v>0</v>
      </c>
      <c r="X942" s="81">
        <f>X788</f>
        <v>0</v>
      </c>
      <c r="Y942" s="81">
        <f>Y788</f>
        <v>0</v>
      </c>
      <c r="Z942" s="81">
        <f>Z788</f>
        <v>0</v>
      </c>
      <c r="AA942" s="81">
        <f>ROUND(SUM(G942:Z942),2)</f>
        <v>2380933927.2399998</v>
      </c>
      <c r="AB942" s="94" t="str">
        <f>IF(ABS(F942-AA942)&lt;0.01,"ok","err")</f>
        <v>ok</v>
      </c>
    </row>
    <row r="943" spans="1:28" s="61" customFormat="1" ht="15" hidden="1" thickBot="1"/>
    <row r="944" spans="1:28" s="61" customFormat="1" ht="15.75" hidden="1" thickBot="1">
      <c r="A944" s="295" t="s">
        <v>1129</v>
      </c>
      <c r="B944" s="151"/>
      <c r="C944" s="151"/>
      <c r="D944" s="151"/>
      <c r="E944" s="151"/>
      <c r="F944" s="152">
        <f t="shared" ref="F944:P944" si="424">F940/F942</f>
        <v>4.9182019149416084E-2</v>
      </c>
      <c r="G944" s="152">
        <f t="shared" si="424"/>
        <v>4.9182019149416133E-2</v>
      </c>
      <c r="H944" s="152">
        <f t="shared" si="424"/>
        <v>4.9182019149416112E-2</v>
      </c>
      <c r="I944" s="152" t="e">
        <f t="shared" si="424"/>
        <v>#DIV/0!</v>
      </c>
      <c r="J944" s="152">
        <f t="shared" si="424"/>
        <v>4.9182019149416042E-2</v>
      </c>
      <c r="K944" s="152">
        <f t="shared" si="424"/>
        <v>4.9182019149416147E-2</v>
      </c>
      <c r="L944" s="152" t="e">
        <f t="shared" si="424"/>
        <v>#DIV/0!</v>
      </c>
      <c r="M944" s="152" t="e">
        <f t="shared" si="424"/>
        <v>#DIV/0!</v>
      </c>
      <c r="N944" s="152">
        <f t="shared" si="424"/>
        <v>4.9182019149416091E-2</v>
      </c>
      <c r="O944" s="152">
        <f>O940/O942</f>
        <v>4.918201914941607E-2</v>
      </c>
      <c r="P944" s="152">
        <f t="shared" si="424"/>
        <v>4.9182019149416202E-2</v>
      </c>
      <c r="Q944" s="152">
        <f>Q940/Q942</f>
        <v>4.9182019149416056E-2</v>
      </c>
      <c r="R944" s="152">
        <f t="shared" ref="R944:Z944" si="425">R940/R942</f>
        <v>4.9182019149416077E-2</v>
      </c>
      <c r="S944" s="152">
        <f t="shared" si="425"/>
        <v>4.9182019149416091E-2</v>
      </c>
      <c r="T944" s="152">
        <f t="shared" si="425"/>
        <v>4.9182019149416216E-2</v>
      </c>
      <c r="U944" s="152">
        <f t="shared" si="425"/>
        <v>4.9182019149416119E-2</v>
      </c>
      <c r="V944" s="152" t="e">
        <f t="shared" si="425"/>
        <v>#DIV/0!</v>
      </c>
      <c r="W944" s="152" t="e">
        <f t="shared" si="425"/>
        <v>#DIV/0!</v>
      </c>
      <c r="X944" s="152" t="e">
        <f t="shared" si="425"/>
        <v>#DIV/0!</v>
      </c>
      <c r="Y944" s="152" t="e">
        <f t="shared" si="425"/>
        <v>#DIV/0!</v>
      </c>
      <c r="Z944" s="152" t="e">
        <f t="shared" si="425"/>
        <v>#DIV/0!</v>
      </c>
      <c r="AA944" s="140"/>
      <c r="AB944" s="140"/>
    </row>
    <row r="945" spans="1:28" s="61" customFormat="1" hidden="1"/>
    <row r="946" spans="1:28" s="61" customFormat="1" hidden="1"/>
    <row r="947" spans="1:28" s="61" customFormat="1" hidden="1"/>
    <row r="948" spans="1:28" s="61" customFormat="1" ht="15" hidden="1">
      <c r="A948" s="66" t="s">
        <v>906</v>
      </c>
      <c r="B948" s="66"/>
      <c r="F948" s="77">
        <f>F926</f>
        <v>1017179261.4612489</v>
      </c>
      <c r="G948" s="77">
        <f t="shared" ref="G948:U948" si="426">G926</f>
        <v>460540682.9207741</v>
      </c>
      <c r="H948" s="77">
        <f t="shared" si="426"/>
        <v>124061434.18797083</v>
      </c>
      <c r="I948" s="77">
        <f t="shared" si="426"/>
        <v>0</v>
      </c>
      <c r="J948" s="77">
        <f t="shared" si="426"/>
        <v>11387431.999559868</v>
      </c>
      <c r="K948" s="77">
        <f t="shared" si="426"/>
        <v>137340284.87643492</v>
      </c>
      <c r="L948" s="77">
        <f t="shared" si="426"/>
        <v>0</v>
      </c>
      <c r="M948" s="77">
        <f t="shared" si="426"/>
        <v>0</v>
      </c>
      <c r="N948" s="77">
        <f t="shared" si="426"/>
        <v>122056904.233475</v>
      </c>
      <c r="O948" s="77">
        <f t="shared" si="426"/>
        <v>64340681.425441511</v>
      </c>
      <c r="P948" s="77">
        <f t="shared" si="426"/>
        <v>68532062.479910955</v>
      </c>
      <c r="Q948" s="77">
        <f t="shared" si="426"/>
        <v>7403233.0559627991</v>
      </c>
      <c r="R948" s="77">
        <f t="shared" si="426"/>
        <v>3704562.9712646324</v>
      </c>
      <c r="S948" s="77">
        <f t="shared" si="426"/>
        <v>17383569.194622423</v>
      </c>
      <c r="T948" s="77">
        <f t="shared" si="426"/>
        <v>182849.83428125188</v>
      </c>
      <c r="U948" s="77">
        <f t="shared" si="426"/>
        <v>245564.28155045814</v>
      </c>
      <c r="V948" s="61">
        <v>1</v>
      </c>
      <c r="W948" s="61">
        <v>1</v>
      </c>
      <c r="Z948" s="81">
        <f>ROUND(SUM(G949:Z949),2)</f>
        <v>0</v>
      </c>
      <c r="AA948" s="81"/>
      <c r="AB948" s="94"/>
    </row>
    <row r="949" spans="1:28" s="61" customFormat="1" ht="15" hidden="1">
      <c r="A949" s="66"/>
      <c r="B949" s="66"/>
    </row>
    <row r="950" spans="1:28" s="61" customFormat="1" ht="15" hidden="1">
      <c r="A950" s="66" t="s">
        <v>907</v>
      </c>
      <c r="B950" s="66"/>
      <c r="F950" s="81">
        <f>F923</f>
        <v>22391</v>
      </c>
      <c r="G950" s="81">
        <f>G923</f>
        <v>57583429.907435812</v>
      </c>
      <c r="H950" s="81">
        <f t="shared" ref="H950:Z950" si="427">H923</f>
        <v>-16868433.948995508</v>
      </c>
      <c r="I950" s="81">
        <f t="shared" si="427"/>
        <v>0</v>
      </c>
      <c r="J950" s="81">
        <f t="shared" si="427"/>
        <v>-747754.05762893474</v>
      </c>
      <c r="K950" s="81">
        <f t="shared" si="427"/>
        <v>-21464912.551786043</v>
      </c>
      <c r="L950" s="81">
        <f t="shared" si="427"/>
        <v>0</v>
      </c>
      <c r="M950" s="81">
        <f t="shared" si="427"/>
        <v>0</v>
      </c>
      <c r="N950" s="81">
        <f t="shared" si="427"/>
        <v>-1727728.8896812673</v>
      </c>
      <c r="O950" s="81">
        <f>O923</f>
        <v>-16356780.984972937</v>
      </c>
      <c r="P950" s="81">
        <f t="shared" si="427"/>
        <v>166698.42985832217</v>
      </c>
      <c r="Q950" s="81">
        <f t="shared" si="427"/>
        <v>644816.77569279191</v>
      </c>
      <c r="R950" s="81">
        <f t="shared" si="427"/>
        <v>195429.22516190709</v>
      </c>
      <c r="S950" s="81">
        <f t="shared" si="427"/>
        <v>-1327584.5959680984</v>
      </c>
      <c r="T950" s="81">
        <f t="shared" si="427"/>
        <v>-39101.072945368105</v>
      </c>
      <c r="U950" s="81">
        <f t="shared" si="427"/>
        <v>-35687.236171036231</v>
      </c>
      <c r="V950" s="81">
        <f t="shared" si="427"/>
        <v>0</v>
      </c>
      <c r="W950" s="81">
        <f t="shared" si="427"/>
        <v>0</v>
      </c>
      <c r="X950" s="81">
        <f t="shared" si="427"/>
        <v>0</v>
      </c>
      <c r="Y950" s="81">
        <f t="shared" si="427"/>
        <v>0</v>
      </c>
      <c r="Z950" s="81">
        <f t="shared" si="427"/>
        <v>0</v>
      </c>
      <c r="AA950" s="81"/>
      <c r="AB950" s="94"/>
    </row>
    <row r="951" spans="1:28" s="61" customFormat="1" ht="15" hidden="1">
      <c r="A951" s="66"/>
      <c r="B951" s="66"/>
    </row>
    <row r="952" spans="1:28" s="61" customFormat="1" ht="15" hidden="1">
      <c r="A952" s="66" t="s">
        <v>908</v>
      </c>
      <c r="B952" s="66"/>
      <c r="F952" s="153">
        <f>F950/F948</f>
        <v>2.2012835739330519E-5</v>
      </c>
      <c r="G952" s="153">
        <f>G950/G926</f>
        <v>0.12503440421862094</v>
      </c>
      <c r="H952" s="153">
        <f t="shared" ref="H952:Z952" si="428">H950/H948</f>
        <v>-0.13596839388006282</v>
      </c>
      <c r="I952" s="153" t="e">
        <f t="shared" si="428"/>
        <v>#DIV/0!</v>
      </c>
      <c r="J952" s="153">
        <f t="shared" si="428"/>
        <v>-6.5664853819354177E-2</v>
      </c>
      <c r="K952" s="153">
        <f t="shared" si="428"/>
        <v>-0.15628999583842446</v>
      </c>
      <c r="L952" s="153" t="e">
        <f t="shared" si="428"/>
        <v>#DIV/0!</v>
      </c>
      <c r="M952" s="153" t="e">
        <f t="shared" si="428"/>
        <v>#DIV/0!</v>
      </c>
      <c r="N952" s="153">
        <f t="shared" si="428"/>
        <v>-1.415510986888872E-2</v>
      </c>
      <c r="O952" s="153">
        <f>O950/O948</f>
        <v>-0.25422144470022912</v>
      </c>
      <c r="P952" s="153">
        <f t="shared" si="428"/>
        <v>2.4324151911696377E-3</v>
      </c>
      <c r="Q952" s="153">
        <f t="shared" si="428"/>
        <v>8.7099348462822732E-2</v>
      </c>
      <c r="R952" s="153">
        <f t="shared" si="428"/>
        <v>5.2753651828246047E-2</v>
      </c>
      <c r="S952" s="153">
        <f t="shared" si="428"/>
        <v>-7.6370081489294181E-2</v>
      </c>
      <c r="T952" s="153">
        <f t="shared" si="428"/>
        <v>-0.2138425396942088</v>
      </c>
      <c r="U952" s="153">
        <f t="shared" si="428"/>
        <v>-0.14532747167345378</v>
      </c>
      <c r="V952" s="153">
        <f>V950/V948</f>
        <v>0</v>
      </c>
      <c r="W952" s="153">
        <f t="shared" si="428"/>
        <v>0</v>
      </c>
      <c r="X952" s="153" t="e">
        <f t="shared" si="428"/>
        <v>#DIV/0!</v>
      </c>
      <c r="Y952" s="153" t="e">
        <f t="shared" si="428"/>
        <v>#DIV/0!</v>
      </c>
      <c r="Z952" s="153" t="e">
        <f t="shared" si="428"/>
        <v>#DIV/0!</v>
      </c>
    </row>
    <row r="953" spans="1:28" s="61" customFormat="1" ht="15" hidden="1">
      <c r="A953" s="66"/>
      <c r="B953" s="66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8" s="61" customFormat="1" hidden="1">
      <c r="A954" s="33" t="s">
        <v>1326</v>
      </c>
      <c r="B954" s="256"/>
      <c r="C954" s="256"/>
      <c r="D954" s="256"/>
      <c r="E954" s="256"/>
      <c r="F954" s="258">
        <f>F923-F891</f>
        <v>22391</v>
      </c>
      <c r="G954" s="258">
        <f>G923-G891</f>
        <v>57583429.907435812</v>
      </c>
      <c r="H954" s="258">
        <f t="shared" ref="H954:U954" si="429">H923-H891</f>
        <v>-16868433.948995508</v>
      </c>
      <c r="I954" s="258">
        <f t="shared" si="429"/>
        <v>0</v>
      </c>
      <c r="J954" s="258">
        <f t="shared" si="429"/>
        <v>-747754.05762893474</v>
      </c>
      <c r="K954" s="258">
        <f t="shared" si="429"/>
        <v>-21464912.551786043</v>
      </c>
      <c r="L954" s="258">
        <f t="shared" si="429"/>
        <v>0</v>
      </c>
      <c r="M954" s="258">
        <f t="shared" si="429"/>
        <v>0</v>
      </c>
      <c r="N954" s="258">
        <f t="shared" si="429"/>
        <v>-1727728.8896812673</v>
      </c>
      <c r="O954" s="258">
        <f t="shared" si="429"/>
        <v>-16356780.984972937</v>
      </c>
      <c r="P954" s="258">
        <f t="shared" si="429"/>
        <v>166698.42985832217</v>
      </c>
      <c r="Q954" s="258">
        <f t="shared" si="429"/>
        <v>644816.77569279191</v>
      </c>
      <c r="R954" s="258">
        <f t="shared" si="429"/>
        <v>195429.22516190709</v>
      </c>
      <c r="S954" s="258">
        <f t="shared" si="429"/>
        <v>-1327584.5959680984</v>
      </c>
      <c r="T954" s="258">
        <f t="shared" si="429"/>
        <v>-39101.072945368105</v>
      </c>
      <c r="U954" s="258">
        <f t="shared" si="429"/>
        <v>-35687.236171036231</v>
      </c>
      <c r="V954" s="258">
        <f>V922-V889</f>
        <v>0</v>
      </c>
      <c r="W954" s="257" t="str">
        <f>IF(ABS(F954-V954)&lt;0.01,"ok","err")</f>
        <v>err</v>
      </c>
      <c r="X954" s="153"/>
      <c r="Y954" s="153"/>
      <c r="Z954" s="153"/>
    </row>
    <row r="955" spans="1:28" s="61" customFormat="1" ht="15" hidden="1">
      <c r="A955" s="66"/>
      <c r="B955" s="66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8" s="155" customFormat="1" ht="15">
      <c r="A956" s="66"/>
      <c r="B956" s="66"/>
      <c r="C956" s="61"/>
      <c r="D956" s="61"/>
      <c r="E956" s="61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9"/>
      <c r="Y956" s="159"/>
      <c r="Z956" s="159"/>
    </row>
    <row r="957" spans="1:28" s="240" customFormat="1" ht="15">
      <c r="A957" s="66" t="s">
        <v>1258</v>
      </c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8" s="155" customForma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</row>
    <row r="959" spans="1:28" s="155" customFormat="1" ht="15">
      <c r="A959" s="66" t="s">
        <v>1121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</row>
    <row r="960" spans="1:28" s="155" customForma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</row>
    <row r="961" spans="1:28" s="155" customFormat="1">
      <c r="A961" s="61" t="s">
        <v>134</v>
      </c>
      <c r="B961" s="61"/>
      <c r="C961" s="61"/>
      <c r="D961" s="61"/>
      <c r="E961" s="61"/>
      <c r="F961" s="81">
        <f>F888</f>
        <v>1017201652.4612489</v>
      </c>
      <c r="G961" s="81">
        <f t="shared" ref="G961:Z961" si="430">G888</f>
        <v>402998921.72377723</v>
      </c>
      <c r="H961" s="81">
        <f t="shared" si="430"/>
        <v>140932563.72170484</v>
      </c>
      <c r="I961" s="81">
        <f t="shared" si="430"/>
        <v>0</v>
      </c>
      <c r="J961" s="81">
        <f t="shared" si="430"/>
        <v>12135196.109402934</v>
      </c>
      <c r="K961" s="81">
        <f t="shared" si="430"/>
        <v>158805591.72166637</v>
      </c>
      <c r="L961" s="81">
        <f t="shared" si="430"/>
        <v>0</v>
      </c>
      <c r="M961" s="81">
        <f t="shared" si="430"/>
        <v>0</v>
      </c>
      <c r="N961" s="81">
        <f t="shared" si="430"/>
        <v>123784634.31267761</v>
      </c>
      <c r="O961" s="81">
        <f>O888</f>
        <v>80697465.522337571</v>
      </c>
      <c r="P961" s="81">
        <f t="shared" si="430"/>
        <v>68365364.196628705</v>
      </c>
      <c r="Q961" s="81">
        <f t="shared" si="430"/>
        <v>6758416.2802700074</v>
      </c>
      <c r="R961" s="81">
        <f t="shared" si="430"/>
        <v>3509133.7461027252</v>
      </c>
      <c r="S961" s="81">
        <f t="shared" si="430"/>
        <v>18711162.7017329</v>
      </c>
      <c r="T961" s="81">
        <f t="shared" si="430"/>
        <v>221950.90722661998</v>
      </c>
      <c r="U961" s="81">
        <f t="shared" si="430"/>
        <v>281251.51772149437</v>
      </c>
      <c r="V961" s="81">
        <f t="shared" si="430"/>
        <v>0</v>
      </c>
      <c r="W961" s="81">
        <f t="shared" si="430"/>
        <v>0</v>
      </c>
      <c r="X961" s="81">
        <f t="shared" si="430"/>
        <v>0</v>
      </c>
      <c r="Y961" s="81">
        <f t="shared" si="430"/>
        <v>0</v>
      </c>
      <c r="Z961" s="81">
        <f t="shared" si="430"/>
        <v>0</v>
      </c>
      <c r="AA961" s="156">
        <f>ROUND(SUM(G961:Z961),2)</f>
        <v>1017201652.46</v>
      </c>
      <c r="AB961" s="157" t="str">
        <f>IF(ABS(F961-AA961)&lt;0.01,"ok","err")</f>
        <v>ok</v>
      </c>
    </row>
    <row r="962" spans="1:28" s="155" customFormat="1">
      <c r="A962" s="61"/>
      <c r="B962" s="61"/>
      <c r="C962" s="61"/>
      <c r="D962" s="61"/>
      <c r="E962" s="6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156"/>
      <c r="Y962" s="156"/>
      <c r="Z962" s="156"/>
      <c r="AA962" s="156"/>
      <c r="AB962" s="157"/>
    </row>
    <row r="963" spans="1:28" s="155" customFormat="1">
      <c r="A963" s="61" t="s">
        <v>135</v>
      </c>
      <c r="B963" s="61"/>
      <c r="C963" s="61"/>
      <c r="D963" s="61"/>
      <c r="E963" s="6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156"/>
      <c r="Y963" s="156"/>
      <c r="Z963" s="156"/>
      <c r="AA963" s="156"/>
      <c r="AB963" s="157"/>
    </row>
    <row r="964" spans="1:28" s="61" customFormat="1">
      <c r="A964" s="61" t="s">
        <v>1261</v>
      </c>
      <c r="F964" s="77">
        <v>91719847</v>
      </c>
      <c r="G964" s="77">
        <f>42126429+5306</f>
        <v>42131735</v>
      </c>
      <c r="H964" s="77">
        <v>12180705</v>
      </c>
      <c r="I964" s="77">
        <v>0</v>
      </c>
      <c r="J964" s="77">
        <v>1034517</v>
      </c>
      <c r="K964" s="77">
        <v>11631167</v>
      </c>
      <c r="L964" s="77">
        <v>0</v>
      </c>
      <c r="M964" s="77">
        <v>0</v>
      </c>
      <c r="N964" s="77">
        <v>10385231</v>
      </c>
      <c r="O964" s="77">
        <v>5698088</v>
      </c>
      <c r="P964" s="77">
        <v>5824465</v>
      </c>
      <c r="Q964" s="77">
        <v>604641</v>
      </c>
      <c r="R964" s="77">
        <v>288490</v>
      </c>
      <c r="S964" s="77">
        <v>1920228</v>
      </c>
      <c r="T964" s="77">
        <v>0</v>
      </c>
      <c r="U964" s="77">
        <v>20580</v>
      </c>
      <c r="V964" s="77"/>
      <c r="W964" s="77"/>
      <c r="X964" s="77"/>
      <c r="Y964" s="77"/>
      <c r="Z964" s="77"/>
      <c r="AA964" s="81">
        <f>SUM(G964:Z964)</f>
        <v>91719847</v>
      </c>
      <c r="AB964" s="94" t="str">
        <f>IF(ABS(F964-AA964)&lt;0.01,"ok","err")</f>
        <v>ok</v>
      </c>
    </row>
    <row r="965" spans="1:28" s="61" customFormat="1">
      <c r="A965" s="61" t="s">
        <v>1391</v>
      </c>
      <c r="E965" s="61" t="s">
        <v>701</v>
      </c>
      <c r="F965" s="77">
        <v>1920271</v>
      </c>
      <c r="G965" s="77">
        <f t="shared" ref="G965:Z965" si="431">IF(VLOOKUP($E965,$D$6:$AN$1131,3,)=0,0,(VLOOKUP($E965,$D$6:$AN$1131,G$2,)/VLOOKUP($E965,$D$6:$AN$1131,3,))*$F965)</f>
        <v>866216.74902508652</v>
      </c>
      <c r="H965" s="77">
        <f t="shared" si="431"/>
        <v>218857.49172622379</v>
      </c>
      <c r="I965" s="77">
        <f t="shared" si="431"/>
        <v>0</v>
      </c>
      <c r="J965" s="77">
        <f t="shared" si="431"/>
        <v>22142.033925456722</v>
      </c>
      <c r="K965" s="77">
        <f t="shared" si="431"/>
        <v>280369.79519581713</v>
      </c>
      <c r="L965" s="77">
        <f t="shared" si="431"/>
        <v>0</v>
      </c>
      <c r="M965" s="77">
        <f t="shared" si="431"/>
        <v>0</v>
      </c>
      <c r="N965" s="77">
        <f t="shared" si="431"/>
        <v>231600.3366338893</v>
      </c>
      <c r="O965" s="77">
        <f t="shared" si="431"/>
        <v>147565.57367599741</v>
      </c>
      <c r="P965" s="77">
        <f t="shared" si="431"/>
        <v>131264.419331129</v>
      </c>
      <c r="Q965" s="77">
        <f t="shared" si="431"/>
        <v>15003.492492076752</v>
      </c>
      <c r="R965" s="77">
        <f t="shared" si="431"/>
        <v>6481.4463472038033</v>
      </c>
      <c r="S965" s="77">
        <f t="shared" si="431"/>
        <v>462.62094486076558</v>
      </c>
      <c r="T965" s="77">
        <f t="shared" si="431"/>
        <v>14.966726973225276</v>
      </c>
      <c r="U965" s="77">
        <f t="shared" si="431"/>
        <v>292.07397528559022</v>
      </c>
      <c r="V965" s="77">
        <f t="shared" si="431"/>
        <v>0</v>
      </c>
      <c r="W965" s="77">
        <f t="shared" si="431"/>
        <v>0</v>
      </c>
      <c r="X965" s="80">
        <f t="shared" si="431"/>
        <v>0</v>
      </c>
      <c r="Y965" s="80">
        <f t="shared" si="431"/>
        <v>0</v>
      </c>
      <c r="Z965" s="80">
        <f t="shared" si="431"/>
        <v>0</v>
      </c>
      <c r="AA965" s="81">
        <f>SUM(G965:Z965)</f>
        <v>1920270.9999999998</v>
      </c>
      <c r="AB965" s="94" t="str">
        <f>IF(ABS(F965-AA965)&lt;0.01,"ok","err")</f>
        <v>ok</v>
      </c>
    </row>
    <row r="966" spans="1:28" s="61" customFormat="1">
      <c r="A966" s="61" t="s">
        <v>1396</v>
      </c>
      <c r="E966" s="61" t="s">
        <v>182</v>
      </c>
      <c r="F966" s="77">
        <v>-22391</v>
      </c>
      <c r="G966" s="77">
        <f t="shared" ref="G966:U966" si="432">G893</f>
        <v>-20834.355219506127</v>
      </c>
      <c r="H966" s="77">
        <f t="shared" si="432"/>
        <v>-1347.7923692579229</v>
      </c>
      <c r="I966" s="77">
        <f t="shared" si="432"/>
        <v>0</v>
      </c>
      <c r="J966" s="77">
        <f t="shared" si="432"/>
        <v>-5.0261070647315949</v>
      </c>
      <c r="K966" s="77">
        <f t="shared" si="432"/>
        <v>-197.14672271267796</v>
      </c>
      <c r="L966" s="77">
        <f t="shared" si="432"/>
        <v>0</v>
      </c>
      <c r="M966" s="77">
        <f t="shared" si="432"/>
        <v>0</v>
      </c>
      <c r="N966" s="77">
        <f t="shared" si="432"/>
        <v>-0.59476066757413615</v>
      </c>
      <c r="O966" s="77">
        <f>O893</f>
        <v>-1.5559615568764129</v>
      </c>
      <c r="P966" s="77">
        <f t="shared" si="432"/>
        <v>-7.3288044345628148E-2</v>
      </c>
      <c r="Q966" s="77">
        <f t="shared" si="432"/>
        <v>0</v>
      </c>
      <c r="R966" s="77">
        <f t="shared" si="432"/>
        <v>0</v>
      </c>
      <c r="S966" s="77">
        <f t="shared" si="432"/>
        <v>-4.4555711897395023</v>
      </c>
      <c r="T966" s="77">
        <f t="shared" si="432"/>
        <v>0</v>
      </c>
      <c r="U966" s="77">
        <f t="shared" si="432"/>
        <v>0</v>
      </c>
      <c r="V966" s="77">
        <f>IF(VLOOKUP($E966,$D$6:$AN$1131,3,)=0,0,(VLOOKUP($E966,$D$6:$AN$1131,V$2,)/VLOOKUP($E966,$D$6:$AN$1131,3,))*$F966)</f>
        <v>0</v>
      </c>
      <c r="W966" s="77">
        <f>IF(VLOOKUP($E966,$D$6:$AN$1131,3,)=0,0,(VLOOKUP($E966,$D$6:$AN$1131,W$2,)/VLOOKUP($E966,$D$6:$AN$1131,3,))*$F966)</f>
        <v>0</v>
      </c>
      <c r="X966" s="80">
        <f>IF(VLOOKUP($E966,$D$6:$AN$1131,3,)=0,0,(VLOOKUP($E966,$D$6:$AN$1131,X$2,)/VLOOKUP($E966,$D$6:$AN$1131,3,))*$F966)</f>
        <v>0</v>
      </c>
      <c r="Y966" s="80">
        <f>IF(VLOOKUP($E966,$D$6:$AN$1131,3,)=0,0,(VLOOKUP($E966,$D$6:$AN$1131,Y$2,)/VLOOKUP($E966,$D$6:$AN$1131,3,))*$F966)</f>
        <v>0</v>
      </c>
      <c r="Z966" s="80">
        <f>IF(VLOOKUP($E966,$D$6:$AN$1131,3,)=0,0,(VLOOKUP($E966,$D$6:$AN$1131,Z$2,)/VLOOKUP($E966,$D$6:$AN$1131,3,))*$F966)</f>
        <v>0</v>
      </c>
      <c r="AA966" s="81">
        <f>SUM(G966:Z966)</f>
        <v>-22391</v>
      </c>
      <c r="AB966" s="94" t="str">
        <f>IF(ABS(F966-AA966)&lt;0.01,"ok","err")</f>
        <v>ok</v>
      </c>
    </row>
    <row r="967" spans="1:28" s="155" customForma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5" customFormat="1">
      <c r="A968" s="61" t="s">
        <v>136</v>
      </c>
      <c r="B968" s="61"/>
      <c r="C968" s="61"/>
      <c r="D968" s="61"/>
      <c r="E968" s="61"/>
      <c r="F968" s="81">
        <f>SUM(F961:F966)</f>
        <v>1110819379.4612489</v>
      </c>
      <c r="G968" s="81">
        <f t="shared" ref="G968:P968" si="433">SUM(G961:G966)</f>
        <v>445976039.11758286</v>
      </c>
      <c r="H968" s="81">
        <f t="shared" si="433"/>
        <v>153330778.42106181</v>
      </c>
      <c r="I968" s="81">
        <f t="shared" si="433"/>
        <v>0</v>
      </c>
      <c r="J968" s="81">
        <f t="shared" si="433"/>
        <v>13191850.117221326</v>
      </c>
      <c r="K968" s="81">
        <f t="shared" si="433"/>
        <v>170716931.37013948</v>
      </c>
      <c r="L968" s="81">
        <f t="shared" si="433"/>
        <v>0</v>
      </c>
      <c r="M968" s="81">
        <f t="shared" si="433"/>
        <v>0</v>
      </c>
      <c r="N968" s="81">
        <f t="shared" si="433"/>
        <v>134401465.05455083</v>
      </c>
      <c r="O968" s="81">
        <f>SUM(O961:O966)</f>
        <v>86543117.540051997</v>
      </c>
      <c r="P968" s="81">
        <f t="shared" si="433"/>
        <v>74321093.5426718</v>
      </c>
      <c r="Q968" s="81">
        <f>SUM(Q961:Q966)</f>
        <v>7378060.7727620844</v>
      </c>
      <c r="R968" s="81">
        <f t="shared" ref="R968:Z968" si="434">SUM(R961:R966)</f>
        <v>3804105.1924499287</v>
      </c>
      <c r="S968" s="81">
        <f t="shared" si="434"/>
        <v>20631848.867106572</v>
      </c>
      <c r="T968" s="81">
        <f t="shared" si="434"/>
        <v>221965.8739535932</v>
      </c>
      <c r="U968" s="81">
        <f t="shared" si="434"/>
        <v>302123.59169677994</v>
      </c>
      <c r="V968" s="81">
        <f t="shared" si="434"/>
        <v>0</v>
      </c>
      <c r="W968" s="81">
        <f t="shared" si="434"/>
        <v>0</v>
      </c>
      <c r="X968" s="156">
        <f t="shared" si="434"/>
        <v>0</v>
      </c>
      <c r="Y968" s="156">
        <f t="shared" si="434"/>
        <v>0</v>
      </c>
      <c r="Z968" s="156">
        <f t="shared" si="434"/>
        <v>0</v>
      </c>
      <c r="AA968" s="156">
        <f>ROUND(SUM(G968:Z968),2)</f>
        <v>1110819379.46</v>
      </c>
      <c r="AB968" s="157" t="str">
        <f>IF(ABS(F968-AA968)&lt;0.01,"ok","err")</f>
        <v>ok</v>
      </c>
    </row>
    <row r="969" spans="1:28" s="155" customForma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</row>
    <row r="970" spans="1:28" s="155" customFormat="1">
      <c r="A970" s="61"/>
      <c r="B970" s="61"/>
      <c r="C970" s="61"/>
      <c r="D970" s="61"/>
      <c r="E970" s="153">
        <f>(F964+F965+F966)/F961</f>
        <v>9.2034580138048327E-2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</row>
    <row r="971" spans="1:28" s="155" customFormat="1" ht="15">
      <c r="A971" s="66" t="s">
        <v>1125</v>
      </c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</row>
    <row r="972" spans="1:28" s="155" customForma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</row>
    <row r="973" spans="1:28" s="155" customFormat="1">
      <c r="A973" s="61" t="s">
        <v>1128</v>
      </c>
      <c r="B973" s="61"/>
      <c r="C973" s="61"/>
      <c r="D973" s="61"/>
      <c r="E973" s="61"/>
      <c r="F973" s="81">
        <f>F900</f>
        <v>904148189.24269807</v>
      </c>
      <c r="G973" s="81">
        <f t="shared" ref="G973:Z973" si="435">G900</f>
        <v>378168963.44188541</v>
      </c>
      <c r="H973" s="81">
        <f t="shared" si="435"/>
        <v>117971699.86413284</v>
      </c>
      <c r="I973" s="81">
        <f t="shared" si="435"/>
        <v>0</v>
      </c>
      <c r="J973" s="81">
        <f t="shared" si="435"/>
        <v>10669508.461073833</v>
      </c>
      <c r="K973" s="81">
        <f t="shared" si="435"/>
        <v>133236163.65054744</v>
      </c>
      <c r="L973" s="81">
        <f t="shared" si="435"/>
        <v>0</v>
      </c>
      <c r="M973" s="81">
        <f t="shared" si="435"/>
        <v>0</v>
      </c>
      <c r="N973" s="81">
        <f t="shared" si="435"/>
        <v>112054489.60118364</v>
      </c>
      <c r="O973" s="81">
        <f>O900</f>
        <v>64353092.193645135</v>
      </c>
      <c r="P973" s="81">
        <f t="shared" si="435"/>
        <v>63118024.768144056</v>
      </c>
      <c r="Q973" s="81">
        <f t="shared" si="435"/>
        <v>6449329.3528903043</v>
      </c>
      <c r="R973" s="81">
        <f t="shared" si="435"/>
        <v>3309174.5246660276</v>
      </c>
      <c r="S973" s="81">
        <f t="shared" si="435"/>
        <v>14385795.735695209</v>
      </c>
      <c r="T973" s="81">
        <f t="shared" si="435"/>
        <v>190354.77665286657</v>
      </c>
      <c r="U973" s="81">
        <f t="shared" si="435"/>
        <v>241592.87218131183</v>
      </c>
      <c r="V973" s="81">
        <f t="shared" si="435"/>
        <v>0</v>
      </c>
      <c r="W973" s="81">
        <f t="shared" si="435"/>
        <v>0</v>
      </c>
      <c r="X973" s="81">
        <f t="shared" si="435"/>
        <v>0</v>
      </c>
      <c r="Y973" s="81">
        <f t="shared" si="435"/>
        <v>0</v>
      </c>
      <c r="Z973" s="81">
        <f t="shared" si="435"/>
        <v>0</v>
      </c>
      <c r="AA973" s="156">
        <f>ROUND(SUM(G973:Z973),2)</f>
        <v>904148189.24000001</v>
      </c>
      <c r="AB973" s="157" t="str">
        <f>IF(ABS(F973-AA973)&lt;0.01,"ok","err")</f>
        <v>ok</v>
      </c>
    </row>
    <row r="974" spans="1:28" s="155" customFormat="1">
      <c r="A974" s="61"/>
      <c r="B974" s="61"/>
      <c r="C974" s="61"/>
      <c r="D974" s="61"/>
      <c r="E974" s="6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156"/>
      <c r="AB974" s="157"/>
    </row>
    <row r="975" spans="1:28" s="61" customFormat="1">
      <c r="A975" s="61" t="s">
        <v>710</v>
      </c>
      <c r="F975" s="113">
        <f>F902</f>
        <v>-4059414.1199999996</v>
      </c>
      <c r="G975" s="113">
        <f t="shared" ref="G975:Z975" si="436">G902</f>
        <v>-173675.83888249958</v>
      </c>
      <c r="H975" s="113">
        <f t="shared" si="436"/>
        <v>-1049596.5578704323</v>
      </c>
      <c r="I975" s="113">
        <f t="shared" si="436"/>
        <v>0</v>
      </c>
      <c r="J975" s="113">
        <f t="shared" si="436"/>
        <v>-62836.567218411816</v>
      </c>
      <c r="K975" s="113">
        <f t="shared" si="436"/>
        <v>-1162421.7127423766</v>
      </c>
      <c r="L975" s="113">
        <f t="shared" si="436"/>
        <v>0</v>
      </c>
      <c r="M975" s="113">
        <f t="shared" si="436"/>
        <v>0</v>
      </c>
      <c r="N975" s="113">
        <f t="shared" si="436"/>
        <v>-468348.96788212797</v>
      </c>
      <c r="O975" s="113">
        <f>O902</f>
        <v>-760537.19357722509</v>
      </c>
      <c r="P975" s="113">
        <f t="shared" si="436"/>
        <v>-211994.96154404274</v>
      </c>
      <c r="Q975" s="113">
        <f t="shared" si="436"/>
        <v>-5379.9458103041516</v>
      </c>
      <c r="R975" s="113">
        <f t="shared" si="436"/>
        <v>-6101.2471140489515</v>
      </c>
      <c r="S975" s="113">
        <f t="shared" si="436"/>
        <v>-154860.35242237156</v>
      </c>
      <c r="T975" s="113">
        <f t="shared" si="436"/>
        <v>-1736.9059922657486</v>
      </c>
      <c r="U975" s="113">
        <f t="shared" si="436"/>
        <v>-1923.8689438972324</v>
      </c>
      <c r="V975" s="113">
        <f t="shared" si="436"/>
        <v>0</v>
      </c>
      <c r="W975" s="113">
        <f t="shared" si="436"/>
        <v>0</v>
      </c>
      <c r="X975" s="113">
        <f t="shared" si="436"/>
        <v>0</v>
      </c>
      <c r="Y975" s="113">
        <f t="shared" si="436"/>
        <v>0</v>
      </c>
      <c r="Z975" s="113">
        <f t="shared" si="436"/>
        <v>0</v>
      </c>
      <c r="AA975" s="81">
        <f>ROUND(SUM(G975:Z975),2)</f>
        <v>-4059414.12</v>
      </c>
      <c r="AB975" s="94" t="str">
        <f>IF(ABS(F975-AA975)&lt;0.01,"ok","err")</f>
        <v>ok</v>
      </c>
    </row>
    <row r="976" spans="1:28" s="61" customFormat="1">
      <c r="A976" s="61" t="s">
        <v>1347</v>
      </c>
      <c r="E976" s="61" t="s">
        <v>131</v>
      </c>
      <c r="F976" s="80">
        <v>211582.96518572024</v>
      </c>
      <c r="G976" s="77">
        <f t="shared" ref="G976:P977" si="437">IF(VLOOKUP($E976,$D$6:$AN$1131,3,)=0,0,(VLOOKUP($E976,$D$6:$AN$1131,G$2,)/VLOOKUP($E976,$D$6:$AN$1131,3,))*$F976)</f>
        <v>154044.44775001862</v>
      </c>
      <c r="H976" s="77">
        <f t="shared" si="437"/>
        <v>19138.514821427434</v>
      </c>
      <c r="I976" s="77">
        <f t="shared" si="437"/>
        <v>0</v>
      </c>
      <c r="J976" s="77">
        <f t="shared" si="437"/>
        <v>30.461194755239635</v>
      </c>
      <c r="K976" s="77">
        <f t="shared" si="437"/>
        <v>1194.8262618692952</v>
      </c>
      <c r="L976" s="77">
        <f t="shared" si="437"/>
        <v>0</v>
      </c>
      <c r="M976" s="77">
        <f t="shared" si="437"/>
        <v>0</v>
      </c>
      <c r="N976" s="77">
        <f t="shared" si="437"/>
        <v>44.634111759413628</v>
      </c>
      <c r="O976" s="77">
        <f t="shared" si="437"/>
        <v>116.76791322841859</v>
      </c>
      <c r="P976" s="77">
        <f t="shared" si="437"/>
        <v>5.499937941918267</v>
      </c>
      <c r="Q976" s="77">
        <f t="shared" ref="Q976:Z977" si="438">IF(VLOOKUP($E976,$D$6:$AN$1131,3,)=0,0,(VLOOKUP($E976,$D$6:$AN$1131,Q$2,)/VLOOKUP($E976,$D$6:$AN$1131,3,))*$F976)</f>
        <v>0.42307214937832827</v>
      </c>
      <c r="R976" s="77">
        <f t="shared" si="438"/>
        <v>0.42307214937832827</v>
      </c>
      <c r="S976" s="77">
        <f t="shared" si="438"/>
        <v>36554.279850586317</v>
      </c>
      <c r="T976" s="77">
        <f t="shared" si="438"/>
        <v>69.806904647424162</v>
      </c>
      <c r="U976" s="77">
        <f t="shared" si="438"/>
        <v>382.88029518738705</v>
      </c>
      <c r="V976" s="77">
        <f t="shared" si="438"/>
        <v>0</v>
      </c>
      <c r="W976" s="77">
        <f t="shared" si="438"/>
        <v>0</v>
      </c>
      <c r="X976" s="80">
        <f t="shared" si="438"/>
        <v>0</v>
      </c>
      <c r="Y976" s="80">
        <f t="shared" si="438"/>
        <v>0</v>
      </c>
      <c r="Z976" s="80">
        <f t="shared" si="438"/>
        <v>0</v>
      </c>
      <c r="AA976" s="81">
        <f>SUM(G976:Z976)</f>
        <v>211582.96518572021</v>
      </c>
      <c r="AB976" s="94" t="str">
        <f>IF(ABS(F976-AA976)&lt;0.01,"ok","err")</f>
        <v>ok</v>
      </c>
    </row>
    <row r="977" spans="1:28" s="61" customFormat="1">
      <c r="A977" s="61" t="s">
        <v>1348</v>
      </c>
      <c r="E977" s="61" t="s">
        <v>130</v>
      </c>
      <c r="F977" s="80">
        <v>181717.9360289748</v>
      </c>
      <c r="G977" s="77">
        <f t="shared" si="437"/>
        <v>71391.591773061067</v>
      </c>
      <c r="H977" s="77">
        <f t="shared" si="437"/>
        <v>25571.78454065105</v>
      </c>
      <c r="I977" s="77">
        <f t="shared" si="437"/>
        <v>0</v>
      </c>
      <c r="J977" s="77">
        <f t="shared" si="437"/>
        <v>2168.4538533254099</v>
      </c>
      <c r="K977" s="77">
        <f t="shared" si="437"/>
        <v>28536.149811479849</v>
      </c>
      <c r="L977" s="77">
        <f t="shared" si="437"/>
        <v>0</v>
      </c>
      <c r="M977" s="77">
        <f t="shared" si="437"/>
        <v>0</v>
      </c>
      <c r="N977" s="77">
        <f t="shared" si="437"/>
        <v>22012.138707894865</v>
      </c>
      <c r="O977" s="77">
        <f t="shared" si="437"/>
        <v>14615.17334032319</v>
      </c>
      <c r="P977" s="77">
        <f t="shared" si="437"/>
        <v>12102.799596749619</v>
      </c>
      <c r="Q977" s="77">
        <f t="shared" si="438"/>
        <v>1193.954106500466</v>
      </c>
      <c r="R977" s="77">
        <f t="shared" si="438"/>
        <v>619.92477651724528</v>
      </c>
      <c r="S977" s="77">
        <f t="shared" si="438"/>
        <v>3415.4181456827005</v>
      </c>
      <c r="T977" s="77">
        <f t="shared" si="438"/>
        <v>39.690667427706323</v>
      </c>
      <c r="U977" s="77">
        <f t="shared" si="438"/>
        <v>50.856709361639389</v>
      </c>
      <c r="V977" s="77">
        <f t="shared" si="438"/>
        <v>0</v>
      </c>
      <c r="W977" s="77">
        <f t="shared" si="438"/>
        <v>0</v>
      </c>
      <c r="X977" s="80">
        <f t="shared" si="438"/>
        <v>0</v>
      </c>
      <c r="Y977" s="80">
        <f t="shared" si="438"/>
        <v>0</v>
      </c>
      <c r="Z977" s="80">
        <f t="shared" si="438"/>
        <v>0</v>
      </c>
      <c r="AA977" s="81">
        <f>SUM(G977:Z977)</f>
        <v>181717.93602897474</v>
      </c>
      <c r="AB977" s="94" t="str">
        <f>IF(ABS(F977-AA977)&lt;0.01,"ok","err")</f>
        <v>ok</v>
      </c>
    </row>
    <row r="978" spans="1:28" s="155" customFormat="1">
      <c r="A978" s="61"/>
      <c r="B978" s="61"/>
      <c r="C978" s="61"/>
      <c r="D978" s="61"/>
      <c r="E978" s="61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60"/>
      <c r="Y978" s="160"/>
      <c r="Z978" s="160"/>
      <c r="AA978" s="156"/>
      <c r="AB978" s="157"/>
    </row>
    <row r="979" spans="1:28" s="155" customFormat="1">
      <c r="A979" s="61" t="s">
        <v>711</v>
      </c>
      <c r="B979" s="61"/>
      <c r="C979" s="61"/>
      <c r="D979" s="61"/>
      <c r="E979" s="61"/>
      <c r="F979" s="113">
        <f>(F964+F965+F966)*$E$935</f>
        <v>36172978.812316291</v>
      </c>
      <c r="G979" s="113">
        <f t="shared" ref="G979:U979" si="439">(G964+G965+G966)*$E$935</f>
        <v>16605939.993614232</v>
      </c>
      <c r="H979" s="113">
        <f t="shared" si="439"/>
        <v>4790549.5252025062</v>
      </c>
      <c r="I979" s="113">
        <f t="shared" si="439"/>
        <v>0</v>
      </c>
      <c r="J979" s="113">
        <f t="shared" si="439"/>
        <v>408280.82737753057</v>
      </c>
      <c r="K979" s="113">
        <f t="shared" si="439"/>
        <v>4602425.7428352274</v>
      </c>
      <c r="L979" s="113">
        <f t="shared" si="439"/>
        <v>0</v>
      </c>
      <c r="M979" s="113">
        <f t="shared" si="439"/>
        <v>0</v>
      </c>
      <c r="N979" s="113">
        <f t="shared" si="439"/>
        <v>4102240.096896694</v>
      </c>
      <c r="O979" s="113">
        <f t="shared" si="439"/>
        <v>2258703.0614507273</v>
      </c>
      <c r="P979" s="113">
        <f t="shared" si="439"/>
        <v>2301235.870064511</v>
      </c>
      <c r="Q979" s="113">
        <f t="shared" si="439"/>
        <v>239424.60275802648</v>
      </c>
      <c r="R979" s="113">
        <f t="shared" si="439"/>
        <v>113974.09679638658</v>
      </c>
      <c r="S979" s="113">
        <f t="shared" si="439"/>
        <v>742134.44602399739</v>
      </c>
      <c r="T979" s="113">
        <f t="shared" si="439"/>
        <v>5.7829976762007966</v>
      </c>
      <c r="U979" s="113">
        <f t="shared" si="439"/>
        <v>8064.7662987705726</v>
      </c>
      <c r="V979" s="113">
        <f>(V964+V966)*0.407634</f>
        <v>0</v>
      </c>
      <c r="W979" s="113">
        <f>(W964+W966)*0.407634</f>
        <v>0</v>
      </c>
      <c r="X979" s="160">
        <f>(X964+X966)*0.407634</f>
        <v>0</v>
      </c>
      <c r="Y979" s="160">
        <f>(Y964+Y966)*0.407634</f>
        <v>0</v>
      </c>
      <c r="Z979" s="160">
        <f>(Z964+Z966)*0.407634</f>
        <v>0</v>
      </c>
      <c r="AA979" s="156">
        <f>ROUND(SUM(G979:Z979),2)</f>
        <v>36172978.810000002</v>
      </c>
      <c r="AB979" s="157" t="str">
        <f>IF(ABS(F979-AA979)&lt;0.01,"ok","err")</f>
        <v>ok</v>
      </c>
    </row>
    <row r="980" spans="1:28" s="155" customFormat="1">
      <c r="A980" s="69"/>
      <c r="B980" s="61"/>
      <c r="C980" s="61"/>
      <c r="D980" s="61"/>
      <c r="E980" s="61"/>
      <c r="F980" s="80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58"/>
      <c r="Y980" s="158"/>
      <c r="Z980" s="158"/>
      <c r="AA980" s="156"/>
      <c r="AB980" s="157"/>
    </row>
    <row r="981" spans="1:28" s="155" customFormat="1">
      <c r="A981" s="61" t="s">
        <v>137</v>
      </c>
      <c r="B981" s="61"/>
      <c r="C981" s="61"/>
      <c r="D981" s="61"/>
      <c r="E981" s="61"/>
      <c r="F981" s="81">
        <f t="shared" ref="F981:Z981" si="440">SUM(F973:F980)</f>
        <v>936655054.83622909</v>
      </c>
      <c r="G981" s="81">
        <f t="shared" si="440"/>
        <v>394826663.63614023</v>
      </c>
      <c r="H981" s="81">
        <f t="shared" si="440"/>
        <v>121757363.13082699</v>
      </c>
      <c r="I981" s="81">
        <f t="shared" si="440"/>
        <v>0</v>
      </c>
      <c r="J981" s="81">
        <f t="shared" si="440"/>
        <v>11017151.636281032</v>
      </c>
      <c r="K981" s="81">
        <f t="shared" si="440"/>
        <v>136705898.65671363</v>
      </c>
      <c r="L981" s="81">
        <f t="shared" si="440"/>
        <v>0</v>
      </c>
      <c r="M981" s="81">
        <f t="shared" si="440"/>
        <v>0</v>
      </c>
      <c r="N981" s="81">
        <f t="shared" si="440"/>
        <v>115710437.50301786</v>
      </c>
      <c r="O981" s="81">
        <f>SUM(O973:O980)</f>
        <v>65865990.00277219</v>
      </c>
      <c r="P981" s="81">
        <f t="shared" si="440"/>
        <v>65219373.976199217</v>
      </c>
      <c r="Q981" s="81">
        <f t="shared" si="440"/>
        <v>6684568.3870166764</v>
      </c>
      <c r="R981" s="81">
        <f t="shared" si="440"/>
        <v>3417667.7221970321</v>
      </c>
      <c r="S981" s="81">
        <f t="shared" si="440"/>
        <v>15013039.527293105</v>
      </c>
      <c r="T981" s="81">
        <f t="shared" si="440"/>
        <v>188733.15123035212</v>
      </c>
      <c r="U981" s="81">
        <f t="shared" si="440"/>
        <v>248167.5065407342</v>
      </c>
      <c r="V981" s="81">
        <f t="shared" si="440"/>
        <v>0</v>
      </c>
      <c r="W981" s="81">
        <f t="shared" si="440"/>
        <v>0</v>
      </c>
      <c r="X981" s="156">
        <f t="shared" si="440"/>
        <v>0</v>
      </c>
      <c r="Y981" s="156">
        <f t="shared" si="440"/>
        <v>0</v>
      </c>
      <c r="Z981" s="156">
        <f t="shared" si="440"/>
        <v>0</v>
      </c>
      <c r="AA981" s="156">
        <f>ROUND(SUM(G981:Z981),2)</f>
        <v>936655054.84000003</v>
      </c>
      <c r="AB981" s="157" t="str">
        <f>IF(ABS(F981-AA981)&lt;0.01,"ok","err")</f>
        <v>ok</v>
      </c>
    </row>
    <row r="982" spans="1:28" s="155" customForma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</row>
    <row r="983" spans="1:28" s="155" customForma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</row>
    <row r="984" spans="1:28" s="155" customFormat="1" ht="15">
      <c r="A984" s="66" t="s">
        <v>903</v>
      </c>
      <c r="B984" s="61"/>
      <c r="C984" s="61"/>
      <c r="D984" s="61"/>
      <c r="E984" s="61"/>
      <c r="F984" s="81">
        <f t="shared" ref="F984:Z984" si="441">F968-F981</f>
        <v>174164324.62501979</v>
      </c>
      <c r="G984" s="81">
        <f t="shared" si="441"/>
        <v>51149375.48144263</v>
      </c>
      <c r="H984" s="81">
        <f t="shared" si="441"/>
        <v>31573415.290234819</v>
      </c>
      <c r="I984" s="81">
        <f t="shared" si="441"/>
        <v>0</v>
      </c>
      <c r="J984" s="81">
        <f t="shared" si="441"/>
        <v>2174698.4809402935</v>
      </c>
      <c r="K984" s="81">
        <f t="shared" si="441"/>
        <v>34011032.713425845</v>
      </c>
      <c r="L984" s="81">
        <f t="shared" si="441"/>
        <v>0</v>
      </c>
      <c r="M984" s="81">
        <f t="shared" si="441"/>
        <v>0</v>
      </c>
      <c r="N984" s="81">
        <f t="shared" si="441"/>
        <v>18691027.551532969</v>
      </c>
      <c r="O984" s="81">
        <f t="shared" si="441"/>
        <v>20677127.537279807</v>
      </c>
      <c r="P984" s="81">
        <f t="shared" si="441"/>
        <v>9101719.5664725825</v>
      </c>
      <c r="Q984" s="81">
        <f t="shared" si="441"/>
        <v>693492.38574540801</v>
      </c>
      <c r="R984" s="81">
        <f t="shared" si="441"/>
        <v>386437.47025289666</v>
      </c>
      <c r="S984" s="81">
        <f t="shared" si="441"/>
        <v>5618809.3398134671</v>
      </c>
      <c r="T984" s="81">
        <f t="shared" si="441"/>
        <v>33232.722723241081</v>
      </c>
      <c r="U984" s="81">
        <f t="shared" si="441"/>
        <v>53956.085156045738</v>
      </c>
      <c r="V984" s="81">
        <f t="shared" si="441"/>
        <v>0</v>
      </c>
      <c r="W984" s="81">
        <f t="shared" si="441"/>
        <v>0</v>
      </c>
      <c r="X984" s="156">
        <f t="shared" si="441"/>
        <v>0</v>
      </c>
      <c r="Y984" s="156">
        <f t="shared" si="441"/>
        <v>0</v>
      </c>
      <c r="Z984" s="156">
        <f t="shared" si="441"/>
        <v>0</v>
      </c>
      <c r="AA984" s="156">
        <f>ROUND(SUM(G984:Z984),2)</f>
        <v>174164324.63</v>
      </c>
      <c r="AB984" s="157" t="str">
        <f>IF(ABS(F984-AA984)&lt;0.01,"ok","err")</f>
        <v>ok</v>
      </c>
    </row>
    <row r="985" spans="1:28" s="155" customForma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</row>
    <row r="986" spans="1:28" s="155" customFormat="1" ht="15">
      <c r="A986" s="66" t="s">
        <v>1111</v>
      </c>
      <c r="B986" s="61"/>
      <c r="C986" s="61"/>
      <c r="D986" s="61"/>
      <c r="E986" s="61"/>
      <c r="F986" s="81">
        <f>F911</f>
        <v>2380933927.241509</v>
      </c>
      <c r="G986" s="81">
        <f t="shared" ref="G986:Z986" si="442">G911</f>
        <v>1226298141.3869851</v>
      </c>
      <c r="H986" s="81">
        <f t="shared" si="442"/>
        <v>277706597.11954999</v>
      </c>
      <c r="I986" s="81">
        <f t="shared" si="442"/>
        <v>0</v>
      </c>
      <c r="J986" s="81">
        <f t="shared" si="442"/>
        <v>21749592.64590745</v>
      </c>
      <c r="K986" s="81">
        <f t="shared" si="442"/>
        <v>275721267.25815135</v>
      </c>
      <c r="L986" s="81">
        <f t="shared" si="442"/>
        <v>0</v>
      </c>
      <c r="M986" s="81">
        <f t="shared" si="442"/>
        <v>0</v>
      </c>
      <c r="N986" s="81">
        <f t="shared" si="442"/>
        <v>226471826.17950612</v>
      </c>
      <c r="O986" s="81">
        <f>O911</f>
        <v>143715706.90157166</v>
      </c>
      <c r="P986" s="81">
        <f t="shared" si="442"/>
        <v>113082426.76512812</v>
      </c>
      <c r="Q986" s="81">
        <f t="shared" si="442"/>
        <v>14438868.779765479</v>
      </c>
      <c r="R986" s="81">
        <f t="shared" si="442"/>
        <v>6627986.1679961868</v>
      </c>
      <c r="S986" s="81">
        <f t="shared" si="442"/>
        <v>74531365.088449582</v>
      </c>
      <c r="T986" s="81">
        <f t="shared" si="442"/>
        <v>189911.6367086453</v>
      </c>
      <c r="U986" s="81">
        <f t="shared" si="442"/>
        <v>400237.31178913353</v>
      </c>
      <c r="V986" s="81">
        <f t="shared" si="442"/>
        <v>0</v>
      </c>
      <c r="W986" s="81">
        <f t="shared" si="442"/>
        <v>0</v>
      </c>
      <c r="X986" s="81">
        <f t="shared" si="442"/>
        <v>0</v>
      </c>
      <c r="Y986" s="81">
        <f t="shared" si="442"/>
        <v>0</v>
      </c>
      <c r="Z986" s="81">
        <f t="shared" si="442"/>
        <v>0</v>
      </c>
      <c r="AA986" s="156">
        <f>ROUND(SUM(G986:Z986),2)</f>
        <v>2380933927.2399998</v>
      </c>
      <c r="AB986" s="157" t="str">
        <f>IF(ABS(F986-AA986)&lt;0.01,"ok","err")</f>
        <v>ok</v>
      </c>
    </row>
    <row r="987" spans="1:28" s="155" customFormat="1" ht="15" thickBo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</row>
    <row r="988" spans="1:28" s="155" customFormat="1" ht="15.75" thickBot="1">
      <c r="A988" s="295" t="s">
        <v>1129</v>
      </c>
      <c r="B988" s="151"/>
      <c r="C988" s="151"/>
      <c r="D988" s="151"/>
      <c r="E988" s="151"/>
      <c r="F988" s="152">
        <f t="shared" ref="F988:P988" si="443">F984/F986</f>
        <v>7.314958329263771E-2</v>
      </c>
      <c r="G988" s="152">
        <f t="shared" si="443"/>
        <v>4.1710391425360017E-2</v>
      </c>
      <c r="H988" s="152">
        <f t="shared" si="443"/>
        <v>0.11369342902805715</v>
      </c>
      <c r="I988" s="152" t="e">
        <f t="shared" si="443"/>
        <v>#DIV/0!</v>
      </c>
      <c r="J988" s="152">
        <f t="shared" si="443"/>
        <v>9.9988009722540683E-2</v>
      </c>
      <c r="K988" s="152">
        <f t="shared" si="443"/>
        <v>0.123352953697192</v>
      </c>
      <c r="L988" s="152" t="e">
        <f t="shared" si="443"/>
        <v>#DIV/0!</v>
      </c>
      <c r="M988" s="152" t="e">
        <f t="shared" si="443"/>
        <v>#DIV/0!</v>
      </c>
      <c r="N988" s="152">
        <f t="shared" si="443"/>
        <v>8.2531358831001281E-2</v>
      </c>
      <c r="O988" s="152">
        <f>O984/O986</f>
        <v>0.14387521018451521</v>
      </c>
      <c r="P988" s="152">
        <f t="shared" si="443"/>
        <v>8.0487480034159758E-2</v>
      </c>
      <c r="Q988" s="152">
        <f>Q984/Q986</f>
        <v>4.8029551090405569E-2</v>
      </c>
      <c r="R988" s="152">
        <f t="shared" ref="R988:Z988" si="444">R984/R986</f>
        <v>5.8303904150983889E-2</v>
      </c>
      <c r="S988" s="152">
        <f t="shared" si="444"/>
        <v>7.5388520432241965E-2</v>
      </c>
      <c r="T988" s="152">
        <f t="shared" si="444"/>
        <v>0.17499044976493658</v>
      </c>
      <c r="U988" s="152">
        <f t="shared" si="444"/>
        <v>0.13481023274629803</v>
      </c>
      <c r="V988" s="152" t="e">
        <f t="shared" si="444"/>
        <v>#DIV/0!</v>
      </c>
      <c r="W988" s="152" t="e">
        <f t="shared" si="444"/>
        <v>#DIV/0!</v>
      </c>
      <c r="X988" s="161" t="e">
        <f t="shared" si="444"/>
        <v>#DIV/0!</v>
      </c>
      <c r="Y988" s="161" t="e">
        <f t="shared" si="444"/>
        <v>#DIV/0!</v>
      </c>
      <c r="Z988" s="161" t="e">
        <f t="shared" si="444"/>
        <v>#DIV/0!</v>
      </c>
      <c r="AA988" s="162"/>
      <c r="AB988" s="162"/>
    </row>
    <row r="989" spans="1:28" s="155" customFormat="1" ht="15">
      <c r="A989" s="66"/>
      <c r="B989" s="66"/>
      <c r="C989" s="61"/>
      <c r="D989" s="61"/>
      <c r="E989" s="61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9"/>
      <c r="Y989" s="159"/>
      <c r="Z989" s="159"/>
    </row>
    <row r="991" spans="1:28" s="175" customForma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</row>
    <row r="992" spans="1:28" s="175" customFormat="1" ht="15">
      <c r="A992" s="66" t="s">
        <v>133</v>
      </c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9" s="175" customForma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</row>
    <row r="994" spans="1:29" s="175" customFormat="1" ht="15">
      <c r="A994" s="66" t="s">
        <v>1130</v>
      </c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9" s="175" customFormat="1">
      <c r="A995" s="61" t="s">
        <v>1131</v>
      </c>
      <c r="B995" s="61"/>
      <c r="C995" s="61"/>
      <c r="D995" s="61" t="s">
        <v>1100</v>
      </c>
      <c r="E995" s="61" t="s">
        <v>939</v>
      </c>
      <c r="F995" s="111">
        <v>1</v>
      </c>
      <c r="G995" s="111">
        <f t="shared" ref="G995:Z995" si="445">IF(VLOOKUP($E995,$D$6:$AN$1131,3,)=0,0,(VLOOKUP($E995,$D$6:$AN$1131,G$2,)/VLOOKUP($E995,$D$6:$AN$1131,3,))*$F995)</f>
        <v>0.36177803168986861</v>
      </c>
      <c r="H995" s="111">
        <f t="shared" si="445"/>
        <v>0.11756490848167744</v>
      </c>
      <c r="I995" s="111">
        <f t="shared" si="445"/>
        <v>0</v>
      </c>
      <c r="J995" s="111">
        <f t="shared" si="445"/>
        <v>1.4002177535100569E-2</v>
      </c>
      <c r="K995" s="111">
        <f t="shared" si="445"/>
        <v>0.1622334243029889</v>
      </c>
      <c r="L995" s="111">
        <f t="shared" si="445"/>
        <v>0</v>
      </c>
      <c r="M995" s="111">
        <f t="shared" si="445"/>
        <v>0</v>
      </c>
      <c r="N995" s="111">
        <f t="shared" si="445"/>
        <v>0.15660029232902192</v>
      </c>
      <c r="O995" s="111">
        <f t="shared" si="445"/>
        <v>6.8874940193074427E-2</v>
      </c>
      <c r="P995" s="111">
        <f t="shared" si="445"/>
        <v>9.5357587036196872E-2</v>
      </c>
      <c r="Q995" s="111">
        <f t="shared" si="445"/>
        <v>9.3073843413242867E-3</v>
      </c>
      <c r="R995" s="111">
        <f t="shared" si="445"/>
        <v>4.9170564448175174E-3</v>
      </c>
      <c r="S995" s="111">
        <f t="shared" si="445"/>
        <v>8.8080331239970347E-3</v>
      </c>
      <c r="T995" s="111">
        <f t="shared" si="445"/>
        <v>2.8711184968096344E-4</v>
      </c>
      <c r="U995" s="111">
        <f t="shared" si="445"/>
        <v>2.6905267225138226E-4</v>
      </c>
      <c r="V995" s="111">
        <f t="shared" si="445"/>
        <v>0</v>
      </c>
      <c r="W995" s="111">
        <f t="shared" si="445"/>
        <v>0</v>
      </c>
      <c r="X995" s="176">
        <f t="shared" si="445"/>
        <v>0</v>
      </c>
      <c r="Y995" s="176">
        <f t="shared" si="445"/>
        <v>0</v>
      </c>
      <c r="Z995" s="176">
        <f t="shared" si="445"/>
        <v>0</v>
      </c>
      <c r="AA995" s="181">
        <f>SUM(G995:Z995)</f>
        <v>1</v>
      </c>
      <c r="AB995" s="177" t="str">
        <f>IF(ABS(F995-AA995)&lt;0.01,"ok","err")</f>
        <v>ok</v>
      </c>
    </row>
    <row r="996" spans="1:29" s="175" customForma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</row>
    <row r="997" spans="1:29" s="175" customFormat="1" ht="15">
      <c r="A997" s="66" t="s">
        <v>1132</v>
      </c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</row>
    <row r="998" spans="1:29" s="175" customFormat="1">
      <c r="A998" s="61" t="s">
        <v>1133</v>
      </c>
      <c r="B998" s="61"/>
      <c r="C998" s="61"/>
      <c r="D998" s="61" t="s">
        <v>1103</v>
      </c>
      <c r="E998" s="61" t="s">
        <v>698</v>
      </c>
      <c r="F998" s="82">
        <v>1</v>
      </c>
      <c r="G998" s="84">
        <f t="shared" ref="G998:Z998" si="446">IF(VLOOKUP($E998,$D$6:$AN$1131,3,)=0,0,(VLOOKUP($E998,$D$6:$AN$1131,G$2,)/VLOOKUP($E998,$D$6:$AN$1131,3,))*$F998)</f>
        <v>0.86211323577133958</v>
      </c>
      <c r="H998" s="84">
        <f t="shared" si="446"/>
        <v>0.10710913104335856</v>
      </c>
      <c r="I998" s="84">
        <f t="shared" si="446"/>
        <v>0</v>
      </c>
      <c r="J998" s="84">
        <f t="shared" si="446"/>
        <v>1.7047676537174916E-4</v>
      </c>
      <c r="K998" s="84">
        <f t="shared" si="446"/>
        <v>6.6868721972784479E-3</v>
      </c>
      <c r="L998" s="84">
        <f t="shared" si="446"/>
        <v>0</v>
      </c>
      <c r="M998" s="84">
        <f t="shared" si="446"/>
        <v>0</v>
      </c>
      <c r="N998" s="84">
        <f t="shared" si="446"/>
        <v>2.4979581592666025E-4</v>
      </c>
      <c r="O998" s="84">
        <f t="shared" si="446"/>
        <v>6.5349426725837181E-4</v>
      </c>
      <c r="P998" s="84">
        <f t="shared" si="446"/>
        <v>0</v>
      </c>
      <c r="Q998" s="84">
        <f t="shared" si="446"/>
        <v>2.367732852385405E-6</v>
      </c>
      <c r="R998" s="84">
        <f t="shared" si="446"/>
        <v>2.367732852385405E-6</v>
      </c>
      <c r="S998" s="84">
        <f t="shared" si="446"/>
        <v>2.2730761545755974E-2</v>
      </c>
      <c r="T998" s="84">
        <f t="shared" si="446"/>
        <v>4.3408435627065753E-5</v>
      </c>
      <c r="U998" s="84">
        <f t="shared" si="446"/>
        <v>2.3808869237875463E-4</v>
      </c>
      <c r="V998" s="84">
        <f t="shared" si="446"/>
        <v>0</v>
      </c>
      <c r="W998" s="84">
        <f t="shared" si="446"/>
        <v>0</v>
      </c>
      <c r="X998" s="176">
        <f t="shared" si="446"/>
        <v>0</v>
      </c>
      <c r="Y998" s="176">
        <f t="shared" si="446"/>
        <v>0</v>
      </c>
      <c r="Z998" s="176">
        <f t="shared" si="446"/>
        <v>0</v>
      </c>
      <c r="AA998" s="182">
        <f t="shared" ref="AA998:AA1003" si="447">SUM(G998:Z998)</f>
        <v>0.99999999999999989</v>
      </c>
      <c r="AB998" s="177" t="str">
        <f t="shared" ref="AB998:AB1003" si="448">IF(ABS(F998-AA998)&lt;0.01,"ok","err")</f>
        <v>ok</v>
      </c>
    </row>
    <row r="999" spans="1:29" s="175" customFormat="1">
      <c r="A999" s="61" t="s">
        <v>193</v>
      </c>
      <c r="B999" s="61"/>
      <c r="C999" s="61"/>
      <c r="D999" s="61" t="s">
        <v>1104</v>
      </c>
      <c r="E999" s="61"/>
      <c r="F999" s="82">
        <v>1</v>
      </c>
      <c r="G999" s="84">
        <f>Services!F10</f>
        <v>0.76861640064540004</v>
      </c>
      <c r="H999" s="84">
        <f>Services!F12</f>
        <v>0.19343635385547825</v>
      </c>
      <c r="I999" s="84">
        <v>0</v>
      </c>
      <c r="J999" s="84">
        <f>Services!F14</f>
        <v>0</v>
      </c>
      <c r="K999" s="84">
        <f>Services!F16</f>
        <v>3.3746211341601155E-2</v>
      </c>
      <c r="L999" s="84">
        <v>0</v>
      </c>
      <c r="M999" s="84"/>
      <c r="N999" s="84">
        <f>Services!F18</f>
        <v>0</v>
      </c>
      <c r="O999" s="84">
        <f>Services!F20</f>
        <v>4.2010341575204205E-3</v>
      </c>
      <c r="P999" s="84">
        <f>Services!F22</f>
        <v>0</v>
      </c>
      <c r="Q999" s="84">
        <f>Services!F24</f>
        <v>0</v>
      </c>
      <c r="R999" s="84">
        <f>Services!F26</f>
        <v>0</v>
      </c>
      <c r="S999" s="84">
        <f>Services!F28</f>
        <v>0</v>
      </c>
      <c r="T999" s="84">
        <f>Services!F30</f>
        <v>0</v>
      </c>
      <c r="U999" s="84">
        <f>Services!$F$32</f>
        <v>0</v>
      </c>
      <c r="V999" s="84">
        <v>0</v>
      </c>
      <c r="W999" s="84">
        <v>0</v>
      </c>
      <c r="X999" s="84">
        <v>0</v>
      </c>
      <c r="Y999" s="84">
        <v>0</v>
      </c>
      <c r="Z999" s="84">
        <v>0</v>
      </c>
      <c r="AA999" s="182">
        <f t="shared" si="447"/>
        <v>0.99999999999999989</v>
      </c>
      <c r="AB999" s="177" t="str">
        <f t="shared" si="448"/>
        <v>ok</v>
      </c>
    </row>
    <row r="1000" spans="1:29" s="175" customFormat="1">
      <c r="A1000" s="61" t="s">
        <v>1134</v>
      </c>
      <c r="B1000" s="61"/>
      <c r="C1000" s="61"/>
      <c r="D1000" s="61" t="s">
        <v>1105</v>
      </c>
      <c r="E1000" s="61"/>
      <c r="F1000" s="82">
        <v>1</v>
      </c>
      <c r="G1000" s="84">
        <f>Meters!$F$10</f>
        <v>0.69991996222812491</v>
      </c>
      <c r="H1000" s="84">
        <f>Meters!$F$12</f>
        <v>0.20578048643990582</v>
      </c>
      <c r="I1000" s="84">
        <v>0</v>
      </c>
      <c r="J1000" s="84">
        <f>Meters!$F$14</f>
        <v>8.0106991556218293E-3</v>
      </c>
      <c r="K1000" s="84">
        <f>Meters!$F$16</f>
        <v>5.535691265576969E-2</v>
      </c>
      <c r="L1000" s="84">
        <v>0</v>
      </c>
      <c r="M1000" s="84">
        <v>0</v>
      </c>
      <c r="N1000" s="84">
        <f>Meters!$F$18</f>
        <v>1.2543994366524883E-2</v>
      </c>
      <c r="O1000" s="84">
        <f>Meters!$F$20</f>
        <v>5.8318104447573722E-3</v>
      </c>
      <c r="P1000" s="84">
        <f>Meters!$F$22</f>
        <v>1.0261493700094724E-2</v>
      </c>
      <c r="Q1000" s="84">
        <f>Meters!$F$24</f>
        <v>1.1890042053578088E-4</v>
      </c>
      <c r="R1000" s="84">
        <f>Meters!$F$26</f>
        <v>1.1890042053578088E-4</v>
      </c>
      <c r="S1000" s="84">
        <f>Meters!$F$28</f>
        <v>0</v>
      </c>
      <c r="T1000" s="84">
        <f>Meters!$F$30</f>
        <v>3.1717628760872705E-4</v>
      </c>
      <c r="U1000" s="84">
        <f>Meters!$F$32</f>
        <v>1.739663880520594E-3</v>
      </c>
      <c r="V1000" s="84">
        <v>0</v>
      </c>
      <c r="W1000" s="84">
        <v>0</v>
      </c>
      <c r="X1000" s="182">
        <v>0</v>
      </c>
      <c r="Y1000" s="182">
        <v>0</v>
      </c>
      <c r="Z1000" s="182">
        <v>0</v>
      </c>
      <c r="AA1000" s="182">
        <f>SUM(G1000:Z1000)</f>
        <v>1</v>
      </c>
      <c r="AB1000" s="177" t="str">
        <f t="shared" si="448"/>
        <v>ok</v>
      </c>
    </row>
    <row r="1001" spans="1:29" s="175" customFormat="1">
      <c r="A1001" s="61" t="s">
        <v>1135</v>
      </c>
      <c r="B1001" s="61"/>
      <c r="C1001" s="61"/>
      <c r="D1001" s="61" t="s">
        <v>1106</v>
      </c>
      <c r="E1001" s="61" t="s">
        <v>132</v>
      </c>
      <c r="F1001" s="82">
        <v>1</v>
      </c>
      <c r="G1001" s="84">
        <f t="shared" ref="G1001:R1003" si="449">IF(VLOOKUP($E1001,$D$6:$AN$1131,3,)=0,0,(VLOOKUP($E1001,$D$6:$AN$1131,G$2,)/VLOOKUP($E1001,$D$6:$AN$1131,3,))*$F1001)</f>
        <v>0</v>
      </c>
      <c r="H1001" s="84">
        <f t="shared" si="449"/>
        <v>0</v>
      </c>
      <c r="I1001" s="84">
        <f t="shared" si="449"/>
        <v>0</v>
      </c>
      <c r="J1001" s="84">
        <f t="shared" si="449"/>
        <v>0</v>
      </c>
      <c r="K1001" s="84">
        <f t="shared" si="449"/>
        <v>0</v>
      </c>
      <c r="L1001" s="84">
        <f t="shared" si="449"/>
        <v>0</v>
      </c>
      <c r="M1001" s="84">
        <f t="shared" si="449"/>
        <v>0</v>
      </c>
      <c r="N1001" s="84">
        <f t="shared" si="449"/>
        <v>0</v>
      </c>
      <c r="O1001" s="84">
        <f t="shared" si="449"/>
        <v>0</v>
      </c>
      <c r="P1001" s="84">
        <f t="shared" si="449"/>
        <v>0</v>
      </c>
      <c r="Q1001" s="84">
        <f t="shared" si="449"/>
        <v>0</v>
      </c>
      <c r="R1001" s="84">
        <f t="shared" si="449"/>
        <v>0</v>
      </c>
      <c r="S1001" s="84">
        <v>1</v>
      </c>
      <c r="T1001" s="84">
        <v>0</v>
      </c>
      <c r="U1001" s="84">
        <v>0</v>
      </c>
      <c r="V1001" s="84">
        <f t="shared" ref="V1001:Z1003" si="450">IF(VLOOKUP($E1001,$D$6:$AN$1131,3,)=0,0,(VLOOKUP($E1001,$D$6:$AN$1131,V$2,)/VLOOKUP($E1001,$D$6:$AN$1131,3,))*$F1001)</f>
        <v>0</v>
      </c>
      <c r="W1001" s="84">
        <f t="shared" si="450"/>
        <v>0</v>
      </c>
      <c r="X1001" s="176">
        <f t="shared" si="450"/>
        <v>0</v>
      </c>
      <c r="Y1001" s="176">
        <f t="shared" si="450"/>
        <v>0</v>
      </c>
      <c r="Z1001" s="176">
        <f t="shared" si="450"/>
        <v>0</v>
      </c>
      <c r="AA1001" s="182">
        <f t="shared" si="447"/>
        <v>1</v>
      </c>
      <c r="AB1001" s="177" t="str">
        <f t="shared" si="448"/>
        <v>ok</v>
      </c>
    </row>
    <row r="1002" spans="1:29" s="175" customFormat="1">
      <c r="A1002" s="61" t="s">
        <v>1136</v>
      </c>
      <c r="B1002" s="61"/>
      <c r="C1002" s="61"/>
      <c r="D1002" s="61" t="s">
        <v>1107</v>
      </c>
      <c r="E1002" s="61" t="s">
        <v>156</v>
      </c>
      <c r="F1002" s="82">
        <v>1</v>
      </c>
      <c r="G1002" s="84">
        <f t="shared" si="449"/>
        <v>0.74512429283018111</v>
      </c>
      <c r="H1002" s="84">
        <f t="shared" si="449"/>
        <v>0.1851487999785352</v>
      </c>
      <c r="I1002" s="84">
        <f t="shared" si="449"/>
        <v>0</v>
      </c>
      <c r="J1002" s="84">
        <f t="shared" si="449"/>
        <v>7.3671516670283923E-4</v>
      </c>
      <c r="K1002" s="84">
        <f t="shared" si="449"/>
        <v>2.889731134208243E-2</v>
      </c>
      <c r="L1002" s="84">
        <f t="shared" si="449"/>
        <v>0</v>
      </c>
      <c r="M1002" s="84">
        <f t="shared" si="449"/>
        <v>0</v>
      </c>
      <c r="N1002" s="84">
        <f t="shared" si="449"/>
        <v>5.3974618116076067E-3</v>
      </c>
      <c r="O1002" s="84">
        <f t="shared" si="449"/>
        <v>1.4120374028471085E-2</v>
      </c>
      <c r="P1002" s="84">
        <f t="shared" si="449"/>
        <v>6.6509008105117425E-4</v>
      </c>
      <c r="Q1002" s="84">
        <f t="shared" si="449"/>
        <v>1.0232155093094989E-5</v>
      </c>
      <c r="R1002" s="84">
        <f t="shared" si="449"/>
        <v>1.0232155093094989E-5</v>
      </c>
      <c r="S1002" s="84">
        <f t="shared" ref="S1002:U1003" si="451">IF(VLOOKUP($E1002,$D$6:$AN$1131,3,)=0,0,(VLOOKUP($E1002,$D$6:$AN$1131,S$2,)/VLOOKUP($E1002,$D$6:$AN$1131,3,))*$F1002)</f>
        <v>1.9646192541190956E-2</v>
      </c>
      <c r="T1002" s="84">
        <f t="shared" si="451"/>
        <v>3.7517902008014959E-5</v>
      </c>
      <c r="U1002" s="84">
        <f t="shared" si="451"/>
        <v>2.0578000798335475E-4</v>
      </c>
      <c r="V1002" s="84">
        <f t="shared" si="450"/>
        <v>0</v>
      </c>
      <c r="W1002" s="84">
        <f t="shared" si="450"/>
        <v>0</v>
      </c>
      <c r="X1002" s="176">
        <f t="shared" si="450"/>
        <v>0</v>
      </c>
      <c r="Y1002" s="176">
        <f t="shared" si="450"/>
        <v>0</v>
      </c>
      <c r="Z1002" s="176">
        <f t="shared" si="450"/>
        <v>0</v>
      </c>
      <c r="AA1002" s="182">
        <f t="shared" si="447"/>
        <v>0.99999999999999989</v>
      </c>
      <c r="AB1002" s="177" t="str">
        <f t="shared" si="448"/>
        <v>ok</v>
      </c>
    </row>
    <row r="1003" spans="1:29" s="175" customFormat="1">
      <c r="A1003" s="61" t="s">
        <v>173</v>
      </c>
      <c r="B1003" s="61"/>
      <c r="C1003" s="61"/>
      <c r="D1003" s="61" t="s">
        <v>1108</v>
      </c>
      <c r="E1003" s="61" t="s">
        <v>157</v>
      </c>
      <c r="F1003" s="82">
        <v>1</v>
      </c>
      <c r="G1003" s="84">
        <f t="shared" si="449"/>
        <v>0.86208670028831513</v>
      </c>
      <c r="H1003" s="84">
        <f t="shared" si="449"/>
        <v>0.10710583426932631</v>
      </c>
      <c r="I1003" s="84">
        <f t="shared" si="449"/>
        <v>0</v>
      </c>
      <c r="J1003" s="84">
        <f t="shared" si="449"/>
        <v>1.7047151816856763E-4</v>
      </c>
      <c r="K1003" s="84">
        <f t="shared" si="449"/>
        <v>6.6866663781629133E-3</v>
      </c>
      <c r="L1003" s="84">
        <f t="shared" si="449"/>
        <v>0</v>
      </c>
      <c r="M1003" s="84">
        <f t="shared" si="449"/>
        <v>0</v>
      </c>
      <c r="N1003" s="84">
        <f t="shared" si="449"/>
        <v>2.4978812731644284E-4</v>
      </c>
      <c r="O1003" s="84">
        <f t="shared" si="449"/>
        <v>6.5347415297950929E-4</v>
      </c>
      <c r="P1003" s="84">
        <f t="shared" si="449"/>
        <v>3.0779579669324712E-5</v>
      </c>
      <c r="Q1003" s="84">
        <f t="shared" si="449"/>
        <v>2.3676599745634392E-6</v>
      </c>
      <c r="R1003" s="84">
        <f t="shared" si="449"/>
        <v>2.3676599745634392E-6</v>
      </c>
      <c r="S1003" s="84">
        <f t="shared" si="451"/>
        <v>2.2730061902470032E-2</v>
      </c>
      <c r="T1003" s="84">
        <f t="shared" si="451"/>
        <v>4.340709953366305E-5</v>
      </c>
      <c r="U1003" s="84">
        <f t="shared" si="451"/>
        <v>2.3808136410887918E-4</v>
      </c>
      <c r="V1003" s="84">
        <f t="shared" si="450"/>
        <v>0</v>
      </c>
      <c r="W1003" s="84">
        <f t="shared" si="450"/>
        <v>0</v>
      </c>
      <c r="X1003" s="176">
        <f t="shared" si="450"/>
        <v>0</v>
      </c>
      <c r="Y1003" s="176">
        <f t="shared" si="450"/>
        <v>0</v>
      </c>
      <c r="Z1003" s="176">
        <f t="shared" si="450"/>
        <v>0</v>
      </c>
      <c r="AA1003" s="182">
        <f t="shared" si="447"/>
        <v>0.99999999999999989</v>
      </c>
      <c r="AB1003" s="177" t="str">
        <f t="shared" si="448"/>
        <v>ok</v>
      </c>
    </row>
    <row r="1004" spans="1:29" s="175" customFormat="1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9" s="61" customFormat="1">
      <c r="A1005" s="61" t="s">
        <v>1327</v>
      </c>
      <c r="D1005" s="61" t="s">
        <v>130</v>
      </c>
      <c r="F1005" s="80">
        <v>965204065.29999995</v>
      </c>
      <c r="G1005" s="80">
        <f>'Billing Det'!$F$8</f>
        <v>379200073</v>
      </c>
      <c r="H1005" s="80">
        <f>'Billing Det'!$F10</f>
        <v>135825835</v>
      </c>
      <c r="I1005" s="80">
        <v>0</v>
      </c>
      <c r="J1005" s="80">
        <f>'Billing Det'!$F$12</f>
        <v>11517853</v>
      </c>
      <c r="K1005" s="80">
        <f>'Billing Det'!$F$14</f>
        <v>151571212</v>
      </c>
      <c r="L1005" s="80">
        <v>0</v>
      </c>
      <c r="M1005" s="80">
        <v>0</v>
      </c>
      <c r="N1005" s="80">
        <f>'Billing Det'!$F$16</f>
        <v>116918595</v>
      </c>
      <c r="O1005" s="80">
        <f>'Billing Det'!$F$18</f>
        <v>77629237</v>
      </c>
      <c r="P1005" s="80">
        <f>'Billing Det'!$F$20</f>
        <v>64284636</v>
      </c>
      <c r="Q1005" s="80">
        <f>'Billing Det'!$F$22</f>
        <v>6341748</v>
      </c>
      <c r="R1005" s="80">
        <f>'Billing Det'!$F$24</f>
        <v>3292762</v>
      </c>
      <c r="S1005" s="80">
        <f>'Billing Det'!$F$26</f>
        <v>18141167.300000001</v>
      </c>
      <c r="T1005" s="80">
        <f>'Billing Det'!$F$28</f>
        <v>210819</v>
      </c>
      <c r="U1005" s="80">
        <f>'Billing Det'!$F$30</f>
        <v>270128</v>
      </c>
      <c r="V1005" s="80">
        <v>0</v>
      </c>
      <c r="W1005" s="80">
        <v>0</v>
      </c>
      <c r="X1005" s="80">
        <v>0</v>
      </c>
      <c r="Y1005" s="80">
        <v>0</v>
      </c>
      <c r="Z1005" s="80">
        <v>0</v>
      </c>
      <c r="AA1005" s="80">
        <f>SUM(G1005:Z1005)</f>
        <v>965204065.29999995</v>
      </c>
      <c r="AB1005" s="94" t="str">
        <f>IF(ABS(F1005-AA1005)&lt;0.01,"ok","err")</f>
        <v>ok</v>
      </c>
      <c r="AC1005" s="113">
        <f>+AA1005-F1005</f>
        <v>0</v>
      </c>
    </row>
    <row r="1006" spans="1:29" s="175" customFormat="1">
      <c r="A1006" s="61" t="s">
        <v>939</v>
      </c>
      <c r="B1006" s="61"/>
      <c r="C1006" s="61"/>
      <c r="D1006" s="61"/>
      <c r="E1006" s="61"/>
      <c r="F1006" s="80">
        <v>11646473901.123848</v>
      </c>
      <c r="G1006" s="80">
        <f>'Billing Det'!C8</f>
        <v>4180088831</v>
      </c>
      <c r="H1006" s="80">
        <f>'Billing Det'!$C10</f>
        <v>1358379221</v>
      </c>
      <c r="I1006" s="80">
        <v>0</v>
      </c>
      <c r="J1006" s="80">
        <f>'Billing Det'!C12</f>
        <v>165297553</v>
      </c>
      <c r="K1006" s="80">
        <f>'Billing Det'!C14</f>
        <v>1874492273</v>
      </c>
      <c r="L1006" s="80">
        <v>0</v>
      </c>
      <c r="M1006" s="80">
        <v>0</v>
      </c>
      <c r="N1006" s="80">
        <f>'Billing Det'!C16</f>
        <v>1848687110</v>
      </c>
      <c r="O1006" s="80">
        <f>'Billing Det'!C18</f>
        <v>795801135</v>
      </c>
      <c r="P1006" s="80">
        <f>'Billing Det'!C20</f>
        <v>1147609709</v>
      </c>
      <c r="Q1006" s="80">
        <f>'Billing Det'!C22</f>
        <v>109874900</v>
      </c>
      <c r="R1006" s="80">
        <f>'Billing Det'!C24</f>
        <v>58046500</v>
      </c>
      <c r="S1006" s="80">
        <f>'Billing Det'!C26</f>
        <v>101770582.1238485</v>
      </c>
      <c r="T1006" s="80">
        <f>'Billing Det'!C28</f>
        <v>3317374</v>
      </c>
      <c r="U1006" s="80">
        <f>'Billing Det'!C30</f>
        <v>3108713</v>
      </c>
      <c r="V1006" s="80">
        <v>0</v>
      </c>
      <c r="W1006" s="80">
        <v>0</v>
      </c>
      <c r="X1006" s="176">
        <v>0</v>
      </c>
      <c r="Y1006" s="176">
        <v>0</v>
      </c>
      <c r="Z1006" s="176">
        <v>0</v>
      </c>
      <c r="AA1006" s="176">
        <f t="shared" ref="AA1006:AA1016" si="452">SUM(G1006:Z1006)</f>
        <v>11646473901.123848</v>
      </c>
      <c r="AB1006" s="177" t="str">
        <f>IF(ABS(F1006-AA1006)&lt;0.01,"ok","err")</f>
        <v>ok</v>
      </c>
    </row>
    <row r="1007" spans="1:29" s="61" customFormat="1">
      <c r="A1007" s="61" t="s">
        <v>709</v>
      </c>
      <c r="D1007" s="61" t="s">
        <v>939</v>
      </c>
      <c r="F1007" s="80">
        <v>12308166695.031103</v>
      </c>
      <c r="G1007" s="80">
        <f>G1006/0.93875</f>
        <v>4452824320.6391478</v>
      </c>
      <c r="H1007" s="80">
        <f>H1006/0.93875</f>
        <v>1447008491.078562</v>
      </c>
      <c r="I1007" s="80">
        <f>I1006/0.93875</f>
        <v>0</v>
      </c>
      <c r="J1007" s="80">
        <f>J1006/0.95913</f>
        <v>172341135.19543752</v>
      </c>
      <c r="K1007" s="80">
        <f>K1006/0.93875</f>
        <v>1996796029.8268976</v>
      </c>
      <c r="L1007" s="80">
        <f>L1006/0.95913</f>
        <v>0</v>
      </c>
      <c r="M1007" s="80">
        <f>M1006/(1-0.061646)</f>
        <v>0</v>
      </c>
      <c r="N1007" s="80">
        <f>N1006/0.95913</f>
        <v>1927462502.4762022</v>
      </c>
      <c r="O1007" s="80">
        <f>O1006/0.93875</f>
        <v>847724245.00665784</v>
      </c>
      <c r="P1007" s="80">
        <f>P1006/0.97779</f>
        <v>1173677076.8774481</v>
      </c>
      <c r="Q1007" s="80">
        <f>Q1006/0.95913</f>
        <v>114556837.96774159</v>
      </c>
      <c r="R1007" s="80">
        <f>R1006/0.95913</f>
        <v>60519950.371691011</v>
      </c>
      <c r="S1007" s="80">
        <f>S1006/0.93875</f>
        <v>108410739.94551106</v>
      </c>
      <c r="T1007" s="80">
        <f>T1006/0.93875</f>
        <v>3533820.5059920107</v>
      </c>
      <c r="U1007" s="80">
        <f>U1006/0.93875</f>
        <v>3311545.1398135819</v>
      </c>
      <c r="V1007" s="80">
        <f>V1006/(1-0.041817)</f>
        <v>0</v>
      </c>
      <c r="W1007" s="80">
        <f>W1006/(1-0.061646)</f>
        <v>0</v>
      </c>
      <c r="X1007" s="80">
        <v>0</v>
      </c>
      <c r="Y1007" s="80">
        <v>0</v>
      </c>
      <c r="Z1007" s="80">
        <v>0</v>
      </c>
      <c r="AA1007" s="80">
        <f>SUM(G1007:Z1007)</f>
        <v>12308166695.031103</v>
      </c>
      <c r="AB1007" s="94" t="str">
        <f>IF(ABS(F1007-AA1007)&lt;0.01,"ok","err")</f>
        <v>ok</v>
      </c>
      <c r="AC1007" s="113">
        <f>+AA1007-F1007</f>
        <v>0</v>
      </c>
    </row>
    <row r="1008" spans="1:29" s="175" customFormat="1">
      <c r="A1008" s="61"/>
      <c r="B1008" s="61"/>
      <c r="C1008" s="61"/>
      <c r="D1008" s="61"/>
      <c r="E1008" s="61"/>
      <c r="F1008" s="80"/>
      <c r="G1008" s="80"/>
      <c r="H1008" s="80"/>
      <c r="I1008" s="80"/>
      <c r="J1008" s="80"/>
      <c r="K1008" s="80"/>
      <c r="L1008" s="80"/>
      <c r="M1008" s="80"/>
      <c r="N1008" s="80"/>
      <c r="O1008" s="111"/>
      <c r="P1008" s="111"/>
      <c r="Q1008" s="80"/>
      <c r="R1008" s="80"/>
      <c r="S1008" s="80"/>
      <c r="T1008" s="80"/>
      <c r="U1008" s="80"/>
      <c r="V1008" s="80"/>
      <c r="W1008" s="80"/>
      <c r="X1008" s="176"/>
      <c r="Y1008" s="176"/>
      <c r="Z1008" s="176"/>
      <c r="AA1008" s="176"/>
      <c r="AB1008" s="177"/>
    </row>
    <row r="1009" spans="1:28" s="175" customFormat="1" ht="15">
      <c r="A1009" s="66" t="s">
        <v>897</v>
      </c>
      <c r="B1009" s="61"/>
      <c r="C1009" s="61"/>
      <c r="D1009" s="61"/>
      <c r="E1009" s="61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176"/>
      <c r="Y1009" s="176"/>
      <c r="Z1009" s="176"/>
      <c r="AA1009" s="176"/>
      <c r="AB1009" s="177"/>
    </row>
    <row r="1010" spans="1:28" s="175" customFormat="1">
      <c r="A1010" s="61" t="s">
        <v>127</v>
      </c>
      <c r="B1010" s="61"/>
      <c r="C1010" s="61"/>
      <c r="D1010" s="61"/>
      <c r="E1010" s="61"/>
      <c r="F1010" s="80">
        <v>6001330</v>
      </c>
      <c r="G1010" s="80">
        <f>'Billing Det'!B8*12</f>
        <v>4369310</v>
      </c>
      <c r="H1010" s="80">
        <f>('Billing Det'!B10*12)</f>
        <v>542844</v>
      </c>
      <c r="I1010" s="80">
        <v>0</v>
      </c>
      <c r="J1010" s="80">
        <f>'Billing Det'!B12*12</f>
        <v>864</v>
      </c>
      <c r="K1010" s="80">
        <f>'Billing Det'!B14*12</f>
        <v>33890</v>
      </c>
      <c r="L1010" s="80">
        <v>0</v>
      </c>
      <c r="M1010" s="80">
        <v>0</v>
      </c>
      <c r="N1010" s="80">
        <f>('Billing Det'!B16)*12</f>
        <v>1266</v>
      </c>
      <c r="O1010" s="80">
        <f>'Billing Det'!B18*12</f>
        <v>3312</v>
      </c>
      <c r="P1010" s="80">
        <f>'Billing Det'!B20*12</f>
        <v>156</v>
      </c>
      <c r="Q1010" s="80">
        <f>'Billing Det'!B22*12</f>
        <v>12</v>
      </c>
      <c r="R1010" s="80">
        <f>'Billing Det'!B24*12</f>
        <v>12</v>
      </c>
      <c r="S1010" s="80">
        <f>'Billing Det'!B26*12</f>
        <v>1036824</v>
      </c>
      <c r="T1010" s="80">
        <f>'Billing Det'!B28*12</f>
        <v>1980</v>
      </c>
      <c r="U1010" s="80">
        <f>'Billing Det'!B30*12</f>
        <v>10860</v>
      </c>
      <c r="V1010" s="80">
        <v>0</v>
      </c>
      <c r="W1010" s="80">
        <v>0</v>
      </c>
      <c r="X1010" s="176">
        <v>0</v>
      </c>
      <c r="Y1010" s="176">
        <v>0</v>
      </c>
      <c r="Z1010" s="176">
        <v>0</v>
      </c>
      <c r="AA1010" s="176">
        <f t="shared" si="452"/>
        <v>6001330</v>
      </c>
      <c r="AB1010" s="177" t="str">
        <f t="shared" ref="AB1010:AB1018" si="453">IF(ABS(F1010-AA1010)&lt;0.01,"ok","err")</f>
        <v>ok</v>
      </c>
    </row>
    <row r="1011" spans="1:28" s="175" customFormat="1">
      <c r="A1011" s="61" t="s">
        <v>128</v>
      </c>
      <c r="B1011" s="61"/>
      <c r="C1011" s="61"/>
      <c r="D1011" s="61"/>
      <c r="E1011" s="61"/>
      <c r="F1011" s="80">
        <v>500110.83333333337</v>
      </c>
      <c r="G1011" s="80">
        <f>G1010/12</f>
        <v>364109.16666666669</v>
      </c>
      <c r="H1011" s="80">
        <f t="shared" ref="H1011:P1011" si="454">H1010/12</f>
        <v>45237</v>
      </c>
      <c r="I1011" s="80">
        <f t="shared" si="454"/>
        <v>0</v>
      </c>
      <c r="J1011" s="80">
        <f t="shared" si="454"/>
        <v>72</v>
      </c>
      <c r="K1011" s="80">
        <f t="shared" si="454"/>
        <v>2824.1666666666665</v>
      </c>
      <c r="L1011" s="80">
        <f t="shared" si="454"/>
        <v>0</v>
      </c>
      <c r="M1011" s="80">
        <f t="shared" si="454"/>
        <v>0</v>
      </c>
      <c r="N1011" s="80">
        <f t="shared" si="454"/>
        <v>105.5</v>
      </c>
      <c r="O1011" s="80">
        <f>O1010/12</f>
        <v>276</v>
      </c>
      <c r="P1011" s="80">
        <f t="shared" si="454"/>
        <v>13</v>
      </c>
      <c r="Q1011" s="80">
        <f>Q1010/12</f>
        <v>1</v>
      </c>
      <c r="R1011" s="80">
        <f>R1010/12</f>
        <v>1</v>
      </c>
      <c r="S1011" s="80">
        <f>S1010/12</f>
        <v>86402</v>
      </c>
      <c r="T1011" s="80">
        <f>T1010/12</f>
        <v>165</v>
      </c>
      <c r="U1011" s="80">
        <f t="shared" ref="U1011:Z1011" si="455">U1010/12</f>
        <v>905</v>
      </c>
      <c r="V1011" s="80">
        <f t="shared" si="455"/>
        <v>0</v>
      </c>
      <c r="W1011" s="80">
        <f t="shared" si="455"/>
        <v>0</v>
      </c>
      <c r="X1011" s="176">
        <f t="shared" si="455"/>
        <v>0</v>
      </c>
      <c r="Y1011" s="176">
        <f t="shared" si="455"/>
        <v>0</v>
      </c>
      <c r="Z1011" s="176">
        <f t="shared" si="455"/>
        <v>0</v>
      </c>
      <c r="AA1011" s="176">
        <f t="shared" si="452"/>
        <v>500110.83333333337</v>
      </c>
      <c r="AB1011" s="177" t="str">
        <f t="shared" si="453"/>
        <v>ok</v>
      </c>
    </row>
    <row r="1012" spans="1:28" s="175" customFormat="1">
      <c r="A1012" s="61" t="s">
        <v>129</v>
      </c>
      <c r="B1012" s="61"/>
      <c r="C1012" s="61"/>
      <c r="D1012" s="61"/>
      <c r="E1012" s="61"/>
      <c r="F1012" s="80">
        <v>500110.83333333337</v>
      </c>
      <c r="G1012" s="113">
        <f>G1011</f>
        <v>364109.16666666669</v>
      </c>
      <c r="H1012" s="113">
        <f t="shared" ref="H1012:M1012" si="456">H1011</f>
        <v>45237</v>
      </c>
      <c r="I1012" s="113">
        <f t="shared" si="456"/>
        <v>0</v>
      </c>
      <c r="J1012" s="113">
        <f t="shared" si="456"/>
        <v>72</v>
      </c>
      <c r="K1012" s="113">
        <f t="shared" si="456"/>
        <v>2824.1666666666665</v>
      </c>
      <c r="L1012" s="113">
        <f t="shared" si="456"/>
        <v>0</v>
      </c>
      <c r="M1012" s="113">
        <f t="shared" si="456"/>
        <v>0</v>
      </c>
      <c r="N1012" s="113">
        <f t="shared" ref="N1012:T1012" si="457">N1011</f>
        <v>105.5</v>
      </c>
      <c r="O1012" s="113">
        <f>O1011</f>
        <v>276</v>
      </c>
      <c r="P1012" s="113">
        <f t="shared" si="457"/>
        <v>13</v>
      </c>
      <c r="Q1012" s="113">
        <f t="shared" si="457"/>
        <v>1</v>
      </c>
      <c r="R1012" s="113">
        <f t="shared" si="457"/>
        <v>1</v>
      </c>
      <c r="S1012" s="113">
        <f t="shared" si="457"/>
        <v>86402</v>
      </c>
      <c r="T1012" s="113">
        <f t="shared" si="457"/>
        <v>165</v>
      </c>
      <c r="U1012" s="113">
        <f t="shared" ref="U1012:Z1013" si="458">U1011</f>
        <v>905</v>
      </c>
      <c r="V1012" s="113">
        <f t="shared" si="458"/>
        <v>0</v>
      </c>
      <c r="W1012" s="113">
        <f t="shared" si="458"/>
        <v>0</v>
      </c>
      <c r="X1012" s="180">
        <f t="shared" si="458"/>
        <v>0</v>
      </c>
      <c r="Y1012" s="180">
        <f t="shared" si="458"/>
        <v>0</v>
      </c>
      <c r="Z1012" s="180">
        <f t="shared" si="458"/>
        <v>0</v>
      </c>
      <c r="AA1012" s="176">
        <f t="shared" si="452"/>
        <v>500110.83333333337</v>
      </c>
      <c r="AB1012" s="177" t="str">
        <f t="shared" si="453"/>
        <v>ok</v>
      </c>
    </row>
    <row r="1013" spans="1:28" s="175" customFormat="1">
      <c r="A1013" s="61" t="s">
        <v>1337</v>
      </c>
      <c r="B1013" s="61"/>
      <c r="C1013" s="61"/>
      <c r="D1013" s="61" t="s">
        <v>156</v>
      </c>
      <c r="E1013" s="61"/>
      <c r="F1013" s="80">
        <v>488655.61111111112</v>
      </c>
      <c r="G1013" s="113">
        <f>G1012</f>
        <v>364109.16666666669</v>
      </c>
      <c r="H1013" s="113">
        <f>H1012*2</f>
        <v>90474</v>
      </c>
      <c r="I1013" s="113">
        <f>I1012*2</f>
        <v>0</v>
      </c>
      <c r="J1013" s="113">
        <f>J1012*5</f>
        <v>360</v>
      </c>
      <c r="K1013" s="113">
        <f>K1012*5</f>
        <v>14120.833333333332</v>
      </c>
      <c r="L1013" s="113">
        <f>L1012*25</f>
        <v>0</v>
      </c>
      <c r="M1013" s="113">
        <f>M1012*25</f>
        <v>0</v>
      </c>
      <c r="N1013" s="113">
        <f>N1012*25</f>
        <v>2637.5</v>
      </c>
      <c r="O1013" s="113">
        <f>O1012*25</f>
        <v>6900</v>
      </c>
      <c r="P1013" s="113">
        <f>P1012*25</f>
        <v>325</v>
      </c>
      <c r="Q1013" s="113">
        <f>Q1012*5</f>
        <v>5</v>
      </c>
      <c r="R1013" s="113">
        <f>R1012*5</f>
        <v>5</v>
      </c>
      <c r="S1013" s="113">
        <f>S1012*(1/9)</f>
        <v>9600.2222222222208</v>
      </c>
      <c r="T1013" s="113">
        <f>T1012*(1/9)</f>
        <v>18.333333333333332</v>
      </c>
      <c r="U1013" s="113">
        <f>U1012*(1/9)</f>
        <v>100.55555555555554</v>
      </c>
      <c r="V1013" s="113">
        <f t="shared" si="458"/>
        <v>0</v>
      </c>
      <c r="W1013" s="113">
        <f t="shared" si="458"/>
        <v>0</v>
      </c>
      <c r="X1013" s="180">
        <f t="shared" si="458"/>
        <v>0</v>
      </c>
      <c r="Y1013" s="180">
        <f t="shared" si="458"/>
        <v>0</v>
      </c>
      <c r="Z1013" s="180">
        <f t="shared" si="458"/>
        <v>0</v>
      </c>
      <c r="AA1013" s="176">
        <f t="shared" si="452"/>
        <v>488655.61111111112</v>
      </c>
      <c r="AB1013" s="177" t="str">
        <f t="shared" si="453"/>
        <v>ok</v>
      </c>
    </row>
    <row r="1014" spans="1:28" s="175" customFormat="1">
      <c r="A1014" s="61" t="s">
        <v>1095</v>
      </c>
      <c r="B1014" s="61"/>
      <c r="C1014" s="61"/>
      <c r="D1014" s="61" t="s">
        <v>132</v>
      </c>
      <c r="E1014" s="61"/>
      <c r="F1014" s="80">
        <v>86402</v>
      </c>
      <c r="G1014" s="61"/>
      <c r="H1014" s="61"/>
      <c r="I1014" s="61"/>
      <c r="J1014" s="61"/>
      <c r="K1014" s="113"/>
      <c r="L1014" s="80">
        <v>0</v>
      </c>
      <c r="M1014" s="61"/>
      <c r="N1014" s="113">
        <v>0</v>
      </c>
      <c r="O1014" s="113">
        <v>0</v>
      </c>
      <c r="P1014" s="113">
        <v>0</v>
      </c>
      <c r="Q1014" s="113">
        <v>0</v>
      </c>
      <c r="R1014" s="113">
        <v>0</v>
      </c>
      <c r="S1014" s="113">
        <f>S1011</f>
        <v>86402</v>
      </c>
      <c r="T1014" s="113"/>
      <c r="U1014" s="113"/>
      <c r="V1014" s="113"/>
      <c r="W1014" s="113"/>
      <c r="X1014" s="180"/>
      <c r="Y1014" s="180"/>
      <c r="Z1014" s="180"/>
      <c r="AA1014" s="176">
        <f t="shared" si="452"/>
        <v>86402</v>
      </c>
      <c r="AB1014" s="177" t="str">
        <f t="shared" si="453"/>
        <v>ok</v>
      </c>
    </row>
    <row r="1015" spans="1:28" s="175" customFormat="1">
      <c r="A1015" s="61" t="s">
        <v>155</v>
      </c>
      <c r="B1015" s="61"/>
      <c r="C1015" s="61"/>
      <c r="D1015" s="61" t="s">
        <v>131</v>
      </c>
      <c r="E1015" s="61"/>
      <c r="F1015" s="80">
        <v>500110.83333333337</v>
      </c>
      <c r="G1015" s="113">
        <f>G1012</f>
        <v>364109.16666666669</v>
      </c>
      <c r="H1015" s="113">
        <f>H1012</f>
        <v>45237</v>
      </c>
      <c r="I1015" s="113">
        <f>I1012</f>
        <v>0</v>
      </c>
      <c r="J1015" s="113">
        <f>J1012</f>
        <v>72</v>
      </c>
      <c r="K1015" s="113">
        <f t="shared" ref="K1015:W1015" si="459">K1012</f>
        <v>2824.1666666666665</v>
      </c>
      <c r="L1015" s="113">
        <f t="shared" si="459"/>
        <v>0</v>
      </c>
      <c r="M1015" s="113">
        <f t="shared" si="459"/>
        <v>0</v>
      </c>
      <c r="N1015" s="113">
        <f t="shared" si="459"/>
        <v>105.5</v>
      </c>
      <c r="O1015" s="113">
        <f>O1012</f>
        <v>276</v>
      </c>
      <c r="P1015" s="113">
        <f t="shared" si="459"/>
        <v>13</v>
      </c>
      <c r="Q1015" s="113">
        <f t="shared" si="459"/>
        <v>1</v>
      </c>
      <c r="R1015" s="113">
        <f t="shared" si="459"/>
        <v>1</v>
      </c>
      <c r="S1015" s="113">
        <f t="shared" si="459"/>
        <v>86402</v>
      </c>
      <c r="T1015" s="113">
        <f t="shared" si="459"/>
        <v>165</v>
      </c>
      <c r="U1015" s="113">
        <f t="shared" si="459"/>
        <v>905</v>
      </c>
      <c r="V1015" s="113">
        <f t="shared" si="459"/>
        <v>0</v>
      </c>
      <c r="W1015" s="113">
        <f t="shared" si="459"/>
        <v>0</v>
      </c>
      <c r="X1015" s="180">
        <f>X1013</f>
        <v>0</v>
      </c>
      <c r="Y1015" s="180">
        <f>Y1013</f>
        <v>0</v>
      </c>
      <c r="Z1015" s="180">
        <f>Z1013</f>
        <v>0</v>
      </c>
      <c r="AA1015" s="176">
        <f t="shared" si="452"/>
        <v>500110.83333333337</v>
      </c>
      <c r="AB1015" s="177" t="str">
        <f t="shared" si="453"/>
        <v>ok</v>
      </c>
    </row>
    <row r="1016" spans="1:28" s="175" customFormat="1">
      <c r="A1016" s="61" t="s">
        <v>1338</v>
      </c>
      <c r="B1016" s="61"/>
      <c r="C1016" s="61"/>
      <c r="D1016" s="61" t="s">
        <v>157</v>
      </c>
      <c r="E1016" s="61"/>
      <c r="F1016" s="80">
        <v>422357.9444444445</v>
      </c>
      <c r="G1016" s="113">
        <f>G1012</f>
        <v>364109.16666666669</v>
      </c>
      <c r="H1016" s="113">
        <f t="shared" ref="H1016:N1016" si="460">H1012</f>
        <v>45237</v>
      </c>
      <c r="I1016" s="113">
        <f t="shared" si="460"/>
        <v>0</v>
      </c>
      <c r="J1016" s="113">
        <f t="shared" si="460"/>
        <v>72</v>
      </c>
      <c r="K1016" s="113">
        <f t="shared" si="460"/>
        <v>2824.1666666666665</v>
      </c>
      <c r="L1016" s="113">
        <f t="shared" si="460"/>
        <v>0</v>
      </c>
      <c r="M1016" s="113">
        <f t="shared" si="460"/>
        <v>0</v>
      </c>
      <c r="N1016" s="113">
        <f t="shared" si="460"/>
        <v>105.5</v>
      </c>
      <c r="O1016" s="113">
        <f>O1015</f>
        <v>276</v>
      </c>
      <c r="P1016" s="113">
        <f>P1015</f>
        <v>13</v>
      </c>
      <c r="Q1016" s="113">
        <f t="shared" ref="Q1016:W1016" si="461">Q1015</f>
        <v>1</v>
      </c>
      <c r="R1016" s="113">
        <f t="shared" si="461"/>
        <v>1</v>
      </c>
      <c r="S1016" s="113">
        <f>S1015/9</f>
        <v>9600.2222222222226</v>
      </c>
      <c r="T1016" s="113">
        <f>T1015/9</f>
        <v>18.333333333333332</v>
      </c>
      <c r="U1016" s="113">
        <f>U1015/9</f>
        <v>100.55555555555556</v>
      </c>
      <c r="V1016" s="113">
        <f t="shared" si="461"/>
        <v>0</v>
      </c>
      <c r="W1016" s="113">
        <f t="shared" si="461"/>
        <v>0</v>
      </c>
      <c r="X1016" s="180"/>
      <c r="Y1016" s="180"/>
      <c r="Z1016" s="180"/>
      <c r="AA1016" s="176">
        <f t="shared" si="452"/>
        <v>422357.9444444445</v>
      </c>
      <c r="AB1016" s="177" t="str">
        <f t="shared" si="453"/>
        <v>ok</v>
      </c>
    </row>
    <row r="1017" spans="1:28" s="175" customFormat="1">
      <c r="A1017" s="61" t="s">
        <v>886</v>
      </c>
      <c r="B1017" s="61"/>
      <c r="C1017" s="61"/>
      <c r="D1017" s="61" t="s">
        <v>697</v>
      </c>
      <c r="E1017" s="61"/>
      <c r="F1017" s="80">
        <v>419065.27777777781</v>
      </c>
      <c r="G1017" s="113">
        <f>G1016</f>
        <v>364109.16666666669</v>
      </c>
      <c r="H1017" s="113">
        <f>H1016</f>
        <v>45237</v>
      </c>
      <c r="I1017" s="113">
        <f>I1016</f>
        <v>0</v>
      </c>
      <c r="J1017" s="113">
        <v>0</v>
      </c>
      <c r="K1017" s="113">
        <v>0</v>
      </c>
      <c r="L1017" s="113">
        <v>0</v>
      </c>
      <c r="M1017" s="113">
        <v>0</v>
      </c>
      <c r="N1017" s="113">
        <v>0</v>
      </c>
      <c r="O1017" s="113">
        <v>0</v>
      </c>
      <c r="P1017" s="113">
        <v>0</v>
      </c>
      <c r="Q1017" s="113">
        <v>0</v>
      </c>
      <c r="R1017" s="113">
        <v>0</v>
      </c>
      <c r="S1017" s="113">
        <f>S1015/9</f>
        <v>9600.2222222222226</v>
      </c>
      <c r="T1017" s="113">
        <f>T1015/9</f>
        <v>18.333333333333332</v>
      </c>
      <c r="U1017" s="113">
        <f>U1015/9</f>
        <v>100.55555555555556</v>
      </c>
      <c r="V1017" s="113">
        <v>0</v>
      </c>
      <c r="W1017" s="113">
        <f>W1016</f>
        <v>0</v>
      </c>
      <c r="X1017" s="180"/>
      <c r="Y1017" s="180"/>
      <c r="Z1017" s="180"/>
      <c r="AA1017" s="176">
        <f>SUM(G1017:Z1017)</f>
        <v>419065.27777777781</v>
      </c>
      <c r="AB1017" s="177" t="str">
        <f t="shared" si="453"/>
        <v>ok</v>
      </c>
    </row>
    <row r="1018" spans="1:28" s="175" customFormat="1">
      <c r="A1018" s="61" t="s">
        <v>887</v>
      </c>
      <c r="B1018" s="61"/>
      <c r="C1018" s="61"/>
      <c r="D1018" s="61" t="s">
        <v>698</v>
      </c>
      <c r="E1018" s="61"/>
      <c r="F1018" s="80">
        <v>422344.9444444445</v>
      </c>
      <c r="G1018" s="113">
        <f>G1015</f>
        <v>364109.16666666669</v>
      </c>
      <c r="H1018" s="113">
        <f t="shared" ref="H1018:R1018" si="462">H1015</f>
        <v>45237</v>
      </c>
      <c r="I1018" s="113">
        <f t="shared" si="462"/>
        <v>0</v>
      </c>
      <c r="J1018" s="113">
        <f t="shared" si="462"/>
        <v>72</v>
      </c>
      <c r="K1018" s="113">
        <f t="shared" si="462"/>
        <v>2824.1666666666665</v>
      </c>
      <c r="L1018" s="113">
        <f t="shared" si="462"/>
        <v>0</v>
      </c>
      <c r="M1018" s="113">
        <f t="shared" si="462"/>
        <v>0</v>
      </c>
      <c r="N1018" s="113">
        <f t="shared" si="462"/>
        <v>105.5</v>
      </c>
      <c r="O1018" s="113">
        <f t="shared" si="462"/>
        <v>276</v>
      </c>
      <c r="P1018" s="113">
        <v>0</v>
      </c>
      <c r="Q1018" s="113">
        <f t="shared" si="462"/>
        <v>1</v>
      </c>
      <c r="R1018" s="113">
        <f t="shared" si="462"/>
        <v>1</v>
      </c>
      <c r="S1018" s="113">
        <f>S1015/9</f>
        <v>9600.2222222222226</v>
      </c>
      <c r="T1018" s="113">
        <f>T1015/9</f>
        <v>18.333333333333332</v>
      </c>
      <c r="U1018" s="113">
        <f>U1015/9</f>
        <v>100.55555555555556</v>
      </c>
      <c r="V1018" s="113">
        <f>V1015</f>
        <v>0</v>
      </c>
      <c r="W1018" s="113">
        <f>W1015</f>
        <v>0</v>
      </c>
      <c r="X1018" s="180">
        <f>X1017</f>
        <v>0</v>
      </c>
      <c r="Y1018" s="180">
        <f>Y1017</f>
        <v>0</v>
      </c>
      <c r="Z1018" s="180">
        <f>Z1017</f>
        <v>0</v>
      </c>
      <c r="AA1018" s="176">
        <f>SUM(G1018:Z1018)</f>
        <v>422344.9444444445</v>
      </c>
      <c r="AB1018" s="177" t="str">
        <f t="shared" si="453"/>
        <v>ok</v>
      </c>
    </row>
    <row r="1019" spans="1:28" s="175" customFormat="1">
      <c r="A1019" s="61" t="s">
        <v>1343</v>
      </c>
      <c r="B1019" s="61"/>
      <c r="C1019" s="61"/>
      <c r="D1019" s="61" t="s">
        <v>1344</v>
      </c>
      <c r="E1019" s="61"/>
      <c r="F1019" s="80">
        <v>422165.4444444445</v>
      </c>
      <c r="G1019" s="113">
        <f>G1018</f>
        <v>364109.16666666669</v>
      </c>
      <c r="H1019" s="113">
        <f>H1018</f>
        <v>45237</v>
      </c>
      <c r="I1019" s="113">
        <f>I1018</f>
        <v>0</v>
      </c>
      <c r="J1019" s="113"/>
      <c r="K1019" s="113">
        <f>K1018</f>
        <v>2824.1666666666665</v>
      </c>
      <c r="L1019" s="113"/>
      <c r="M1019" s="113"/>
      <c r="N1019" s="113"/>
      <c r="O1019" s="113">
        <f>O1018</f>
        <v>276</v>
      </c>
      <c r="P1019" s="113"/>
      <c r="Q1019" s="113"/>
      <c r="R1019" s="113"/>
      <c r="S1019" s="113">
        <f>S1018</f>
        <v>9600.2222222222226</v>
      </c>
      <c r="T1019" s="113">
        <f>T1018</f>
        <v>18.333333333333332</v>
      </c>
      <c r="U1019" s="113">
        <f>U1018</f>
        <v>100.55555555555556</v>
      </c>
      <c r="V1019" s="113"/>
      <c r="W1019" s="113"/>
      <c r="X1019" s="180"/>
      <c r="Y1019" s="180"/>
      <c r="Z1019" s="180"/>
      <c r="AA1019" s="176">
        <f>SUM(G1019:Z1019)</f>
        <v>422165.4444444445</v>
      </c>
      <c r="AB1019" s="177" t="str">
        <f>IF(ABS(F1019-AA1019)&lt;0.01,"ok","err")</f>
        <v>ok</v>
      </c>
    </row>
    <row r="1020" spans="1:28" s="175" customFormat="1">
      <c r="A1020" s="61"/>
      <c r="B1020" s="61"/>
      <c r="C1020" s="61"/>
      <c r="D1020" s="61"/>
      <c r="E1020" s="61"/>
      <c r="F1020" s="80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80"/>
      <c r="Y1020" s="180"/>
      <c r="Z1020" s="180"/>
      <c r="AA1020" s="176"/>
      <c r="AB1020" s="177"/>
    </row>
    <row r="1021" spans="1:28" s="175" customFormat="1" ht="15">
      <c r="A1021" s="66" t="s">
        <v>898</v>
      </c>
      <c r="B1021" s="61"/>
      <c r="C1021" s="61"/>
      <c r="D1021" s="61"/>
      <c r="E1021" s="61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176"/>
      <c r="Y1021" s="176"/>
      <c r="Z1021" s="176"/>
      <c r="AA1021" s="176"/>
      <c r="AB1021" s="177"/>
    </row>
    <row r="1022" spans="1:28" s="175" customFormat="1">
      <c r="A1022" s="61" t="s">
        <v>1341</v>
      </c>
      <c r="B1022" s="61"/>
      <c r="C1022" s="61"/>
      <c r="D1022" s="61"/>
      <c r="E1022" s="61"/>
      <c r="F1022" s="80">
        <v>500110.83333333337</v>
      </c>
      <c r="G1022" s="80">
        <f>G1011</f>
        <v>364109.16666666669</v>
      </c>
      <c r="H1022" s="80">
        <f t="shared" ref="H1022:R1022" si="463">H1011</f>
        <v>45237</v>
      </c>
      <c r="I1022" s="80">
        <f t="shared" si="463"/>
        <v>0</v>
      </c>
      <c r="J1022" s="80">
        <f t="shared" si="463"/>
        <v>72</v>
      </c>
      <c r="K1022" s="80">
        <f t="shared" si="463"/>
        <v>2824.1666666666665</v>
      </c>
      <c r="L1022" s="80">
        <f t="shared" si="463"/>
        <v>0</v>
      </c>
      <c r="M1022" s="80">
        <f t="shared" si="463"/>
        <v>0</v>
      </c>
      <c r="N1022" s="80">
        <f t="shared" si="463"/>
        <v>105.5</v>
      </c>
      <c r="O1022" s="80">
        <f t="shared" si="463"/>
        <v>276</v>
      </c>
      <c r="P1022" s="80">
        <f t="shared" si="463"/>
        <v>13</v>
      </c>
      <c r="Q1022" s="80">
        <f t="shared" si="463"/>
        <v>1</v>
      </c>
      <c r="R1022" s="80">
        <f t="shared" si="463"/>
        <v>1</v>
      </c>
      <c r="S1022" s="80">
        <f>S1011</f>
        <v>86402</v>
      </c>
      <c r="T1022" s="80">
        <f>T1011</f>
        <v>165</v>
      </c>
      <c r="U1022" s="80">
        <f>U1011</f>
        <v>905</v>
      </c>
      <c r="V1022" s="80">
        <v>0</v>
      </c>
      <c r="W1022" s="80">
        <v>0</v>
      </c>
      <c r="X1022" s="176">
        <v>0</v>
      </c>
      <c r="Y1022" s="176">
        <v>0</v>
      </c>
      <c r="Z1022" s="176">
        <v>0</v>
      </c>
      <c r="AA1022" s="176">
        <f t="shared" ref="AA1022:AA1027" si="464">SUM(G1022:Z1022)</f>
        <v>500110.83333333337</v>
      </c>
      <c r="AB1022" s="177" t="str">
        <f t="shared" ref="AB1022:AB1029" si="465">IF(ABS(F1022-AA1022)&lt;0.01,"ok","err")</f>
        <v>ok</v>
      </c>
    </row>
    <row r="1023" spans="1:28" s="175" customFormat="1">
      <c r="A1023" s="61" t="s">
        <v>1367</v>
      </c>
      <c r="B1023" s="61"/>
      <c r="C1023" s="61"/>
      <c r="D1023" s="61"/>
      <c r="E1023" s="61"/>
      <c r="F1023" s="80">
        <v>422349.03333333338</v>
      </c>
      <c r="G1023" s="113">
        <f>G1022</f>
        <v>364109.16666666669</v>
      </c>
      <c r="H1023" s="113">
        <f t="shared" ref="H1023:U1023" si="466">H1022</f>
        <v>45237</v>
      </c>
      <c r="I1023" s="113">
        <f t="shared" si="466"/>
        <v>0</v>
      </c>
      <c r="J1023" s="113">
        <f t="shared" si="466"/>
        <v>72</v>
      </c>
      <c r="K1023" s="113">
        <f t="shared" si="466"/>
        <v>2824.1666666666665</v>
      </c>
      <c r="L1023" s="113">
        <f t="shared" si="466"/>
        <v>0</v>
      </c>
      <c r="M1023" s="113">
        <f t="shared" si="466"/>
        <v>0</v>
      </c>
      <c r="N1023" s="113">
        <f t="shared" si="466"/>
        <v>105.5</v>
      </c>
      <c r="O1023" s="113">
        <f t="shared" si="466"/>
        <v>276</v>
      </c>
      <c r="P1023" s="113">
        <f t="shared" si="466"/>
        <v>13</v>
      </c>
      <c r="Q1023" s="113">
        <f t="shared" si="466"/>
        <v>1</v>
      </c>
      <c r="R1023" s="113">
        <f t="shared" si="466"/>
        <v>1</v>
      </c>
      <c r="S1023" s="113">
        <f>S1022/10</f>
        <v>8640.2000000000007</v>
      </c>
      <c r="T1023" s="113">
        <f t="shared" si="466"/>
        <v>165</v>
      </c>
      <c r="U1023" s="113">
        <f t="shared" si="466"/>
        <v>905</v>
      </c>
      <c r="V1023" s="113">
        <f t="shared" ref="V1023:Z1024" si="467">V1022</f>
        <v>0</v>
      </c>
      <c r="W1023" s="113">
        <f t="shared" si="467"/>
        <v>0</v>
      </c>
      <c r="X1023" s="180">
        <f t="shared" si="467"/>
        <v>0</v>
      </c>
      <c r="Y1023" s="180">
        <f t="shared" si="467"/>
        <v>0</v>
      </c>
      <c r="Z1023" s="180">
        <f t="shared" si="467"/>
        <v>0</v>
      </c>
      <c r="AA1023" s="176">
        <f t="shared" si="464"/>
        <v>422349.03333333338</v>
      </c>
      <c r="AB1023" s="177" t="str">
        <f t="shared" si="465"/>
        <v>ok</v>
      </c>
    </row>
    <row r="1024" spans="1:28" s="175" customFormat="1">
      <c r="A1024" s="61" t="s">
        <v>1342</v>
      </c>
      <c r="B1024" s="61"/>
      <c r="C1024" s="61"/>
      <c r="D1024" s="61"/>
      <c r="E1024" s="61"/>
      <c r="F1024" s="80">
        <v>487695.58888888889</v>
      </c>
      <c r="G1024" s="113">
        <f>G1013</f>
        <v>364109.16666666669</v>
      </c>
      <c r="H1024" s="113">
        <f>H1023*2</f>
        <v>90474</v>
      </c>
      <c r="I1024" s="113">
        <f>I1023*2</f>
        <v>0</v>
      </c>
      <c r="J1024" s="113">
        <f>J1023*5</f>
        <v>360</v>
      </c>
      <c r="K1024" s="113">
        <f>K1023*5</f>
        <v>14120.833333333332</v>
      </c>
      <c r="L1024" s="113">
        <f>L1023*25</f>
        <v>0</v>
      </c>
      <c r="M1024" s="113">
        <f>M1023*25</f>
        <v>0</v>
      </c>
      <c r="N1024" s="113">
        <f>N1023*25</f>
        <v>2637.5</v>
      </c>
      <c r="O1024" s="113">
        <f>O1023*25</f>
        <v>6900</v>
      </c>
      <c r="P1024" s="113">
        <f>P1023*25</f>
        <v>325</v>
      </c>
      <c r="Q1024" s="113">
        <f>Q1023*5</f>
        <v>5</v>
      </c>
      <c r="R1024" s="113">
        <f>R1023*5</f>
        <v>5</v>
      </c>
      <c r="S1024" s="113">
        <f>S1023</f>
        <v>8640.2000000000007</v>
      </c>
      <c r="T1024" s="113">
        <f>T1023*1/9</f>
        <v>18.333333333333332</v>
      </c>
      <c r="U1024" s="113">
        <f>U1023*1/9</f>
        <v>100.55555555555556</v>
      </c>
      <c r="V1024" s="113">
        <f t="shared" si="467"/>
        <v>0</v>
      </c>
      <c r="W1024" s="113">
        <f t="shared" si="467"/>
        <v>0</v>
      </c>
      <c r="X1024" s="180">
        <f t="shared" si="467"/>
        <v>0</v>
      </c>
      <c r="Y1024" s="180">
        <f t="shared" si="467"/>
        <v>0</v>
      </c>
      <c r="Z1024" s="180">
        <f t="shared" si="467"/>
        <v>0</v>
      </c>
      <c r="AA1024" s="176">
        <f t="shared" si="464"/>
        <v>487695.58888888889</v>
      </c>
      <c r="AB1024" s="177" t="str">
        <f t="shared" si="465"/>
        <v>ok</v>
      </c>
    </row>
    <row r="1025" spans="1:29" s="175" customFormat="1">
      <c r="A1025" s="112" t="s">
        <v>629</v>
      </c>
      <c r="B1025" s="61"/>
      <c r="C1025" s="61"/>
      <c r="D1025" s="61"/>
      <c r="E1025" s="61"/>
      <c r="F1025" s="113">
        <v>99670957.681538463</v>
      </c>
      <c r="G1025" s="61"/>
      <c r="H1025" s="61"/>
      <c r="I1025" s="61"/>
      <c r="J1025" s="61"/>
      <c r="K1025" s="113"/>
      <c r="L1025" s="80">
        <v>0</v>
      </c>
      <c r="M1025" s="61"/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113">
        <f>F1025</f>
        <v>99670957.681538463</v>
      </c>
      <c r="T1025" s="113">
        <v>0</v>
      </c>
      <c r="U1025" s="113">
        <v>0</v>
      </c>
      <c r="V1025" s="113">
        <v>0</v>
      </c>
      <c r="W1025" s="113">
        <v>0</v>
      </c>
      <c r="X1025" s="180"/>
      <c r="Y1025" s="180"/>
      <c r="Z1025" s="180"/>
      <c r="AA1025" s="176">
        <f t="shared" si="464"/>
        <v>99670957.681538463</v>
      </c>
      <c r="AB1025" s="177" t="str">
        <f t="shared" si="465"/>
        <v>ok</v>
      </c>
    </row>
    <row r="1026" spans="1:29" s="175" customFormat="1">
      <c r="A1026" s="61" t="s">
        <v>155</v>
      </c>
      <c r="B1026" s="61"/>
      <c r="C1026" s="61"/>
      <c r="D1026" s="61"/>
      <c r="E1026" s="61"/>
      <c r="F1026" s="80">
        <v>500110.83333333337</v>
      </c>
      <c r="G1026" s="113">
        <f>G1022</f>
        <v>364109.16666666669</v>
      </c>
      <c r="H1026" s="113">
        <f>H1023</f>
        <v>45237</v>
      </c>
      <c r="I1026" s="113">
        <f>I1023</f>
        <v>0</v>
      </c>
      <c r="J1026" s="113">
        <f>J1023</f>
        <v>72</v>
      </c>
      <c r="K1026" s="113">
        <f t="shared" ref="K1026:W1026" si="468">K1023</f>
        <v>2824.1666666666665</v>
      </c>
      <c r="L1026" s="113">
        <f t="shared" si="468"/>
        <v>0</v>
      </c>
      <c r="M1026" s="113">
        <f t="shared" si="468"/>
        <v>0</v>
      </c>
      <c r="N1026" s="113">
        <f t="shared" si="468"/>
        <v>105.5</v>
      </c>
      <c r="O1026" s="113">
        <f>O1023</f>
        <v>276</v>
      </c>
      <c r="P1026" s="113">
        <f t="shared" si="468"/>
        <v>13</v>
      </c>
      <c r="Q1026" s="113">
        <f t="shared" si="468"/>
        <v>1</v>
      </c>
      <c r="R1026" s="113">
        <f t="shared" si="468"/>
        <v>1</v>
      </c>
      <c r="S1026" s="113">
        <f>S1022</f>
        <v>86402</v>
      </c>
      <c r="T1026" s="113">
        <f t="shared" si="468"/>
        <v>165</v>
      </c>
      <c r="U1026" s="113">
        <f t="shared" si="468"/>
        <v>905</v>
      </c>
      <c r="V1026" s="113">
        <f t="shared" si="468"/>
        <v>0</v>
      </c>
      <c r="W1026" s="113">
        <f t="shared" si="468"/>
        <v>0</v>
      </c>
      <c r="X1026" s="180">
        <f>X1024</f>
        <v>0</v>
      </c>
      <c r="Y1026" s="180">
        <f>Y1024</f>
        <v>0</v>
      </c>
      <c r="Z1026" s="180">
        <f>Z1024</f>
        <v>0</v>
      </c>
      <c r="AA1026" s="176">
        <f t="shared" si="464"/>
        <v>500110.83333333337</v>
      </c>
      <c r="AB1026" s="177" t="str">
        <f t="shared" si="465"/>
        <v>ok</v>
      </c>
    </row>
    <row r="1027" spans="1:29" s="175" customFormat="1">
      <c r="A1027" s="61" t="s">
        <v>1368</v>
      </c>
      <c r="B1027" s="61"/>
      <c r="C1027" s="61"/>
      <c r="D1027" s="61"/>
      <c r="E1027" s="61"/>
      <c r="F1027" s="80">
        <v>421397.92222222226</v>
      </c>
      <c r="G1027" s="113">
        <f>G1023</f>
        <v>364109.16666666669</v>
      </c>
      <c r="H1027" s="113">
        <f t="shared" ref="H1027:N1027" si="469">H1023</f>
        <v>45237</v>
      </c>
      <c r="I1027" s="113">
        <f t="shared" si="469"/>
        <v>0</v>
      </c>
      <c r="J1027" s="113">
        <f t="shared" si="469"/>
        <v>72</v>
      </c>
      <c r="K1027" s="113">
        <f t="shared" si="469"/>
        <v>2824.1666666666665</v>
      </c>
      <c r="L1027" s="113">
        <f t="shared" si="469"/>
        <v>0</v>
      </c>
      <c r="M1027" s="113">
        <f t="shared" si="469"/>
        <v>0</v>
      </c>
      <c r="N1027" s="113">
        <f t="shared" si="469"/>
        <v>105.5</v>
      </c>
      <c r="O1027" s="113">
        <f>O1026</f>
        <v>276</v>
      </c>
      <c r="P1027" s="113">
        <f>P1026</f>
        <v>13</v>
      </c>
      <c r="Q1027" s="113">
        <f>Q1026</f>
        <v>1</v>
      </c>
      <c r="R1027" s="113">
        <f>R1026</f>
        <v>1</v>
      </c>
      <c r="S1027" s="113">
        <f>S1026/10</f>
        <v>8640.2000000000007</v>
      </c>
      <c r="T1027" s="113">
        <f>T1026/9</f>
        <v>18.333333333333332</v>
      </c>
      <c r="U1027" s="113">
        <f>U1026/9</f>
        <v>100.55555555555556</v>
      </c>
      <c r="V1027" s="113">
        <f>V1026</f>
        <v>0</v>
      </c>
      <c r="W1027" s="113">
        <f>W1026</f>
        <v>0</v>
      </c>
      <c r="X1027" s="180"/>
      <c r="Y1027" s="180"/>
      <c r="Z1027" s="180"/>
      <c r="AA1027" s="176">
        <f t="shared" si="464"/>
        <v>421397.92222222226</v>
      </c>
      <c r="AB1027" s="177" t="str">
        <f t="shared" si="465"/>
        <v>ok</v>
      </c>
    </row>
    <row r="1028" spans="1:29" s="175" customFormat="1">
      <c r="A1028" s="61" t="s">
        <v>886</v>
      </c>
      <c r="B1028" s="61"/>
      <c r="C1028" s="61"/>
      <c r="D1028" s="61"/>
      <c r="E1028" s="61"/>
      <c r="F1028" s="80">
        <v>421205.42222222226</v>
      </c>
      <c r="G1028" s="113">
        <f>G1027</f>
        <v>364109.16666666669</v>
      </c>
      <c r="H1028" s="113">
        <f>H1027</f>
        <v>45237</v>
      </c>
      <c r="I1028" s="113">
        <f>I1027</f>
        <v>0</v>
      </c>
      <c r="J1028" s="113">
        <v>0</v>
      </c>
      <c r="K1028" s="113">
        <f>K1027</f>
        <v>2824.1666666666665</v>
      </c>
      <c r="L1028" s="113">
        <v>0</v>
      </c>
      <c r="M1028" s="113">
        <v>0</v>
      </c>
      <c r="N1028" s="113">
        <v>0</v>
      </c>
      <c r="O1028" s="113">
        <f>O1027</f>
        <v>276</v>
      </c>
      <c r="P1028" s="113">
        <v>0</v>
      </c>
      <c r="Q1028" s="113">
        <v>0</v>
      </c>
      <c r="R1028" s="113">
        <v>0</v>
      </c>
      <c r="S1028" s="113">
        <f>S1027</f>
        <v>8640.2000000000007</v>
      </c>
      <c r="T1028" s="113">
        <f>T1026/9</f>
        <v>18.333333333333332</v>
      </c>
      <c r="U1028" s="113">
        <f>U1026/9</f>
        <v>100.55555555555556</v>
      </c>
      <c r="V1028" s="113">
        <v>0</v>
      </c>
      <c r="W1028" s="113">
        <f>W1027</f>
        <v>0</v>
      </c>
      <c r="X1028" s="180"/>
      <c r="Y1028" s="180"/>
      <c r="Z1028" s="180"/>
      <c r="AA1028" s="176">
        <f>SUM(G1028:Z1028)</f>
        <v>421205.42222222226</v>
      </c>
      <c r="AB1028" s="177" t="str">
        <f t="shared" si="465"/>
        <v>ok</v>
      </c>
    </row>
    <row r="1029" spans="1:29" s="175" customFormat="1">
      <c r="A1029" s="61" t="s">
        <v>887</v>
      </c>
      <c r="B1029" s="61"/>
      <c r="C1029" s="61"/>
      <c r="D1029" s="61"/>
      <c r="E1029" s="61"/>
      <c r="F1029" s="80">
        <v>421384.92222222226</v>
      </c>
      <c r="G1029" s="113">
        <f>G1027</f>
        <v>364109.16666666669</v>
      </c>
      <c r="H1029" s="113">
        <f t="shared" ref="H1029:Z1029" si="470">+H1022</f>
        <v>45237</v>
      </c>
      <c r="I1029" s="113">
        <f t="shared" si="470"/>
        <v>0</v>
      </c>
      <c r="J1029" s="113">
        <f t="shared" si="470"/>
        <v>72</v>
      </c>
      <c r="K1029" s="113">
        <f t="shared" si="470"/>
        <v>2824.1666666666665</v>
      </c>
      <c r="L1029" s="113">
        <f t="shared" si="470"/>
        <v>0</v>
      </c>
      <c r="M1029" s="113">
        <f t="shared" si="470"/>
        <v>0</v>
      </c>
      <c r="N1029" s="113">
        <f t="shared" si="470"/>
        <v>105.5</v>
      </c>
      <c r="O1029" s="113">
        <f t="shared" si="470"/>
        <v>276</v>
      </c>
      <c r="P1029" s="113">
        <v>0</v>
      </c>
      <c r="Q1029" s="113">
        <f t="shared" si="470"/>
        <v>1</v>
      </c>
      <c r="R1029" s="113">
        <f t="shared" si="470"/>
        <v>1</v>
      </c>
      <c r="S1029" s="113">
        <f>+S1022/10</f>
        <v>8640.2000000000007</v>
      </c>
      <c r="T1029" s="113">
        <f>+T1022/9</f>
        <v>18.333333333333332</v>
      </c>
      <c r="U1029" s="113">
        <f>+U1022/9</f>
        <v>100.55555555555556</v>
      </c>
      <c r="V1029" s="113">
        <f t="shared" si="470"/>
        <v>0</v>
      </c>
      <c r="W1029" s="113">
        <f t="shared" si="470"/>
        <v>0</v>
      </c>
      <c r="X1029" s="180">
        <f t="shared" si="470"/>
        <v>0</v>
      </c>
      <c r="Y1029" s="180">
        <f t="shared" si="470"/>
        <v>0</v>
      </c>
      <c r="Z1029" s="180">
        <f t="shared" si="470"/>
        <v>0</v>
      </c>
      <c r="AA1029" s="176">
        <f>SUM(G1029:Z1029)</f>
        <v>421384.92222222226</v>
      </c>
      <c r="AB1029" s="177" t="str">
        <f t="shared" si="465"/>
        <v>ok</v>
      </c>
    </row>
    <row r="1030" spans="1:29" s="175" customFormat="1">
      <c r="A1030" s="61" t="s">
        <v>1343</v>
      </c>
      <c r="B1030" s="61"/>
      <c r="C1030" s="61"/>
      <c r="D1030" s="61"/>
      <c r="E1030" s="61"/>
      <c r="F1030" s="80">
        <v>422165.4444444445</v>
      </c>
      <c r="G1030" s="113">
        <f>G1019</f>
        <v>364109.16666666669</v>
      </c>
      <c r="H1030" s="113">
        <f t="shared" ref="H1030:U1030" si="471">H1019</f>
        <v>45237</v>
      </c>
      <c r="I1030" s="113">
        <f t="shared" si="471"/>
        <v>0</v>
      </c>
      <c r="J1030" s="113">
        <f t="shared" si="471"/>
        <v>0</v>
      </c>
      <c r="K1030" s="113">
        <f t="shared" si="471"/>
        <v>2824.1666666666665</v>
      </c>
      <c r="L1030" s="113">
        <f t="shared" si="471"/>
        <v>0</v>
      </c>
      <c r="M1030" s="113">
        <f t="shared" si="471"/>
        <v>0</v>
      </c>
      <c r="N1030" s="113">
        <f t="shared" si="471"/>
        <v>0</v>
      </c>
      <c r="O1030" s="113">
        <f t="shared" si="471"/>
        <v>276</v>
      </c>
      <c r="P1030" s="113">
        <f t="shared" si="471"/>
        <v>0</v>
      </c>
      <c r="Q1030" s="113">
        <f t="shared" si="471"/>
        <v>0</v>
      </c>
      <c r="R1030" s="113">
        <f t="shared" si="471"/>
        <v>0</v>
      </c>
      <c r="S1030" s="113">
        <f t="shared" si="471"/>
        <v>9600.2222222222226</v>
      </c>
      <c r="T1030" s="113">
        <f t="shared" si="471"/>
        <v>18.333333333333332</v>
      </c>
      <c r="U1030" s="113">
        <f t="shared" si="471"/>
        <v>100.55555555555556</v>
      </c>
      <c r="V1030" s="113"/>
      <c r="W1030" s="113"/>
      <c r="X1030" s="180"/>
      <c r="Y1030" s="180"/>
      <c r="Z1030" s="180"/>
      <c r="AA1030" s="176">
        <f>SUM(G1030:Z1030)</f>
        <v>422165.4444444445</v>
      </c>
      <c r="AB1030" s="177" t="str">
        <f>IF(ABS(F1030-AA1030)&lt;0.01,"ok","err")</f>
        <v>ok</v>
      </c>
    </row>
    <row r="1031" spans="1:29" s="175" customFormat="1">
      <c r="A1031" s="61"/>
      <c r="B1031" s="61"/>
      <c r="C1031" s="61"/>
      <c r="D1031" s="61"/>
      <c r="E1031" s="61"/>
      <c r="F1031" s="80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80"/>
      <c r="Y1031" s="180"/>
      <c r="Z1031" s="180"/>
      <c r="AA1031" s="176"/>
      <c r="AB1031" s="177"/>
    </row>
    <row r="1032" spans="1:29" s="175" customFormat="1" ht="15">
      <c r="A1032" s="60" t="s">
        <v>888</v>
      </c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</row>
    <row r="1033" spans="1:29" s="175" customFormat="1">
      <c r="A1033" s="61" t="s">
        <v>1379</v>
      </c>
      <c r="B1033" s="61"/>
      <c r="C1033" s="61"/>
      <c r="D1033" s="61" t="s">
        <v>1381</v>
      </c>
      <c r="E1033" s="61"/>
      <c r="F1033" s="80">
        <v>3508847.3591729756</v>
      </c>
      <c r="G1033" s="80">
        <f>'Billing Det'!G8</f>
        <v>1559289.3204656634</v>
      </c>
      <c r="H1033" s="80">
        <f>'Billing Det'!G10</f>
        <v>448837.09044295392</v>
      </c>
      <c r="I1033" s="80">
        <v>0</v>
      </c>
      <c r="J1033" s="80">
        <f>'Billing Det'!G12</f>
        <v>39879.56851315892</v>
      </c>
      <c r="K1033" s="80">
        <f>'Billing Det'!G14</f>
        <v>462866.52612677042</v>
      </c>
      <c r="L1033" s="80">
        <v>0</v>
      </c>
      <c r="M1033" s="80">
        <v>0</v>
      </c>
      <c r="N1033" s="80">
        <f>'Billing Det'!G16</f>
        <v>421067.29567910882</v>
      </c>
      <c r="O1033" s="80">
        <f>'Billing Det'!G18</f>
        <v>250007.66146166611</v>
      </c>
      <c r="P1033" s="80">
        <f>'Billing Det'!G20</f>
        <v>258962.35245895264</v>
      </c>
      <c r="Q1033" s="80">
        <f>'Billing Det'!G22</f>
        <v>26104.545320274483</v>
      </c>
      <c r="R1033" s="80">
        <f>'Billing Det'!G24</f>
        <v>13663.49459080668</v>
      </c>
      <c r="S1033" s="80">
        <f>'Billing Det'!G26</f>
        <v>26916.48368426325</v>
      </c>
      <c r="T1033" s="80">
        <f>'Billing Det'!G28</f>
        <v>860.86684661971549</v>
      </c>
      <c r="U1033" s="80">
        <f>'Billing Det'!G30</f>
        <v>392.15358273782084</v>
      </c>
      <c r="V1033" s="80">
        <v>0</v>
      </c>
      <c r="W1033" s="80">
        <v>0</v>
      </c>
      <c r="X1033" s="176">
        <v>0</v>
      </c>
      <c r="Y1033" s="176">
        <v>0</v>
      </c>
      <c r="Z1033" s="176">
        <v>0</v>
      </c>
      <c r="AA1033" s="176">
        <f t="shared" ref="AA1033" si="472">SUM(G1033:Z1033)</f>
        <v>3508847.3591729756</v>
      </c>
      <c r="AB1033" s="177" t="str">
        <f t="shared" ref="AB1033" si="473">IF(ABS(F1033-AA1033)&lt;0.01,"ok","err")</f>
        <v>ok</v>
      </c>
      <c r="AC1033" s="180"/>
    </row>
    <row r="1034" spans="1:29" s="175" customFormat="1">
      <c r="A1034" s="61" t="s">
        <v>1380</v>
      </c>
      <c r="B1034" s="61"/>
      <c r="C1034" s="61"/>
      <c r="D1034" s="61" t="s">
        <v>1382</v>
      </c>
      <c r="E1034" s="61"/>
      <c r="F1034" s="80">
        <v>3249885.0067140232</v>
      </c>
      <c r="G1034" s="80">
        <f>'Billing Det'!G8</f>
        <v>1559289.3204656634</v>
      </c>
      <c r="H1034" s="80">
        <f>'Billing Det'!G10</f>
        <v>448837.09044295392</v>
      </c>
      <c r="I1034" s="80">
        <v>0</v>
      </c>
      <c r="J1034" s="80">
        <f>'Billing Det'!G12</f>
        <v>39879.56851315892</v>
      </c>
      <c r="K1034" s="80">
        <f>'Billing Det'!G14</f>
        <v>462866.52612677042</v>
      </c>
      <c r="L1034" s="80">
        <v>0</v>
      </c>
      <c r="M1034" s="80">
        <v>0</v>
      </c>
      <c r="N1034" s="80">
        <f>'Billing Det'!G16</f>
        <v>421067.29567910882</v>
      </c>
      <c r="O1034" s="80">
        <f>'Billing Det'!G18</f>
        <v>250007.66146166611</v>
      </c>
      <c r="P1034" s="80">
        <v>0</v>
      </c>
      <c r="Q1034" s="80">
        <f>'Billing Det'!G22</f>
        <v>26104.545320274483</v>
      </c>
      <c r="R1034" s="80">
        <f>'Billing Det'!G24</f>
        <v>13663.49459080668</v>
      </c>
      <c r="S1034" s="80">
        <f>'Billing Det'!G26</f>
        <v>26916.48368426325</v>
      </c>
      <c r="T1034" s="80">
        <f>'Billing Det'!G28</f>
        <v>860.86684661971549</v>
      </c>
      <c r="U1034" s="80">
        <f>'Billing Det'!G30</f>
        <v>392.15358273782084</v>
      </c>
      <c r="V1034" s="80">
        <v>0</v>
      </c>
      <c r="W1034" s="80">
        <v>0</v>
      </c>
      <c r="X1034" s="176">
        <v>0</v>
      </c>
      <c r="Y1034" s="176">
        <v>0</v>
      </c>
      <c r="Z1034" s="176">
        <v>0</v>
      </c>
      <c r="AA1034" s="176">
        <f t="shared" ref="AA1034:AA1036" si="474">SUM(G1034:Z1034)</f>
        <v>3249885.0067140232</v>
      </c>
      <c r="AB1034" s="177" t="str">
        <f t="shared" ref="AB1034:AB1036" si="475">IF(ABS(F1034-AA1034)&lt;0.01,"ok","err")</f>
        <v>ok</v>
      </c>
      <c r="AC1034" s="180"/>
    </row>
    <row r="1035" spans="1:29" s="169" customFormat="1">
      <c r="A1035" s="61" t="s">
        <v>1345</v>
      </c>
      <c r="B1035" s="61"/>
      <c r="C1035" s="61"/>
      <c r="D1035" s="61" t="s">
        <v>1346</v>
      </c>
      <c r="E1035" s="61"/>
      <c r="F1035" s="80">
        <v>4718835.4705912843</v>
      </c>
      <c r="G1035" s="80">
        <f>'Billing Det'!K8</f>
        <v>3273931.5009418679</v>
      </c>
      <c r="H1035" s="80">
        <f>'Billing Det'!K10</f>
        <v>599114.69817621191</v>
      </c>
      <c r="I1035" s="80">
        <v>0</v>
      </c>
      <c r="J1035" s="80">
        <v>0</v>
      </c>
      <c r="K1035" s="80">
        <f>'Billing Det'!K14</f>
        <v>527644.55780038284</v>
      </c>
      <c r="L1035" s="80">
        <v>0</v>
      </c>
      <c r="M1035" s="80">
        <v>0</v>
      </c>
      <c r="N1035" s="80">
        <v>0</v>
      </c>
      <c r="O1035" s="80">
        <f>'Billing Det'!K18</f>
        <v>289975.20955920167</v>
      </c>
      <c r="P1035" s="80">
        <v>0</v>
      </c>
      <c r="Q1035" s="80">
        <v>0</v>
      </c>
      <c r="R1035" s="80">
        <v>0</v>
      </c>
      <c r="S1035" s="80">
        <f>'Billing Det'!K26</f>
        <v>26916.48368426325</v>
      </c>
      <c r="T1035" s="80">
        <f>'Billing Det'!K28</f>
        <v>860.86684661971549</v>
      </c>
      <c r="U1035" s="80">
        <f>'Billing Det'!K30</f>
        <v>392.15358273782084</v>
      </c>
      <c r="V1035" s="80">
        <v>0</v>
      </c>
      <c r="W1035" s="80">
        <v>0</v>
      </c>
      <c r="X1035" s="165">
        <v>0</v>
      </c>
      <c r="Y1035" s="165">
        <v>0</v>
      </c>
      <c r="Z1035" s="165">
        <v>0</v>
      </c>
      <c r="AA1035" s="165">
        <f t="shared" si="474"/>
        <v>4718835.4705912843</v>
      </c>
      <c r="AB1035" s="168" t="str">
        <f t="shared" si="475"/>
        <v>ok</v>
      </c>
    </row>
    <row r="1036" spans="1:29" s="169" customFormat="1">
      <c r="A1036" s="61" t="s">
        <v>677</v>
      </c>
      <c r="B1036" s="61"/>
      <c r="C1036" s="61"/>
      <c r="D1036" s="61" t="s">
        <v>678</v>
      </c>
      <c r="E1036" s="61"/>
      <c r="F1036" s="80">
        <v>3901215.7032317002</v>
      </c>
      <c r="G1036" s="80">
        <f>'Billing Det'!K8</f>
        <v>3273931.5009418679</v>
      </c>
      <c r="H1036" s="80">
        <f>'Billing Det'!K10</f>
        <v>599114.69817621191</v>
      </c>
      <c r="I1036" s="80">
        <v>0</v>
      </c>
      <c r="J1036" s="80">
        <v>0</v>
      </c>
      <c r="K1036" s="80">
        <v>0</v>
      </c>
      <c r="L1036" s="80">
        <v>0</v>
      </c>
      <c r="M1036" s="80">
        <v>0</v>
      </c>
      <c r="N1036" s="80">
        <v>0</v>
      </c>
      <c r="O1036" s="80">
        <v>0</v>
      </c>
      <c r="P1036" s="80">
        <v>0</v>
      </c>
      <c r="Q1036" s="80">
        <v>0</v>
      </c>
      <c r="R1036" s="80">
        <v>0</v>
      </c>
      <c r="S1036" s="80">
        <f>'Billing Det'!K26</f>
        <v>26916.48368426325</v>
      </c>
      <c r="T1036" s="80">
        <f>'Billing Det'!K28</f>
        <v>860.86684661971549</v>
      </c>
      <c r="U1036" s="80">
        <f>'Billing Det'!K30</f>
        <v>392.15358273782084</v>
      </c>
      <c r="V1036" s="80">
        <v>0</v>
      </c>
      <c r="W1036" s="80">
        <v>0</v>
      </c>
      <c r="X1036" s="165">
        <v>0</v>
      </c>
      <c r="Y1036" s="165">
        <v>0</v>
      </c>
      <c r="Z1036" s="165">
        <v>0</v>
      </c>
      <c r="AA1036" s="165">
        <f t="shared" si="474"/>
        <v>3901215.7032317002</v>
      </c>
      <c r="AB1036" s="168" t="str">
        <f t="shared" si="475"/>
        <v>ok</v>
      </c>
    </row>
    <row r="1037" spans="1:29" s="169" customFormat="1">
      <c r="A1037" s="61" t="s">
        <v>860</v>
      </c>
      <c r="B1037" s="61"/>
      <c r="C1037" s="61"/>
      <c r="D1037" s="61" t="s">
        <v>177</v>
      </c>
      <c r="E1037" s="61"/>
      <c r="F1037" s="80">
        <v>34305.024476596634</v>
      </c>
      <c r="G1037" s="80">
        <v>15474.683926041458</v>
      </c>
      <c r="H1037" s="80">
        <v>3909.8187758679132</v>
      </c>
      <c r="I1037" s="80">
        <v>0</v>
      </c>
      <c r="J1037" s="80">
        <v>395.56032235784733</v>
      </c>
      <c r="K1037" s="80">
        <v>5008.7163148799791</v>
      </c>
      <c r="L1037" s="80">
        <v>0</v>
      </c>
      <c r="M1037" s="80">
        <v>0</v>
      </c>
      <c r="N1037" s="80">
        <v>4137.4656061637088</v>
      </c>
      <c r="O1037" s="80">
        <v>2636.2115643355105</v>
      </c>
      <c r="P1037" s="80">
        <v>2344.9966791461329</v>
      </c>
      <c r="Q1037" s="80">
        <v>268.03257309782151</v>
      </c>
      <c r="R1037" s="80">
        <v>115.78895665485457</v>
      </c>
      <c r="S1037" s="80">
        <v>8.2645745505893835</v>
      </c>
      <c r="T1037" s="80">
        <v>0.26737576891544584</v>
      </c>
      <c r="U1037" s="80">
        <v>5.2178077319029716</v>
      </c>
      <c r="V1037" s="80">
        <v>0</v>
      </c>
      <c r="W1037" s="80">
        <v>0</v>
      </c>
      <c r="X1037" s="165"/>
      <c r="Y1037" s="165"/>
      <c r="Z1037" s="165"/>
      <c r="AA1037" s="165">
        <v>34305.024476596634</v>
      </c>
      <c r="AB1037" s="168" t="s">
        <v>1397</v>
      </c>
      <c r="AC1037" s="170"/>
    </row>
    <row r="1038" spans="1:29" s="169" customFormat="1">
      <c r="A1038" s="61" t="s">
        <v>861</v>
      </c>
      <c r="B1038" s="61"/>
      <c r="C1038" s="61"/>
      <c r="D1038" s="61" t="s">
        <v>178</v>
      </c>
      <c r="E1038" s="61"/>
      <c r="F1038" s="80">
        <v>34305.024476596634</v>
      </c>
      <c r="G1038" s="80">
        <v>15474.683926041458</v>
      </c>
      <c r="H1038" s="80">
        <v>3909.8187758679132</v>
      </c>
      <c r="I1038" s="80">
        <v>0</v>
      </c>
      <c r="J1038" s="80">
        <v>395.56032235784733</v>
      </c>
      <c r="K1038" s="80">
        <v>5008.7163148799791</v>
      </c>
      <c r="L1038" s="80">
        <v>0</v>
      </c>
      <c r="M1038" s="80">
        <v>0</v>
      </c>
      <c r="N1038" s="80">
        <v>4137.4656061637088</v>
      </c>
      <c r="O1038" s="80">
        <v>2636.2115643355105</v>
      </c>
      <c r="P1038" s="80">
        <v>2344.9966791461329</v>
      </c>
      <c r="Q1038" s="80">
        <v>268.03257309782151</v>
      </c>
      <c r="R1038" s="80">
        <v>115.78895665485457</v>
      </c>
      <c r="S1038" s="80">
        <v>8.2645745505893835</v>
      </c>
      <c r="T1038" s="80">
        <v>0.26737576891544584</v>
      </c>
      <c r="U1038" s="80">
        <v>5.2178077319029716</v>
      </c>
      <c r="V1038" s="80">
        <v>0</v>
      </c>
      <c r="W1038" s="80">
        <v>0</v>
      </c>
      <c r="X1038" s="165"/>
      <c r="Y1038" s="165"/>
      <c r="Z1038" s="165"/>
      <c r="AA1038" s="165">
        <v>34305.024476596634</v>
      </c>
      <c r="AB1038" s="168" t="s">
        <v>1397</v>
      </c>
    </row>
    <row r="1039" spans="1:29" s="169" customFormat="1">
      <c r="A1039" s="61" t="s">
        <v>858</v>
      </c>
      <c r="B1039" s="61"/>
      <c r="C1039" s="61"/>
      <c r="D1039" s="61" t="s">
        <v>859</v>
      </c>
      <c r="E1039" s="61"/>
      <c r="F1039" s="80">
        <v>34305.024476596634</v>
      </c>
      <c r="G1039" s="80">
        <v>15474.683926041458</v>
      </c>
      <c r="H1039" s="80">
        <v>3909.8187758679132</v>
      </c>
      <c r="I1039" s="80">
        <v>0</v>
      </c>
      <c r="J1039" s="80">
        <v>395.56032235784733</v>
      </c>
      <c r="K1039" s="80">
        <v>5008.7163148799791</v>
      </c>
      <c r="L1039" s="80">
        <v>0</v>
      </c>
      <c r="M1039" s="80">
        <v>0</v>
      </c>
      <c r="N1039" s="80">
        <v>4137.4656061637088</v>
      </c>
      <c r="O1039" s="80">
        <v>2636.2115643355105</v>
      </c>
      <c r="P1039" s="80">
        <v>2344.9966791461329</v>
      </c>
      <c r="Q1039" s="80">
        <v>268.03257309782151</v>
      </c>
      <c r="R1039" s="80">
        <v>115.78895665485457</v>
      </c>
      <c r="S1039" s="80">
        <v>8.2645745505893835</v>
      </c>
      <c r="T1039" s="80">
        <v>0.26737576891544584</v>
      </c>
      <c r="U1039" s="80">
        <v>5.2178077319029716</v>
      </c>
      <c r="V1039" s="80">
        <v>0</v>
      </c>
      <c r="W1039" s="80">
        <v>0</v>
      </c>
      <c r="X1039" s="165"/>
      <c r="Y1039" s="165"/>
      <c r="Z1039" s="165"/>
      <c r="AA1039" s="165">
        <v>34305.024476596634</v>
      </c>
      <c r="AB1039" s="168" t="s">
        <v>1397</v>
      </c>
      <c r="AC1039" s="174"/>
    </row>
    <row r="1040" spans="1:29" s="169" customFormat="1">
      <c r="A1040" s="61"/>
      <c r="B1040" s="61"/>
      <c r="C1040" s="61"/>
      <c r="D1040" s="61"/>
      <c r="E1040" s="61"/>
      <c r="F1040" s="111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172"/>
      <c r="Y1040" s="172"/>
      <c r="Z1040" s="172"/>
      <c r="AA1040" s="172"/>
      <c r="AB1040" s="168"/>
    </row>
    <row r="1041" spans="1:28" s="169" customFormat="1" ht="15">
      <c r="A1041" s="66" t="s">
        <v>1269</v>
      </c>
      <c r="B1041" s="61"/>
      <c r="C1041" s="61"/>
      <c r="D1041" s="61"/>
      <c r="E1041" s="61"/>
      <c r="F1041" s="111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172"/>
      <c r="Y1041" s="172"/>
      <c r="Z1041" s="172"/>
      <c r="AA1041" s="172"/>
      <c r="AB1041" s="168"/>
    </row>
    <row r="1042" spans="1:28" s="169" customFormat="1">
      <c r="A1042" s="61"/>
      <c r="B1042" s="61"/>
      <c r="C1042" s="61"/>
      <c r="D1042" s="61"/>
      <c r="E1042" s="61"/>
      <c r="F1042" s="111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172"/>
      <c r="Y1042" s="172"/>
      <c r="Z1042" s="172"/>
      <c r="AA1042" s="172"/>
      <c r="AB1042" s="168"/>
    </row>
    <row r="1043" spans="1:28" s="169" customFormat="1" ht="15">
      <c r="A1043" s="225" t="s">
        <v>899</v>
      </c>
      <c r="B1043" s="61"/>
      <c r="C1043" s="61"/>
      <c r="D1043" s="61"/>
      <c r="E1043" s="61"/>
      <c r="F1043" s="111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172"/>
      <c r="Y1043" s="172"/>
      <c r="Z1043" s="172"/>
      <c r="AA1043" s="172"/>
      <c r="AB1043" s="168"/>
    </row>
    <row r="1044" spans="1:28" s="169" customFormat="1">
      <c r="A1044" s="61" t="s">
        <v>667</v>
      </c>
      <c r="B1044" s="61"/>
      <c r="C1044" s="61"/>
      <c r="D1044" s="61" t="s">
        <v>186</v>
      </c>
      <c r="E1044" s="61"/>
      <c r="F1044" s="80">
        <f t="shared" ref="F1044:Z1044" si="476">F1038</f>
        <v>34305.024476596634</v>
      </c>
      <c r="G1044" s="80">
        <f t="shared" si="476"/>
        <v>15474.683926041458</v>
      </c>
      <c r="H1044" s="80">
        <f t="shared" si="476"/>
        <v>3909.8187758679132</v>
      </c>
      <c r="I1044" s="80">
        <f t="shared" si="476"/>
        <v>0</v>
      </c>
      <c r="J1044" s="80">
        <f t="shared" si="476"/>
        <v>395.56032235784733</v>
      </c>
      <c r="K1044" s="80">
        <f t="shared" si="476"/>
        <v>5008.7163148799791</v>
      </c>
      <c r="L1044" s="80">
        <f t="shared" si="476"/>
        <v>0</v>
      </c>
      <c r="M1044" s="80">
        <f t="shared" si="476"/>
        <v>0</v>
      </c>
      <c r="N1044" s="80">
        <f t="shared" si="476"/>
        <v>4137.4656061637088</v>
      </c>
      <c r="O1044" s="80">
        <f>O1038</f>
        <v>2636.2115643355105</v>
      </c>
      <c r="P1044" s="80">
        <f t="shared" si="476"/>
        <v>2344.9966791461329</v>
      </c>
      <c r="Q1044" s="80">
        <f t="shared" si="476"/>
        <v>268.03257309782151</v>
      </c>
      <c r="R1044" s="80">
        <f t="shared" si="476"/>
        <v>115.78895665485457</v>
      </c>
      <c r="S1044" s="80">
        <f t="shared" si="476"/>
        <v>8.2645745505893835</v>
      </c>
      <c r="T1044" s="80">
        <f t="shared" si="476"/>
        <v>0.26737576891544584</v>
      </c>
      <c r="U1044" s="80">
        <f t="shared" si="476"/>
        <v>5.2178077319029716</v>
      </c>
      <c r="V1044" s="80">
        <f t="shared" si="476"/>
        <v>0</v>
      </c>
      <c r="W1044" s="80">
        <f t="shared" si="476"/>
        <v>0</v>
      </c>
      <c r="X1044" s="165">
        <f t="shared" si="476"/>
        <v>0</v>
      </c>
      <c r="Y1044" s="165">
        <f t="shared" si="476"/>
        <v>0</v>
      </c>
      <c r="Z1044" s="165">
        <f t="shared" si="476"/>
        <v>0</v>
      </c>
      <c r="AA1044" s="165">
        <f>SUM(G1044:Z1044)</f>
        <v>34305.024476596634</v>
      </c>
      <c r="AB1044" s="168" t="str">
        <f t="shared" ref="AB1044:AB1049" si="477">IF(ABS(F1044-AA1044)&lt;0.01,"ok","err")</f>
        <v>ok</v>
      </c>
    </row>
    <row r="1045" spans="1:28" s="169" customFormat="1">
      <c r="A1045" s="61" t="s">
        <v>668</v>
      </c>
      <c r="B1045" s="61"/>
      <c r="C1045" s="61"/>
      <c r="D1045" s="61"/>
      <c r="E1045" s="61"/>
      <c r="F1045" s="81">
        <f>F183</f>
        <v>34803614.031254336</v>
      </c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AA1045" s="171">
        <f>F1045</f>
        <v>34803614.031254336</v>
      </c>
      <c r="AB1045" s="168" t="str">
        <f t="shared" si="477"/>
        <v>ok</v>
      </c>
    </row>
    <row r="1046" spans="1:28" s="169" customFormat="1">
      <c r="A1046" s="61" t="s">
        <v>154</v>
      </c>
      <c r="B1046" s="61"/>
      <c r="C1046" s="61"/>
      <c r="D1046" s="61"/>
      <c r="E1046" s="61"/>
      <c r="F1046" s="81">
        <v>0</v>
      </c>
      <c r="G1046" s="61"/>
      <c r="H1046" s="80">
        <v>0</v>
      </c>
      <c r="I1046" s="77">
        <v>0</v>
      </c>
      <c r="J1046" s="80">
        <v>0</v>
      </c>
      <c r="K1046" s="80">
        <v>0</v>
      </c>
      <c r="L1046" s="113">
        <v>0</v>
      </c>
      <c r="M1046" s="80">
        <v>0</v>
      </c>
      <c r="N1046" s="80">
        <v>0</v>
      </c>
      <c r="O1046" s="80">
        <v>0</v>
      </c>
      <c r="P1046" s="80">
        <v>0</v>
      </c>
      <c r="Q1046" s="61"/>
      <c r="R1046" s="61"/>
      <c r="S1046" s="61"/>
      <c r="T1046" s="80">
        <v>0</v>
      </c>
      <c r="U1046" s="61"/>
      <c r="V1046" s="80">
        <v>0</v>
      </c>
      <c r="W1046" s="80">
        <v>0</v>
      </c>
      <c r="AA1046" s="171">
        <f>SUM(G1046:Z1046)</f>
        <v>0</v>
      </c>
      <c r="AB1046" s="168" t="str">
        <f t="shared" si="477"/>
        <v>ok</v>
      </c>
    </row>
    <row r="1047" spans="1:28" s="169" customFormat="1">
      <c r="A1047" s="61" t="s">
        <v>669</v>
      </c>
      <c r="B1047" s="61"/>
      <c r="C1047" s="61"/>
      <c r="D1047" s="61"/>
      <c r="E1047" s="61" t="s">
        <v>186</v>
      </c>
      <c r="F1047" s="81">
        <f>F1045-F1046</f>
        <v>34803614.031254336</v>
      </c>
      <c r="G1047" s="77">
        <f t="shared" ref="G1047:Z1047" si="478">IF(VLOOKUP($E1047,$D$6:$AN$1131,3,)=0,0,(VLOOKUP($E1047,$D$6:$AN$1131,G$2,)/VLOOKUP($E1047,$D$6:$AN$1131,3,))*$F1047)</f>
        <v>15699593.130593034</v>
      </c>
      <c r="H1047" s="77">
        <f t="shared" si="478"/>
        <v>3966644.1194435228</v>
      </c>
      <c r="I1047" s="77">
        <f t="shared" si="478"/>
        <v>0</v>
      </c>
      <c r="J1047" s="77">
        <f t="shared" si="478"/>
        <v>401309.39987560874</v>
      </c>
      <c r="K1047" s="77">
        <f t="shared" si="478"/>
        <v>5081513.045823765</v>
      </c>
      <c r="L1047" s="77">
        <f t="shared" si="478"/>
        <v>0</v>
      </c>
      <c r="M1047" s="77">
        <f t="shared" si="478"/>
        <v>0</v>
      </c>
      <c r="N1047" s="77">
        <f t="shared" si="478"/>
        <v>4197599.5709535042</v>
      </c>
      <c r="O1047" s="77">
        <f t="shared" si="478"/>
        <v>2674526.2884874265</v>
      </c>
      <c r="P1047" s="77">
        <f t="shared" si="478"/>
        <v>2379078.8833645526</v>
      </c>
      <c r="Q1047" s="77">
        <f t="shared" si="478"/>
        <v>271928.16108510806</v>
      </c>
      <c r="R1047" s="77">
        <f t="shared" si="478"/>
        <v>117471.83446105491</v>
      </c>
      <c r="S1047" s="77">
        <f t="shared" si="478"/>
        <v>8384.6919563479732</v>
      </c>
      <c r="T1047" s="77">
        <f t="shared" si="478"/>
        <v>271.26181090444828</v>
      </c>
      <c r="U1047" s="77">
        <f t="shared" si="478"/>
        <v>5293.6433995065272</v>
      </c>
      <c r="V1047" s="77">
        <f t="shared" si="478"/>
        <v>0</v>
      </c>
      <c r="W1047" s="77">
        <f t="shared" si="478"/>
        <v>0</v>
      </c>
      <c r="X1047" s="166">
        <f t="shared" si="478"/>
        <v>0</v>
      </c>
      <c r="Y1047" s="166">
        <f t="shared" si="478"/>
        <v>0</v>
      </c>
      <c r="Z1047" s="166">
        <f t="shared" si="478"/>
        <v>0</v>
      </c>
      <c r="AA1047" s="171">
        <f>SUM(G1047:Z1047)</f>
        <v>34803614.031254336</v>
      </c>
      <c r="AB1047" s="168" t="str">
        <f t="shared" si="477"/>
        <v>ok</v>
      </c>
    </row>
    <row r="1048" spans="1:28" s="169" customFormat="1">
      <c r="A1048" s="61" t="s">
        <v>670</v>
      </c>
      <c r="B1048" s="61"/>
      <c r="C1048" s="61"/>
      <c r="D1048" s="61" t="s">
        <v>187</v>
      </c>
      <c r="E1048" s="61"/>
      <c r="F1048" s="81">
        <f t="shared" ref="F1048:W1048" si="479">F1046+F1047</f>
        <v>34803614.031254336</v>
      </c>
      <c r="G1048" s="81">
        <f t="shared" si="479"/>
        <v>15699593.130593034</v>
      </c>
      <c r="H1048" s="81">
        <f t="shared" si="479"/>
        <v>3966644.1194435228</v>
      </c>
      <c r="I1048" s="81">
        <f t="shared" si="479"/>
        <v>0</v>
      </c>
      <c r="J1048" s="81">
        <f t="shared" si="479"/>
        <v>401309.39987560874</v>
      </c>
      <c r="K1048" s="81">
        <f t="shared" si="479"/>
        <v>5081513.045823765</v>
      </c>
      <c r="L1048" s="81">
        <f t="shared" si="479"/>
        <v>0</v>
      </c>
      <c r="M1048" s="81">
        <f t="shared" si="479"/>
        <v>0</v>
      </c>
      <c r="N1048" s="81">
        <f t="shared" si="479"/>
        <v>4197599.5709535042</v>
      </c>
      <c r="O1048" s="81">
        <f>O1046+O1047</f>
        <v>2674526.2884874265</v>
      </c>
      <c r="P1048" s="81">
        <f t="shared" si="479"/>
        <v>2379078.8833645526</v>
      </c>
      <c r="Q1048" s="81">
        <f t="shared" si="479"/>
        <v>271928.16108510806</v>
      </c>
      <c r="R1048" s="81">
        <f t="shared" si="479"/>
        <v>117471.83446105491</v>
      </c>
      <c r="S1048" s="81">
        <f t="shared" si="479"/>
        <v>8384.6919563479732</v>
      </c>
      <c r="T1048" s="81">
        <f t="shared" si="479"/>
        <v>271.26181090444828</v>
      </c>
      <c r="U1048" s="81">
        <f t="shared" si="479"/>
        <v>5293.6433995065272</v>
      </c>
      <c r="V1048" s="81">
        <f t="shared" si="479"/>
        <v>0</v>
      </c>
      <c r="W1048" s="81">
        <f t="shared" si="479"/>
        <v>0</v>
      </c>
      <c r="X1048" s="171">
        <f>X1046+X1047</f>
        <v>0</v>
      </c>
      <c r="Y1048" s="171">
        <f>Y1046+Y1047</f>
        <v>0</v>
      </c>
      <c r="Z1048" s="171">
        <f>Z1046+Z1047</f>
        <v>0</v>
      </c>
      <c r="AA1048" s="171">
        <f>SUM(G1048:Z1048)</f>
        <v>34803614.031254336</v>
      </c>
      <c r="AB1048" s="168" t="str">
        <f t="shared" si="477"/>
        <v>ok</v>
      </c>
    </row>
    <row r="1049" spans="1:28" s="169" customFormat="1">
      <c r="A1049" s="61" t="s">
        <v>671</v>
      </c>
      <c r="B1049" s="61"/>
      <c r="C1049" s="61"/>
      <c r="D1049" s="61" t="s">
        <v>188</v>
      </c>
      <c r="E1049" s="61" t="s">
        <v>187</v>
      </c>
      <c r="F1049" s="111">
        <v>1</v>
      </c>
      <c r="G1049" s="84">
        <f t="shared" ref="G1049:Z1049" si="480">IF(VLOOKUP($E1049,$D$6:$AN$1131,3,)=0,0,(VLOOKUP($E1049,$D$6:$AN$1131,G$2,)/VLOOKUP($E1049,$D$6:$AN$1131,3,))*$F1049)</f>
        <v>0.45109088718471846</v>
      </c>
      <c r="H1049" s="84">
        <f t="shared" si="480"/>
        <v>0.11397219024097319</v>
      </c>
      <c r="I1049" s="84">
        <f t="shared" si="480"/>
        <v>0</v>
      </c>
      <c r="J1049" s="84">
        <f t="shared" si="480"/>
        <v>1.1530681828479793E-2</v>
      </c>
      <c r="K1049" s="84">
        <f t="shared" si="480"/>
        <v>0.14600532695427737</v>
      </c>
      <c r="L1049" s="84">
        <f t="shared" si="480"/>
        <v>0</v>
      </c>
      <c r="M1049" s="84">
        <f t="shared" si="480"/>
        <v>0</v>
      </c>
      <c r="N1049" s="84">
        <f t="shared" si="480"/>
        <v>0.12060815199203095</v>
      </c>
      <c r="O1049" s="84">
        <f t="shared" si="480"/>
        <v>7.6846223098717525E-2</v>
      </c>
      <c r="P1049" s="84">
        <f t="shared" si="480"/>
        <v>6.8357236729153836E-2</v>
      </c>
      <c r="Q1049" s="84">
        <f t="shared" si="480"/>
        <v>7.8132162033779356E-3</v>
      </c>
      <c r="R1049" s="84">
        <f t="shared" si="480"/>
        <v>3.3752768995645934E-3</v>
      </c>
      <c r="S1049" s="84">
        <f t="shared" si="480"/>
        <v>2.409144047172329E-4</v>
      </c>
      <c r="T1049" s="84">
        <f t="shared" si="480"/>
        <v>7.7940701980216715E-6</v>
      </c>
      <c r="U1049" s="84">
        <f t="shared" si="480"/>
        <v>1.5210039379107959E-4</v>
      </c>
      <c r="V1049" s="84">
        <f t="shared" si="480"/>
        <v>0</v>
      </c>
      <c r="W1049" s="84">
        <f t="shared" si="480"/>
        <v>0</v>
      </c>
      <c r="X1049" s="172">
        <f t="shared" si="480"/>
        <v>0</v>
      </c>
      <c r="Y1049" s="172">
        <f t="shared" si="480"/>
        <v>0</v>
      </c>
      <c r="Z1049" s="172">
        <f t="shared" si="480"/>
        <v>0</v>
      </c>
      <c r="AA1049" s="172">
        <f>SUM(G1049:Z1049)</f>
        <v>1</v>
      </c>
      <c r="AB1049" s="168" t="str">
        <f t="shared" si="477"/>
        <v>ok</v>
      </c>
    </row>
    <row r="1050" spans="1:28" s="169" customFormat="1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2"/>
      <c r="Y1050" s="172"/>
      <c r="Z1050" s="172"/>
      <c r="AA1050" s="172"/>
      <c r="AB1050" s="168"/>
    </row>
    <row r="1051" spans="1:28" s="169" customFormat="1">
      <c r="A1051" s="61" t="s">
        <v>672</v>
      </c>
      <c r="B1051" s="61"/>
      <c r="C1051" s="61"/>
      <c r="D1051" s="61" t="s">
        <v>189</v>
      </c>
      <c r="E1051" s="61"/>
      <c r="F1051" s="80">
        <f t="shared" ref="F1051:Z1051" si="481">F1037</f>
        <v>34305.024476596634</v>
      </c>
      <c r="G1051" s="80">
        <f t="shared" si="481"/>
        <v>15474.683926041458</v>
      </c>
      <c r="H1051" s="80">
        <f t="shared" si="481"/>
        <v>3909.8187758679132</v>
      </c>
      <c r="I1051" s="80">
        <f t="shared" si="481"/>
        <v>0</v>
      </c>
      <c r="J1051" s="80">
        <f t="shared" si="481"/>
        <v>395.56032235784733</v>
      </c>
      <c r="K1051" s="80">
        <f t="shared" si="481"/>
        <v>5008.7163148799791</v>
      </c>
      <c r="L1051" s="80">
        <f t="shared" si="481"/>
        <v>0</v>
      </c>
      <c r="M1051" s="80">
        <f t="shared" si="481"/>
        <v>0</v>
      </c>
      <c r="N1051" s="80">
        <f t="shared" si="481"/>
        <v>4137.4656061637088</v>
      </c>
      <c r="O1051" s="80">
        <f>O1037</f>
        <v>2636.2115643355105</v>
      </c>
      <c r="P1051" s="80">
        <f t="shared" si="481"/>
        <v>2344.9966791461329</v>
      </c>
      <c r="Q1051" s="80">
        <f t="shared" si="481"/>
        <v>268.03257309782151</v>
      </c>
      <c r="R1051" s="80">
        <f t="shared" si="481"/>
        <v>115.78895665485457</v>
      </c>
      <c r="S1051" s="80">
        <f t="shared" si="481"/>
        <v>8.2645745505893835</v>
      </c>
      <c r="T1051" s="80">
        <f t="shared" si="481"/>
        <v>0.26737576891544584</v>
      </c>
      <c r="U1051" s="80">
        <f t="shared" si="481"/>
        <v>5.2178077319029716</v>
      </c>
      <c r="V1051" s="80">
        <f t="shared" si="481"/>
        <v>0</v>
      </c>
      <c r="W1051" s="80">
        <f t="shared" si="481"/>
        <v>0</v>
      </c>
      <c r="X1051" s="165">
        <f t="shared" si="481"/>
        <v>0</v>
      </c>
      <c r="Y1051" s="165">
        <f t="shared" si="481"/>
        <v>0</v>
      </c>
      <c r="Z1051" s="165">
        <f t="shared" si="481"/>
        <v>0</v>
      </c>
      <c r="AA1051" s="165">
        <f>SUM(G1051:Z1051)</f>
        <v>34305.024476596634</v>
      </c>
      <c r="AB1051" s="168" t="str">
        <f t="shared" ref="AB1051:AB1056" si="482">IF(ABS(F1051-AA1051)&lt;0.01,"ok","err")</f>
        <v>ok</v>
      </c>
    </row>
    <row r="1052" spans="1:28" s="169" customFormat="1">
      <c r="A1052" s="61" t="s">
        <v>673</v>
      </c>
      <c r="B1052" s="61"/>
      <c r="C1052" s="61"/>
      <c r="D1052" s="61"/>
      <c r="E1052" s="61"/>
      <c r="F1052" s="81">
        <f>F184</f>
        <v>28608453.375186369</v>
      </c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AA1052" s="171">
        <f>F1052</f>
        <v>28608453.375186369</v>
      </c>
      <c r="AB1052" s="168" t="str">
        <f t="shared" si="482"/>
        <v>ok</v>
      </c>
    </row>
    <row r="1053" spans="1:28" s="169" customFormat="1">
      <c r="A1053" s="61" t="s">
        <v>154</v>
      </c>
      <c r="B1053" s="61"/>
      <c r="C1053" s="61"/>
      <c r="D1053" s="61"/>
      <c r="E1053" s="61"/>
      <c r="F1053" s="81">
        <v>0</v>
      </c>
      <c r="G1053" s="61"/>
      <c r="H1053" s="80">
        <v>0</v>
      </c>
      <c r="I1053" s="77">
        <v>0</v>
      </c>
      <c r="J1053" s="80">
        <v>0</v>
      </c>
      <c r="K1053" s="80">
        <v>0</v>
      </c>
      <c r="L1053" s="113">
        <v>0</v>
      </c>
      <c r="M1053" s="80">
        <v>0</v>
      </c>
      <c r="N1053" s="80">
        <v>0</v>
      </c>
      <c r="O1053" s="80">
        <v>0</v>
      </c>
      <c r="P1053" s="80">
        <v>0</v>
      </c>
      <c r="Q1053" s="61"/>
      <c r="R1053" s="61"/>
      <c r="S1053" s="61"/>
      <c r="T1053" s="80">
        <v>0</v>
      </c>
      <c r="U1053" s="61"/>
      <c r="V1053" s="80">
        <v>0</v>
      </c>
      <c r="W1053" s="80">
        <v>0</v>
      </c>
      <c r="AA1053" s="171">
        <f>SUM(G1053:Z1053)</f>
        <v>0</v>
      </c>
      <c r="AB1053" s="168" t="str">
        <f t="shared" si="482"/>
        <v>ok</v>
      </c>
    </row>
    <row r="1054" spans="1:28" s="169" customFormat="1">
      <c r="A1054" s="61" t="s">
        <v>674</v>
      </c>
      <c r="B1054" s="61"/>
      <c r="C1054" s="61"/>
      <c r="D1054" s="61"/>
      <c r="E1054" s="61" t="s">
        <v>189</v>
      </c>
      <c r="F1054" s="81">
        <f>F1052-F1053</f>
        <v>28608453.375186369</v>
      </c>
      <c r="G1054" s="77">
        <f t="shared" ref="G1054:Z1054" si="483">IF(VLOOKUP($E1054,$D$6:$AN$1131,3,)=0,0,(VLOOKUP($E1054,$D$6:$AN$1131,G$2,)/VLOOKUP($E1054,$D$6:$AN$1131,3,))*$F1054)</f>
        <v>12905012.613995472</v>
      </c>
      <c r="H1054" s="77">
        <f t="shared" si="483"/>
        <v>3260568.0905767521</v>
      </c>
      <c r="I1054" s="77">
        <f t="shared" si="483"/>
        <v>0</v>
      </c>
      <c r="J1054" s="77">
        <f t="shared" si="483"/>
        <v>329874.97347417288</v>
      </c>
      <c r="K1054" s="77">
        <f t="shared" si="483"/>
        <v>4176986.5887002856</v>
      </c>
      <c r="L1054" s="77">
        <f t="shared" si="483"/>
        <v>0</v>
      </c>
      <c r="M1054" s="77">
        <f t="shared" si="483"/>
        <v>0</v>
      </c>
      <c r="N1054" s="77">
        <f t="shared" si="483"/>
        <v>3450412.6929314085</v>
      </c>
      <c r="O1054" s="77">
        <f t="shared" si="483"/>
        <v>2198451.5905788299</v>
      </c>
      <c r="P1054" s="77">
        <f t="shared" si="483"/>
        <v>1955594.8198225747</v>
      </c>
      <c r="Q1054" s="77">
        <f t="shared" si="483"/>
        <v>223524.03146458833</v>
      </c>
      <c r="R1054" s="77">
        <f t="shared" si="483"/>
        <v>96561.451809537277</v>
      </c>
      <c r="S1054" s="77">
        <f t="shared" si="483"/>
        <v>6892.1885147637377</v>
      </c>
      <c r="T1054" s="77">
        <f t="shared" si="483"/>
        <v>222.97629386303257</v>
      </c>
      <c r="U1054" s="77">
        <f t="shared" si="483"/>
        <v>4351.3570241195866</v>
      </c>
      <c r="V1054" s="77">
        <f t="shared" si="483"/>
        <v>0</v>
      </c>
      <c r="W1054" s="77">
        <f t="shared" si="483"/>
        <v>0</v>
      </c>
      <c r="X1054" s="166">
        <f t="shared" si="483"/>
        <v>0</v>
      </c>
      <c r="Y1054" s="166">
        <f t="shared" si="483"/>
        <v>0</v>
      </c>
      <c r="Z1054" s="166">
        <f t="shared" si="483"/>
        <v>0</v>
      </c>
      <c r="AA1054" s="171">
        <f>SUM(G1054:Z1054)</f>
        <v>28608453.375186369</v>
      </c>
      <c r="AB1054" s="168" t="str">
        <f t="shared" si="482"/>
        <v>ok</v>
      </c>
    </row>
    <row r="1055" spans="1:28" s="169" customFormat="1">
      <c r="A1055" s="61" t="s">
        <v>675</v>
      </c>
      <c r="B1055" s="61"/>
      <c r="C1055" s="61"/>
      <c r="D1055" s="61" t="s">
        <v>190</v>
      </c>
      <c r="E1055" s="61"/>
      <c r="F1055" s="81">
        <f t="shared" ref="F1055:Z1055" si="484">F1053+F1054</f>
        <v>28608453.375186369</v>
      </c>
      <c r="G1055" s="81">
        <f t="shared" si="484"/>
        <v>12905012.613995472</v>
      </c>
      <c r="H1055" s="81">
        <f t="shared" si="484"/>
        <v>3260568.0905767521</v>
      </c>
      <c r="I1055" s="81">
        <f t="shared" si="484"/>
        <v>0</v>
      </c>
      <c r="J1055" s="81">
        <f t="shared" si="484"/>
        <v>329874.97347417288</v>
      </c>
      <c r="K1055" s="81">
        <f t="shared" si="484"/>
        <v>4176986.5887002856</v>
      </c>
      <c r="L1055" s="81">
        <f t="shared" si="484"/>
        <v>0</v>
      </c>
      <c r="M1055" s="81">
        <f t="shared" si="484"/>
        <v>0</v>
      </c>
      <c r="N1055" s="81">
        <f t="shared" si="484"/>
        <v>3450412.6929314085</v>
      </c>
      <c r="O1055" s="81">
        <f>O1053+O1054</f>
        <v>2198451.5905788299</v>
      </c>
      <c r="P1055" s="81">
        <f t="shared" si="484"/>
        <v>1955594.8198225747</v>
      </c>
      <c r="Q1055" s="81">
        <f t="shared" si="484"/>
        <v>223524.03146458833</v>
      </c>
      <c r="R1055" s="81">
        <f t="shared" si="484"/>
        <v>96561.451809537277</v>
      </c>
      <c r="S1055" s="81">
        <f t="shared" si="484"/>
        <v>6892.1885147637377</v>
      </c>
      <c r="T1055" s="81">
        <f t="shared" si="484"/>
        <v>222.97629386303257</v>
      </c>
      <c r="U1055" s="81">
        <f t="shared" si="484"/>
        <v>4351.3570241195866</v>
      </c>
      <c r="V1055" s="81">
        <f t="shared" si="484"/>
        <v>0</v>
      </c>
      <c r="W1055" s="81">
        <f t="shared" si="484"/>
        <v>0</v>
      </c>
      <c r="X1055" s="171">
        <f t="shared" si="484"/>
        <v>0</v>
      </c>
      <c r="Y1055" s="171">
        <f t="shared" si="484"/>
        <v>0</v>
      </c>
      <c r="Z1055" s="171">
        <f t="shared" si="484"/>
        <v>0</v>
      </c>
      <c r="AA1055" s="171">
        <f>SUM(G1055:Z1055)</f>
        <v>28608453.375186369</v>
      </c>
      <c r="AB1055" s="168" t="str">
        <f t="shared" si="482"/>
        <v>ok</v>
      </c>
    </row>
    <row r="1056" spans="1:28" s="169" customFormat="1">
      <c r="A1056" s="61" t="s">
        <v>676</v>
      </c>
      <c r="B1056" s="61"/>
      <c r="C1056" s="61"/>
      <c r="D1056" s="61" t="s">
        <v>191</v>
      </c>
      <c r="E1056" s="61" t="s">
        <v>190</v>
      </c>
      <c r="F1056" s="111">
        <v>1</v>
      </c>
      <c r="G1056" s="84">
        <f t="shared" ref="G1056:Z1056" si="485">IF(VLOOKUP($E1056,$D$6:$AN$1131,3,)=0,0,(VLOOKUP($E1056,$D$6:$AN$1131,G$2,)/VLOOKUP($E1056,$D$6:$AN$1131,3,))*$F1056)</f>
        <v>0.45109088718471846</v>
      </c>
      <c r="H1056" s="84">
        <f t="shared" si="485"/>
        <v>0.11397219024097317</v>
      </c>
      <c r="I1056" s="84">
        <f t="shared" si="485"/>
        <v>0</v>
      </c>
      <c r="J1056" s="84">
        <f t="shared" si="485"/>
        <v>1.1530681828479793E-2</v>
      </c>
      <c r="K1056" s="84">
        <f t="shared" si="485"/>
        <v>0.14600532695427737</v>
      </c>
      <c r="L1056" s="84">
        <f t="shared" si="485"/>
        <v>0</v>
      </c>
      <c r="M1056" s="84">
        <f t="shared" si="485"/>
        <v>0</v>
      </c>
      <c r="N1056" s="84">
        <f t="shared" si="485"/>
        <v>0.12060815199203095</v>
      </c>
      <c r="O1056" s="84">
        <f t="shared" si="485"/>
        <v>7.6846223098717512E-2</v>
      </c>
      <c r="P1056" s="84">
        <f t="shared" si="485"/>
        <v>6.8357236729153836E-2</v>
      </c>
      <c r="Q1056" s="84">
        <f t="shared" si="485"/>
        <v>7.8132162033779356E-3</v>
      </c>
      <c r="R1056" s="84">
        <f t="shared" si="485"/>
        <v>3.3752768995645934E-3</v>
      </c>
      <c r="S1056" s="84">
        <f t="shared" si="485"/>
        <v>2.4091440471723293E-4</v>
      </c>
      <c r="T1056" s="84">
        <f t="shared" si="485"/>
        <v>7.7940701980216715E-6</v>
      </c>
      <c r="U1056" s="84">
        <f t="shared" si="485"/>
        <v>1.5210039379107959E-4</v>
      </c>
      <c r="V1056" s="84">
        <f t="shared" si="485"/>
        <v>0</v>
      </c>
      <c r="W1056" s="84">
        <f t="shared" si="485"/>
        <v>0</v>
      </c>
      <c r="X1056" s="172">
        <f t="shared" si="485"/>
        <v>0</v>
      </c>
      <c r="Y1056" s="172">
        <f t="shared" si="485"/>
        <v>0</v>
      </c>
      <c r="Z1056" s="172">
        <f t="shared" si="485"/>
        <v>0</v>
      </c>
      <c r="AA1056" s="172">
        <f>SUM(G1056:Z1056)</f>
        <v>1</v>
      </c>
      <c r="AB1056" s="168" t="str">
        <f t="shared" si="482"/>
        <v>ok</v>
      </c>
    </row>
    <row r="1057" spans="1:29" s="169" customFormat="1">
      <c r="A1057" s="61"/>
      <c r="B1057" s="61"/>
      <c r="C1057" s="61"/>
      <c r="D1057" s="61"/>
      <c r="E1057" s="61"/>
      <c r="F1057" s="111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172"/>
      <c r="Y1057" s="172"/>
      <c r="Z1057" s="172"/>
      <c r="AA1057" s="172"/>
      <c r="AB1057" s="168"/>
    </row>
    <row r="1058" spans="1:29" s="169" customFormat="1">
      <c r="A1058" s="61" t="s">
        <v>862</v>
      </c>
      <c r="B1058" s="61"/>
      <c r="C1058" s="61"/>
      <c r="D1058" s="61" t="s">
        <v>867</v>
      </c>
      <c r="E1058" s="61"/>
      <c r="F1058" s="80">
        <f>F1039</f>
        <v>34305.024476596634</v>
      </c>
      <c r="G1058" s="80">
        <f t="shared" ref="G1058:Z1058" si="486">G1039</f>
        <v>15474.683926041458</v>
      </c>
      <c r="H1058" s="80">
        <f t="shared" si="486"/>
        <v>3909.8187758679132</v>
      </c>
      <c r="I1058" s="80">
        <f t="shared" si="486"/>
        <v>0</v>
      </c>
      <c r="J1058" s="80">
        <f t="shared" si="486"/>
        <v>395.56032235784733</v>
      </c>
      <c r="K1058" s="80">
        <f t="shared" si="486"/>
        <v>5008.7163148799791</v>
      </c>
      <c r="L1058" s="80">
        <f t="shared" si="486"/>
        <v>0</v>
      </c>
      <c r="M1058" s="80">
        <f t="shared" si="486"/>
        <v>0</v>
      </c>
      <c r="N1058" s="80">
        <f t="shared" si="486"/>
        <v>4137.4656061637088</v>
      </c>
      <c r="O1058" s="80">
        <f>O1039</f>
        <v>2636.2115643355105</v>
      </c>
      <c r="P1058" s="80">
        <f t="shared" si="486"/>
        <v>2344.9966791461329</v>
      </c>
      <c r="Q1058" s="80">
        <f t="shared" si="486"/>
        <v>268.03257309782151</v>
      </c>
      <c r="R1058" s="80">
        <f t="shared" si="486"/>
        <v>115.78895665485457</v>
      </c>
      <c r="S1058" s="80">
        <f t="shared" si="486"/>
        <v>8.2645745505893835</v>
      </c>
      <c r="T1058" s="80">
        <f t="shared" si="486"/>
        <v>0.26737576891544584</v>
      </c>
      <c r="U1058" s="80">
        <f t="shared" si="486"/>
        <v>5.2178077319029716</v>
      </c>
      <c r="V1058" s="80">
        <f t="shared" si="486"/>
        <v>0</v>
      </c>
      <c r="W1058" s="80">
        <f t="shared" si="486"/>
        <v>0</v>
      </c>
      <c r="X1058" s="165">
        <f t="shared" si="486"/>
        <v>0</v>
      </c>
      <c r="Y1058" s="165">
        <f t="shared" si="486"/>
        <v>0</v>
      </c>
      <c r="Z1058" s="165">
        <f t="shared" si="486"/>
        <v>0</v>
      </c>
      <c r="AA1058" s="165">
        <f>SUM(G1058:Z1058)</f>
        <v>34305.024476596634</v>
      </c>
      <c r="AB1058" s="168" t="str">
        <f t="shared" ref="AB1058:AB1063" si="487">IF(ABS(F1058-AA1058)&lt;0.01,"ok","err")</f>
        <v>ok</v>
      </c>
    </row>
    <row r="1059" spans="1:29" s="169" customFormat="1">
      <c r="A1059" s="61" t="s">
        <v>863</v>
      </c>
      <c r="B1059" s="61"/>
      <c r="C1059" s="61"/>
      <c r="D1059" s="61"/>
      <c r="E1059" s="61"/>
      <c r="F1059" s="81">
        <f>F182</f>
        <v>33223399.69324439</v>
      </c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AA1059" s="171">
        <f>F1059</f>
        <v>33223399.69324439</v>
      </c>
      <c r="AB1059" s="168" t="str">
        <f t="shared" si="487"/>
        <v>ok</v>
      </c>
    </row>
    <row r="1060" spans="1:29" s="169" customFormat="1">
      <c r="A1060" s="61" t="s">
        <v>154</v>
      </c>
      <c r="B1060" s="61"/>
      <c r="C1060" s="61"/>
      <c r="D1060" s="61"/>
      <c r="E1060" s="61"/>
      <c r="F1060" s="81">
        <v>0</v>
      </c>
      <c r="G1060" s="61"/>
      <c r="H1060" s="80">
        <v>0</v>
      </c>
      <c r="I1060" s="77">
        <v>0</v>
      </c>
      <c r="J1060" s="80">
        <v>0</v>
      </c>
      <c r="K1060" s="80">
        <v>0</v>
      </c>
      <c r="L1060" s="113">
        <v>0</v>
      </c>
      <c r="M1060" s="80">
        <v>0</v>
      </c>
      <c r="N1060" s="80">
        <v>0</v>
      </c>
      <c r="O1060" s="80">
        <v>0</v>
      </c>
      <c r="P1060" s="80">
        <v>0</v>
      </c>
      <c r="Q1060" s="61"/>
      <c r="R1060" s="61"/>
      <c r="S1060" s="61"/>
      <c r="T1060" s="80">
        <v>0</v>
      </c>
      <c r="U1060" s="61"/>
      <c r="V1060" s="80">
        <v>0</v>
      </c>
      <c r="W1060" s="80">
        <v>0</v>
      </c>
      <c r="AA1060" s="171">
        <f>SUM(G1060:Z1060)</f>
        <v>0</v>
      </c>
      <c r="AB1060" s="168" t="str">
        <f t="shared" si="487"/>
        <v>ok</v>
      </c>
    </row>
    <row r="1061" spans="1:29" s="169" customFormat="1">
      <c r="A1061" s="61" t="s">
        <v>864</v>
      </c>
      <c r="B1061" s="61"/>
      <c r="C1061" s="61"/>
      <c r="D1061" s="61"/>
      <c r="E1061" s="61" t="s">
        <v>867</v>
      </c>
      <c r="F1061" s="81">
        <f>F1059-F1060</f>
        <v>33223399.69324439</v>
      </c>
      <c r="G1061" s="77">
        <f t="shared" ref="G1061:Z1061" si="488">IF(VLOOKUP($E1061,$D$6:$AN$1131,3,)=0,0,(VLOOKUP($E1061,$D$6:$AN$1131,G$2,)/VLOOKUP($E1061,$D$6:$AN$1131,3,))*$F1061)</f>
        <v>14986772.842918115</v>
      </c>
      <c r="H1061" s="77">
        <f t="shared" si="488"/>
        <v>3786543.6302903397</v>
      </c>
      <c r="I1061" s="77">
        <f t="shared" si="488"/>
        <v>0</v>
      </c>
      <c r="J1061" s="77">
        <f t="shared" si="488"/>
        <v>383088.45112321421</v>
      </c>
      <c r="K1061" s="77">
        <f t="shared" si="488"/>
        <v>4850793.3347447859</v>
      </c>
      <c r="L1061" s="77">
        <f t="shared" si="488"/>
        <v>0</v>
      </c>
      <c r="M1061" s="77">
        <f t="shared" si="488"/>
        <v>0</v>
      </c>
      <c r="N1061" s="77">
        <f t="shared" si="488"/>
        <v>4007012.839894814</v>
      </c>
      <c r="O1061" s="77">
        <f t="shared" si="488"/>
        <v>2553092.7849249216</v>
      </c>
      <c r="P1061" s="77">
        <f t="shared" si="488"/>
        <v>2271059.7977784039</v>
      </c>
      <c r="Q1061" s="77">
        <f t="shared" si="488"/>
        <v>259581.60481455861</v>
      </c>
      <c r="R1061" s="77">
        <f t="shared" si="488"/>
        <v>112138.17350960919</v>
      </c>
      <c r="S1061" s="77">
        <f t="shared" si="488"/>
        <v>8003.9955597806711</v>
      </c>
      <c r="T1061" s="77">
        <f t="shared" si="488"/>
        <v>258.94550942607844</v>
      </c>
      <c r="U1061" s="77">
        <f t="shared" si="488"/>
        <v>5053.292176420905</v>
      </c>
      <c r="V1061" s="77">
        <f t="shared" si="488"/>
        <v>0</v>
      </c>
      <c r="W1061" s="77">
        <f t="shared" si="488"/>
        <v>0</v>
      </c>
      <c r="X1061" s="166">
        <f t="shared" si="488"/>
        <v>0</v>
      </c>
      <c r="Y1061" s="166">
        <f t="shared" si="488"/>
        <v>0</v>
      </c>
      <c r="Z1061" s="166">
        <f t="shared" si="488"/>
        <v>0</v>
      </c>
      <c r="AA1061" s="171">
        <f>SUM(G1061:Z1061)</f>
        <v>33223399.69324439</v>
      </c>
      <c r="AB1061" s="168" t="str">
        <f t="shared" si="487"/>
        <v>ok</v>
      </c>
    </row>
    <row r="1062" spans="1:29" s="169" customFormat="1">
      <c r="A1062" s="61" t="s">
        <v>865</v>
      </c>
      <c r="B1062" s="61"/>
      <c r="C1062" s="61"/>
      <c r="D1062" s="61" t="s">
        <v>868</v>
      </c>
      <c r="E1062" s="61"/>
      <c r="F1062" s="81">
        <f t="shared" ref="F1062:Z1062" si="489">F1060+F1061</f>
        <v>33223399.69324439</v>
      </c>
      <c r="G1062" s="81">
        <f t="shared" si="489"/>
        <v>14986772.842918115</v>
      </c>
      <c r="H1062" s="81">
        <f t="shared" si="489"/>
        <v>3786543.6302903397</v>
      </c>
      <c r="I1062" s="81">
        <f t="shared" si="489"/>
        <v>0</v>
      </c>
      <c r="J1062" s="81">
        <f t="shared" si="489"/>
        <v>383088.45112321421</v>
      </c>
      <c r="K1062" s="81">
        <f t="shared" si="489"/>
        <v>4850793.3347447859</v>
      </c>
      <c r="L1062" s="81">
        <f t="shared" si="489"/>
        <v>0</v>
      </c>
      <c r="M1062" s="81">
        <f t="shared" si="489"/>
        <v>0</v>
      </c>
      <c r="N1062" s="81">
        <f t="shared" si="489"/>
        <v>4007012.839894814</v>
      </c>
      <c r="O1062" s="81">
        <f>O1060+O1061</f>
        <v>2553092.7849249216</v>
      </c>
      <c r="P1062" s="81">
        <f t="shared" si="489"/>
        <v>2271059.7977784039</v>
      </c>
      <c r="Q1062" s="81">
        <f t="shared" si="489"/>
        <v>259581.60481455861</v>
      </c>
      <c r="R1062" s="81">
        <f t="shared" si="489"/>
        <v>112138.17350960919</v>
      </c>
      <c r="S1062" s="81">
        <f t="shared" si="489"/>
        <v>8003.9955597806711</v>
      </c>
      <c r="T1062" s="81">
        <f t="shared" si="489"/>
        <v>258.94550942607844</v>
      </c>
      <c r="U1062" s="81">
        <f t="shared" si="489"/>
        <v>5053.292176420905</v>
      </c>
      <c r="V1062" s="81">
        <f t="shared" si="489"/>
        <v>0</v>
      </c>
      <c r="W1062" s="81">
        <f t="shared" si="489"/>
        <v>0</v>
      </c>
      <c r="X1062" s="171">
        <f t="shared" si="489"/>
        <v>0</v>
      </c>
      <c r="Y1062" s="171">
        <f t="shared" si="489"/>
        <v>0</v>
      </c>
      <c r="Z1062" s="171">
        <f t="shared" si="489"/>
        <v>0</v>
      </c>
      <c r="AA1062" s="171">
        <f>SUM(G1062:Z1062)</f>
        <v>33223399.69324439</v>
      </c>
      <c r="AB1062" s="168" t="str">
        <f t="shared" si="487"/>
        <v>ok</v>
      </c>
    </row>
    <row r="1063" spans="1:29" s="169" customFormat="1">
      <c r="A1063" s="61" t="s">
        <v>866</v>
      </c>
      <c r="B1063" s="61"/>
      <c r="C1063" s="61"/>
      <c r="D1063" s="61" t="s">
        <v>869</v>
      </c>
      <c r="E1063" s="61" t="s">
        <v>868</v>
      </c>
      <c r="F1063" s="111">
        <v>1</v>
      </c>
      <c r="G1063" s="84">
        <f t="shared" ref="G1063:Z1063" si="490">IF(VLOOKUP($E1063,$D$6:$AN$1131,3,)=0,0,(VLOOKUP($E1063,$D$6:$AN$1131,G$2,)/VLOOKUP($E1063,$D$6:$AN$1131,3,))*$F1063)</f>
        <v>0.45109088718471846</v>
      </c>
      <c r="H1063" s="84">
        <f t="shared" si="490"/>
        <v>0.11397219024097319</v>
      </c>
      <c r="I1063" s="84">
        <f t="shared" si="490"/>
        <v>0</v>
      </c>
      <c r="J1063" s="84">
        <f t="shared" si="490"/>
        <v>1.1530681828479793E-2</v>
      </c>
      <c r="K1063" s="84">
        <f t="shared" si="490"/>
        <v>0.14600532695427737</v>
      </c>
      <c r="L1063" s="84">
        <f t="shared" si="490"/>
        <v>0</v>
      </c>
      <c r="M1063" s="84">
        <f t="shared" si="490"/>
        <v>0</v>
      </c>
      <c r="N1063" s="84">
        <f t="shared" si="490"/>
        <v>0.12060815199203095</v>
      </c>
      <c r="O1063" s="84">
        <f t="shared" si="490"/>
        <v>7.6846223098717525E-2</v>
      </c>
      <c r="P1063" s="84">
        <f t="shared" si="490"/>
        <v>6.8357236729153836E-2</v>
      </c>
      <c r="Q1063" s="84">
        <f t="shared" si="490"/>
        <v>7.8132162033779356E-3</v>
      </c>
      <c r="R1063" s="84">
        <f t="shared" si="490"/>
        <v>3.3752768995645934E-3</v>
      </c>
      <c r="S1063" s="84">
        <f t="shared" si="490"/>
        <v>2.4091440471723293E-4</v>
      </c>
      <c r="T1063" s="84">
        <f t="shared" si="490"/>
        <v>7.7940701980216715E-6</v>
      </c>
      <c r="U1063" s="84">
        <f t="shared" si="490"/>
        <v>1.5210039379107959E-4</v>
      </c>
      <c r="V1063" s="84">
        <f t="shared" si="490"/>
        <v>0</v>
      </c>
      <c r="W1063" s="84">
        <f t="shared" si="490"/>
        <v>0</v>
      </c>
      <c r="X1063" s="166">
        <f t="shared" si="490"/>
        <v>0</v>
      </c>
      <c r="Y1063" s="166">
        <f t="shared" si="490"/>
        <v>0</v>
      </c>
      <c r="Z1063" s="166">
        <f t="shared" si="490"/>
        <v>0</v>
      </c>
      <c r="AA1063" s="172">
        <f>SUM(G1063:Z1063)</f>
        <v>1</v>
      </c>
      <c r="AB1063" s="168" t="str">
        <f t="shared" si="487"/>
        <v>ok</v>
      </c>
    </row>
    <row r="1064" spans="1:29" s="175" customFormat="1">
      <c r="A1064" s="61"/>
      <c r="B1064" s="61"/>
      <c r="C1064" s="61"/>
      <c r="D1064" s="61"/>
      <c r="E1064" s="61"/>
      <c r="F1064" s="111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182"/>
      <c r="X1064" s="182"/>
      <c r="Y1064" s="182"/>
      <c r="Z1064" s="182"/>
      <c r="AA1064" s="182"/>
      <c r="AB1064" s="177"/>
    </row>
    <row r="1065" spans="1:29" s="175" customFormat="1" ht="15">
      <c r="A1065" s="66" t="s">
        <v>1269</v>
      </c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182"/>
      <c r="X1065" s="182"/>
      <c r="Y1065" s="182"/>
      <c r="Z1065" s="182"/>
      <c r="AA1065" s="182"/>
      <c r="AB1065" s="177"/>
    </row>
    <row r="1066" spans="1:29" s="175" customFormat="1">
      <c r="A1066" s="61"/>
      <c r="B1066" s="61"/>
      <c r="C1066" s="61"/>
      <c r="D1066" s="61"/>
      <c r="E1066" s="61"/>
      <c r="F1066" s="111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182"/>
      <c r="X1066" s="182"/>
      <c r="Y1066" s="182"/>
      <c r="Z1066" s="182"/>
      <c r="AA1066" s="182"/>
      <c r="AB1066" s="177"/>
    </row>
    <row r="1067" spans="1:29" s="169" customFormat="1" ht="15">
      <c r="A1067" s="66" t="s">
        <v>694</v>
      </c>
      <c r="B1067" s="61"/>
      <c r="C1067" s="61"/>
      <c r="D1067" s="61"/>
      <c r="E1067" s="61"/>
      <c r="F1067" s="111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172"/>
      <c r="Y1067" s="172"/>
      <c r="Z1067" s="172"/>
      <c r="AA1067" s="172"/>
      <c r="AB1067" s="168"/>
    </row>
    <row r="1068" spans="1:29" s="175" customFormat="1">
      <c r="A1068" s="61"/>
      <c r="B1068" s="61"/>
      <c r="C1068" s="61"/>
      <c r="D1068" s="61"/>
      <c r="E1068" s="61"/>
      <c r="F1068" s="80"/>
      <c r="G1068" s="80"/>
      <c r="H1068" s="80"/>
      <c r="I1068" s="80"/>
      <c r="J1068" s="80"/>
      <c r="K1068" s="80"/>
      <c r="L1068" s="80"/>
      <c r="M1068" s="80"/>
      <c r="N1068" s="80"/>
      <c r="O1068" s="84"/>
      <c r="P1068" s="84"/>
      <c r="Q1068" s="84"/>
      <c r="R1068" s="84"/>
      <c r="S1068" s="80"/>
      <c r="T1068" s="80"/>
      <c r="U1068" s="80"/>
      <c r="V1068" s="84"/>
      <c r="W1068" s="182"/>
      <c r="X1068" s="182"/>
      <c r="Y1068" s="182"/>
      <c r="Z1068" s="182"/>
      <c r="AA1068" s="183"/>
      <c r="AB1068" s="177"/>
    </row>
    <row r="1069" spans="1:29" s="175" customFormat="1">
      <c r="A1069" s="61" t="s">
        <v>723</v>
      </c>
      <c r="B1069" s="61"/>
      <c r="C1069" s="61"/>
      <c r="D1069" s="61" t="s">
        <v>724</v>
      </c>
      <c r="E1069" s="61"/>
      <c r="F1069" s="80">
        <v>2689126.84</v>
      </c>
      <c r="G1069" s="80">
        <v>2120280.13</v>
      </c>
      <c r="H1069" s="80">
        <v>385053.67</v>
      </c>
      <c r="I1069" s="80">
        <v>0</v>
      </c>
      <c r="J1069" s="80">
        <v>4988.8799999999992</v>
      </c>
      <c r="K1069" s="80">
        <v>86025.47</v>
      </c>
      <c r="L1069" s="80">
        <v>0</v>
      </c>
      <c r="M1069" s="80"/>
      <c r="N1069" s="80">
        <v>29978.34</v>
      </c>
      <c r="O1069" s="80">
        <v>51803.519999999997</v>
      </c>
      <c r="P1069" s="80">
        <v>10654.56</v>
      </c>
      <c r="Q1069" s="80">
        <v>0</v>
      </c>
      <c r="R1069" s="80">
        <v>0</v>
      </c>
      <c r="S1069" s="80">
        <v>342.27000000000004</v>
      </c>
      <c r="T1069" s="80">
        <v>0</v>
      </c>
      <c r="U1069" s="80">
        <v>0</v>
      </c>
      <c r="V1069" s="80"/>
      <c r="W1069" s="176"/>
      <c r="X1069" s="176"/>
      <c r="Y1069" s="176"/>
      <c r="Z1069" s="176"/>
      <c r="AA1069" s="180">
        <f t="shared" ref="AA1069:AA1074" si="491">SUM(G1069:Z1069)</f>
        <v>2689126.84</v>
      </c>
      <c r="AB1069" s="177" t="str">
        <f>IF(ABS(F1069-AA1069)&lt;0.01,"ok","err")</f>
        <v>ok</v>
      </c>
    </row>
    <row r="1070" spans="1:29" s="61" customFormat="1">
      <c r="A1070" s="61" t="s">
        <v>1314</v>
      </c>
      <c r="D1070" s="61" t="s">
        <v>182</v>
      </c>
      <c r="F1070" s="80">
        <v>-1630991.5700000003</v>
      </c>
      <c r="G1070" s="80">
        <v>-1517603.4</v>
      </c>
      <c r="H1070" s="80">
        <v>-98175.069999999992</v>
      </c>
      <c r="I1070" s="84">
        <v>0</v>
      </c>
      <c r="J1070" s="80">
        <f>(J1010/($J$1010+$K$1010))*-14726.55</f>
        <v>-366.10862634516889</v>
      </c>
      <c r="K1070" s="80">
        <f>(K1010/($J$1010+$K$1010))*-14726.55</f>
        <v>-14360.44137365483</v>
      </c>
      <c r="L1070" s="80">
        <v>0</v>
      </c>
      <c r="M1070" s="80">
        <v>0</v>
      </c>
      <c r="N1070" s="80">
        <f>(N1010/($N$1010+$O$1010+$P$1010))*-162</f>
        <v>-43.323193916349808</v>
      </c>
      <c r="O1070" s="80">
        <f>(O1010/($N$1010+$O$1010+$P$1010))*-162</f>
        <v>-113.33840304182509</v>
      </c>
      <c r="P1070" s="80">
        <f>(P1010/($N$1010+$O$1010+$P$1010))*-162</f>
        <v>-5.338403041825095</v>
      </c>
      <c r="Q1070" s="80"/>
      <c r="R1070" s="80"/>
      <c r="S1070" s="84">
        <f>-324.55</f>
        <v>-324.55</v>
      </c>
      <c r="T1070" s="80"/>
      <c r="U1070" s="80"/>
      <c r="V1070" s="80"/>
      <c r="W1070" s="80"/>
      <c r="X1070" s="80"/>
      <c r="Y1070" s="80"/>
      <c r="Z1070" s="80"/>
      <c r="AA1070" s="113">
        <f t="shared" si="491"/>
        <v>-1630991.5700000003</v>
      </c>
      <c r="AB1070" s="94" t="str">
        <f>IF(ROUND(F1070-AA1070,2)=0,"ok","err")</f>
        <v>ok</v>
      </c>
      <c r="AC1070" s="164"/>
    </row>
    <row r="1071" spans="1:29" s="175" customFormat="1">
      <c r="A1071" s="61" t="s">
        <v>1259</v>
      </c>
      <c r="B1071" s="61"/>
      <c r="C1071" s="61"/>
      <c r="D1071" s="61" t="s">
        <v>1260</v>
      </c>
      <c r="E1071" s="61"/>
      <c r="F1071" s="81">
        <f>SUM(F760:F768)-SUM(F788:F812)</f>
        <v>-7438396.4187509604</v>
      </c>
      <c r="G1071" s="81">
        <f>SUM(G760:G768)-SUM(G788:G812)</f>
        <v>-2910913.0307771591</v>
      </c>
      <c r="H1071" s="81">
        <f>SUM(H760:H768)-SUM(H788:H812)</f>
        <v>-1709949.6103451159</v>
      </c>
      <c r="I1071" s="81">
        <v>0</v>
      </c>
      <c r="J1071" s="81">
        <f>SUM(J760:J768)-SUM(J788:J812)</f>
        <v>-68866.100495273189</v>
      </c>
      <c r="K1071" s="81">
        <f>SUM(K760:K768)-SUM(K788:K812)</f>
        <v>-848231.50109641836</v>
      </c>
      <c r="L1071" s="81">
        <f>SUM(L760:L768)-SUM(L788:L812)</f>
        <v>0</v>
      </c>
      <c r="M1071" s="81">
        <v>0</v>
      </c>
      <c r="N1071" s="81">
        <f t="shared" ref="N1071:Z1071" si="492">SUM(N760:N768)-SUM(N788:N812)</f>
        <v>-713893.6071136198</v>
      </c>
      <c r="O1071" s="81">
        <f t="shared" si="492"/>
        <v>-458543.18246138387</v>
      </c>
      <c r="P1071" s="81">
        <f t="shared" si="492"/>
        <v>-396105.2894226819</v>
      </c>
      <c r="Q1071" s="81">
        <f t="shared" si="492"/>
        <v>-36241.472674944918</v>
      </c>
      <c r="R1071" s="81">
        <f t="shared" si="492"/>
        <v>-19757.121663349782</v>
      </c>
      <c r="S1071" s="81">
        <f t="shared" si="492"/>
        <v>-271622.41858001327</v>
      </c>
      <c r="T1071" s="81">
        <f t="shared" si="492"/>
        <v>-2183.8386377239781</v>
      </c>
      <c r="U1071" s="81">
        <f t="shared" si="492"/>
        <v>-2089.245483275874</v>
      </c>
      <c r="V1071" s="81">
        <f t="shared" si="492"/>
        <v>0</v>
      </c>
      <c r="W1071" s="183">
        <f t="shared" si="492"/>
        <v>0</v>
      </c>
      <c r="X1071" s="183">
        <f t="shared" si="492"/>
        <v>0</v>
      </c>
      <c r="Y1071" s="183">
        <f t="shared" si="492"/>
        <v>0</v>
      </c>
      <c r="Z1071" s="183">
        <f t="shared" si="492"/>
        <v>0</v>
      </c>
      <c r="AA1071" s="179">
        <f t="shared" si="491"/>
        <v>-7438396.4187509585</v>
      </c>
      <c r="AB1071" s="177" t="str">
        <f t="shared" ref="AB1071:AB1080" si="493">IF(ABS(F1071-AA1071)&lt;0.01,"ok","err")</f>
        <v>ok</v>
      </c>
    </row>
    <row r="1072" spans="1:29" s="175" customFormat="1">
      <c r="A1072" s="61" t="s">
        <v>1311</v>
      </c>
      <c r="B1072" s="61"/>
      <c r="C1072" s="61"/>
      <c r="D1072" s="61" t="s">
        <v>1255</v>
      </c>
      <c r="E1072" s="61"/>
      <c r="F1072" s="80">
        <v>0</v>
      </c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176"/>
      <c r="Y1072" s="176"/>
      <c r="Z1072" s="176"/>
      <c r="AA1072" s="176">
        <f t="shared" si="491"/>
        <v>0</v>
      </c>
      <c r="AB1072" s="177" t="str">
        <f t="shared" si="493"/>
        <v>ok</v>
      </c>
    </row>
    <row r="1073" spans="1:29" s="175" customFormat="1">
      <c r="A1073" s="61" t="s">
        <v>1253</v>
      </c>
      <c r="B1073" s="61"/>
      <c r="C1073" s="61"/>
      <c r="D1073" s="61" t="s">
        <v>1251</v>
      </c>
      <c r="E1073" s="61"/>
      <c r="F1073" s="80">
        <v>0</v>
      </c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176"/>
      <c r="Y1073" s="176"/>
      <c r="Z1073" s="176"/>
      <c r="AA1073" s="176">
        <f t="shared" si="491"/>
        <v>0</v>
      </c>
      <c r="AB1073" s="177" t="str">
        <f t="shared" si="493"/>
        <v>ok</v>
      </c>
    </row>
    <row r="1074" spans="1:29" s="175" customFormat="1">
      <c r="A1074" s="61" t="s">
        <v>1254</v>
      </c>
      <c r="B1074" s="61"/>
      <c r="C1074" s="61"/>
      <c r="D1074" s="61" t="s">
        <v>1252</v>
      </c>
      <c r="E1074" s="61"/>
      <c r="F1074" s="80">
        <v>0</v>
      </c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176"/>
      <c r="Y1074" s="176"/>
      <c r="Z1074" s="176"/>
      <c r="AA1074" s="176">
        <f t="shared" si="491"/>
        <v>0</v>
      </c>
      <c r="AB1074" s="177" t="str">
        <f t="shared" si="493"/>
        <v>ok</v>
      </c>
    </row>
    <row r="1075" spans="1:29" s="175" customFormat="1">
      <c r="A1075" s="61" t="s">
        <v>901</v>
      </c>
      <c r="B1075" s="61"/>
      <c r="C1075" s="61"/>
      <c r="D1075" s="61" t="s">
        <v>902</v>
      </c>
      <c r="E1075" s="61"/>
      <c r="F1075" s="80">
        <v>0</v>
      </c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>
        <v>0</v>
      </c>
      <c r="W1075" s="80">
        <v>0</v>
      </c>
      <c r="X1075" s="176"/>
      <c r="Y1075" s="176"/>
      <c r="Z1075" s="176"/>
      <c r="AA1075" s="176">
        <f t="shared" ref="AA1075:AA1080" si="494">SUM(G1075:Z1075)</f>
        <v>0</v>
      </c>
      <c r="AB1075" s="177" t="str">
        <f t="shared" si="493"/>
        <v>ok</v>
      </c>
    </row>
    <row r="1076" spans="1:29" s="175" customFormat="1">
      <c r="A1076" s="61" t="s">
        <v>929</v>
      </c>
      <c r="B1076" s="61"/>
      <c r="C1076" s="61"/>
      <c r="D1076" s="61" t="s">
        <v>928</v>
      </c>
      <c r="E1076" s="61"/>
      <c r="F1076" s="80">
        <v>0</v>
      </c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>
        <v>0</v>
      </c>
      <c r="W1076" s="80">
        <v>0</v>
      </c>
      <c r="X1076" s="176"/>
      <c r="Y1076" s="176"/>
      <c r="Z1076" s="176"/>
      <c r="AA1076" s="176">
        <f t="shared" si="494"/>
        <v>0</v>
      </c>
      <c r="AB1076" s="177" t="str">
        <f t="shared" si="493"/>
        <v>ok</v>
      </c>
    </row>
    <row r="1077" spans="1:29" s="61" customFormat="1">
      <c r="A1077" s="61" t="s">
        <v>632</v>
      </c>
      <c r="D1077" s="61" t="s">
        <v>693</v>
      </c>
      <c r="F1077" s="80">
        <v>163886444</v>
      </c>
      <c r="G1077" s="80">
        <v>64164081</v>
      </c>
      <c r="H1077" s="80">
        <f>35966001</f>
        <v>35966001</v>
      </c>
      <c r="I1077" s="80">
        <v>0</v>
      </c>
      <c r="J1077" s="80">
        <f>1568548</f>
        <v>1568548</v>
      </c>
      <c r="K1077" s="80">
        <f>19512643</f>
        <v>19512643</v>
      </c>
      <c r="L1077" s="80">
        <v>0</v>
      </c>
      <c r="M1077" s="80"/>
      <c r="N1077" s="80">
        <f>16210961</f>
        <v>16210961</v>
      </c>
      <c r="O1077" s="80">
        <f>10462757</f>
        <v>10462757</v>
      </c>
      <c r="P1077" s="80">
        <f>8983013</f>
        <v>8983013</v>
      </c>
      <c r="Q1077" s="80">
        <f>831030</f>
        <v>831030</v>
      </c>
      <c r="R1077" s="80">
        <f>449773</f>
        <v>449773</v>
      </c>
      <c r="S1077" s="80">
        <f>2279259+2001557+1364134</f>
        <v>5644950</v>
      </c>
      <c r="T1077" s="80">
        <f>46675</f>
        <v>46675</v>
      </c>
      <c r="U1077" s="80">
        <f>46012</f>
        <v>46012</v>
      </c>
      <c r="V1077" s="80">
        <v>0</v>
      </c>
      <c r="W1077" s="80">
        <v>0</v>
      </c>
      <c r="X1077" s="80"/>
      <c r="Y1077" s="80"/>
      <c r="Z1077" s="80"/>
      <c r="AA1077" s="80">
        <f t="shared" si="494"/>
        <v>163886444</v>
      </c>
      <c r="AB1077" s="94" t="str">
        <f t="shared" si="493"/>
        <v>ok</v>
      </c>
    </row>
    <row r="1078" spans="1:29" s="169" customFormat="1">
      <c r="A1078" s="61" t="s">
        <v>1257</v>
      </c>
      <c r="B1078" s="61"/>
      <c r="C1078" s="61"/>
      <c r="D1078" s="61" t="s">
        <v>1256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65"/>
      <c r="Y1078" s="165"/>
      <c r="Z1078" s="165"/>
      <c r="AA1078" s="165">
        <f>SUM(G1078:Z1078)</f>
        <v>0</v>
      </c>
      <c r="AB1078" s="168" t="str">
        <f t="shared" si="493"/>
        <v>ok</v>
      </c>
    </row>
    <row r="1079" spans="1:29" s="175" customFormat="1">
      <c r="A1079" s="61" t="s">
        <v>633</v>
      </c>
      <c r="B1079" s="61"/>
      <c r="C1079" s="61"/>
      <c r="D1079" s="112" t="s">
        <v>874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>
        <v>0</v>
      </c>
      <c r="W1079" s="80">
        <v>0</v>
      </c>
      <c r="X1079" s="176"/>
      <c r="Y1079" s="176"/>
      <c r="Z1079" s="176"/>
      <c r="AA1079" s="176">
        <f t="shared" si="494"/>
        <v>0</v>
      </c>
      <c r="AB1079" s="177" t="str">
        <f t="shared" si="493"/>
        <v>ok</v>
      </c>
      <c r="AC1079" s="178"/>
    </row>
    <row r="1080" spans="1:29" s="61" customFormat="1">
      <c r="A1080" s="61" t="s">
        <v>1183</v>
      </c>
      <c r="D1080" s="167" t="s">
        <v>873</v>
      </c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>
        <f>V1022</f>
        <v>0</v>
      </c>
      <c r="W1080" s="80">
        <f>W1022</f>
        <v>0</v>
      </c>
      <c r="X1080" s="80">
        <f>X1022</f>
        <v>0</v>
      </c>
      <c r="Y1080" s="80">
        <f>Y1022</f>
        <v>0</v>
      </c>
      <c r="Z1080" s="80">
        <f>Z1022</f>
        <v>0</v>
      </c>
      <c r="AA1080" s="80">
        <f t="shared" si="494"/>
        <v>0</v>
      </c>
      <c r="AB1080" s="94" t="str">
        <f t="shared" si="493"/>
        <v>ok</v>
      </c>
      <c r="AC1080" s="135"/>
    </row>
    <row r="1081" spans="1:29" s="175" customFormat="1">
      <c r="A1081" s="61"/>
      <c r="B1081" s="61"/>
      <c r="C1081" s="61"/>
      <c r="D1081" s="61"/>
      <c r="E1081" s="61"/>
      <c r="F1081" s="111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182"/>
      <c r="X1081" s="182"/>
      <c r="Y1081" s="182"/>
      <c r="Z1081" s="182"/>
      <c r="AA1081" s="182"/>
      <c r="AB1081" s="177"/>
    </row>
    <row r="1082" spans="1:29" s="175" customFormat="1" ht="15" hidden="1">
      <c r="A1082" s="66" t="s">
        <v>847</v>
      </c>
      <c r="B1082" s="61"/>
      <c r="C1082" s="61"/>
      <c r="D1082" s="61"/>
      <c r="E1082" s="61"/>
      <c r="F1082" s="111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182"/>
      <c r="X1082" s="182"/>
      <c r="Y1082" s="182"/>
      <c r="Z1082" s="182"/>
      <c r="AA1082" s="182"/>
      <c r="AB1082" s="177"/>
    </row>
    <row r="1083" spans="1:29" s="175" customFormat="1" hidden="1">
      <c r="A1083" s="61"/>
      <c r="B1083" s="61"/>
      <c r="C1083" s="61"/>
      <c r="D1083" s="61"/>
      <c r="E1083" s="61"/>
      <c r="F1083" s="61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182"/>
      <c r="X1083" s="182"/>
      <c r="Y1083" s="182"/>
      <c r="Z1083" s="182"/>
      <c r="AA1083" s="182"/>
      <c r="AB1083" s="177"/>
    </row>
    <row r="1084" spans="1:29" s="175" customFormat="1" hidden="1">
      <c r="A1084" s="61" t="s">
        <v>849</v>
      </c>
      <c r="B1084" s="61"/>
      <c r="C1084" s="61"/>
      <c r="D1084" s="61"/>
      <c r="E1084" s="61" t="s">
        <v>1112</v>
      </c>
      <c r="F1084" s="77">
        <f>F699</f>
        <v>42971044.699999966</v>
      </c>
      <c r="G1084" s="77">
        <f t="shared" ref="G1084:Z1084" si="495">IF(VLOOKUP($E1084,$D$6:$AN$1131,3,)=0,0,(VLOOKUP($E1084,$D$6:$AN$1131,G$2,)/VLOOKUP($E1084,$D$6:$AN$1131,3,))*$F1084)</f>
        <v>19238715.022499435</v>
      </c>
      <c r="H1084" s="77">
        <f t="shared" si="495"/>
        <v>4903342.1787222018</v>
      </c>
      <c r="I1084" s="77">
        <f t="shared" si="495"/>
        <v>0</v>
      </c>
      <c r="J1084" s="77">
        <f t="shared" si="495"/>
        <v>499501.57676542219</v>
      </c>
      <c r="K1084" s="77">
        <f t="shared" si="495"/>
        <v>6300371.7738060169</v>
      </c>
      <c r="L1084" s="77">
        <f t="shared" si="495"/>
        <v>0</v>
      </c>
      <c r="M1084" s="77">
        <f t="shared" si="495"/>
        <v>0</v>
      </c>
      <c r="N1084" s="77">
        <f t="shared" si="495"/>
        <v>5241144.8190121781</v>
      </c>
      <c r="O1084" s="77">
        <f t="shared" si="495"/>
        <v>3289209.3079929878</v>
      </c>
      <c r="P1084" s="77">
        <f t="shared" si="495"/>
        <v>2981256.9195824903</v>
      </c>
      <c r="Q1084" s="77">
        <f t="shared" si="495"/>
        <v>338170.05691269418</v>
      </c>
      <c r="R1084" s="77">
        <f t="shared" si="495"/>
        <v>147544.53632423989</v>
      </c>
      <c r="S1084" s="77">
        <f t="shared" si="495"/>
        <v>24273.745079868066</v>
      </c>
      <c r="T1084" s="77">
        <f t="shared" si="495"/>
        <v>788.80530228670489</v>
      </c>
      <c r="U1084" s="77">
        <f t="shared" si="495"/>
        <v>6725.9580001375716</v>
      </c>
      <c r="V1084" s="77">
        <f t="shared" si="495"/>
        <v>0</v>
      </c>
      <c r="W1084" s="179">
        <f t="shared" si="495"/>
        <v>0</v>
      </c>
      <c r="X1084" s="179">
        <f t="shared" si="495"/>
        <v>0</v>
      </c>
      <c r="Y1084" s="179">
        <f t="shared" si="495"/>
        <v>0</v>
      </c>
      <c r="Z1084" s="179">
        <f t="shared" si="495"/>
        <v>0</v>
      </c>
      <c r="AA1084" s="183">
        <f>SUM(G1084:Z1084)</f>
        <v>42971044.699999966</v>
      </c>
      <c r="AB1084" s="177" t="str">
        <f>IF(ABS(F1084-AA1084)&lt;0.01,"ok","err")</f>
        <v>ok</v>
      </c>
    </row>
    <row r="1085" spans="1:29" s="175" customFormat="1" hidden="1">
      <c r="A1085" s="61"/>
      <c r="B1085" s="61"/>
      <c r="C1085" s="61"/>
      <c r="D1085" s="61"/>
      <c r="E1085" s="61"/>
      <c r="F1085" s="61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182"/>
      <c r="X1085" s="182"/>
      <c r="Y1085" s="182"/>
      <c r="Z1085" s="182"/>
      <c r="AA1085" s="182"/>
      <c r="AB1085" s="177"/>
    </row>
    <row r="1086" spans="1:29" s="175" customFormat="1" hidden="1">
      <c r="A1086" s="61" t="s">
        <v>856</v>
      </c>
      <c r="B1086" s="61"/>
      <c r="C1086" s="61"/>
      <c r="D1086" s="61"/>
      <c r="E1086" s="61"/>
      <c r="F1086" s="61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182"/>
      <c r="X1086" s="182"/>
      <c r="Y1086" s="182"/>
      <c r="Z1086" s="182"/>
      <c r="AA1086" s="182"/>
      <c r="AB1086" s="177"/>
    </row>
    <row r="1087" spans="1:29" s="175" customFormat="1" hidden="1">
      <c r="A1087" s="61" t="s">
        <v>851</v>
      </c>
      <c r="B1087" s="61"/>
      <c r="C1087" s="61"/>
      <c r="D1087" s="61"/>
      <c r="E1087" s="61" t="s">
        <v>939</v>
      </c>
      <c r="F1087" s="77">
        <v>0</v>
      </c>
      <c r="G1087" s="77">
        <f t="shared" ref="G1087:P1088" si="496">IF(VLOOKUP($E1087,$D$6:$AN$1131,3,)=0,0,(VLOOKUP($E1087,$D$6:$AN$1131,G$2,)/VLOOKUP($E1087,$D$6:$AN$1131,3,))*$F1087)</f>
        <v>0</v>
      </c>
      <c r="H1087" s="77">
        <f t="shared" si="496"/>
        <v>0</v>
      </c>
      <c r="I1087" s="77">
        <f t="shared" si="496"/>
        <v>0</v>
      </c>
      <c r="J1087" s="77">
        <f t="shared" si="496"/>
        <v>0</v>
      </c>
      <c r="K1087" s="77">
        <f t="shared" si="496"/>
        <v>0</v>
      </c>
      <c r="L1087" s="77">
        <f t="shared" si="496"/>
        <v>0</v>
      </c>
      <c r="M1087" s="77">
        <f t="shared" si="496"/>
        <v>0</v>
      </c>
      <c r="N1087" s="77">
        <f t="shared" si="496"/>
        <v>0</v>
      </c>
      <c r="O1087" s="77">
        <f t="shared" si="496"/>
        <v>0</v>
      </c>
      <c r="P1087" s="77">
        <f t="shared" si="496"/>
        <v>0</v>
      </c>
      <c r="Q1087" s="77">
        <f t="shared" ref="Q1087:Z1088" si="497">IF(VLOOKUP($E1087,$D$6:$AN$1131,3,)=0,0,(VLOOKUP($E1087,$D$6:$AN$1131,Q$2,)/VLOOKUP($E1087,$D$6:$AN$1131,3,))*$F1087)</f>
        <v>0</v>
      </c>
      <c r="R1087" s="77">
        <f t="shared" si="497"/>
        <v>0</v>
      </c>
      <c r="S1087" s="77">
        <f t="shared" si="497"/>
        <v>0</v>
      </c>
      <c r="T1087" s="77">
        <f t="shared" si="497"/>
        <v>0</v>
      </c>
      <c r="U1087" s="77">
        <f t="shared" si="497"/>
        <v>0</v>
      </c>
      <c r="V1087" s="77">
        <f t="shared" si="497"/>
        <v>0</v>
      </c>
      <c r="W1087" s="179">
        <f t="shared" si="497"/>
        <v>0</v>
      </c>
      <c r="X1087" s="176">
        <f t="shared" si="497"/>
        <v>0</v>
      </c>
      <c r="Y1087" s="176">
        <f t="shared" si="497"/>
        <v>0</v>
      </c>
      <c r="Z1087" s="176">
        <f t="shared" si="497"/>
        <v>0</v>
      </c>
      <c r="AA1087" s="183">
        <f>SUM(G1087:Z1087)</f>
        <v>0</v>
      </c>
      <c r="AB1087" s="177" t="str">
        <f>IF(ABS(F1087-AA1087)&lt;0.01,"ok","err")</f>
        <v>ok</v>
      </c>
    </row>
    <row r="1088" spans="1:29" s="175" customFormat="1" hidden="1">
      <c r="A1088" s="61" t="s">
        <v>852</v>
      </c>
      <c r="B1088" s="61"/>
      <c r="C1088" s="61"/>
      <c r="D1088" s="61"/>
      <c r="E1088" s="61" t="s">
        <v>1112</v>
      </c>
      <c r="F1088" s="80">
        <f>-F1087</f>
        <v>0</v>
      </c>
      <c r="G1088" s="80">
        <f t="shared" si="496"/>
        <v>0</v>
      </c>
      <c r="H1088" s="80">
        <f t="shared" si="496"/>
        <v>0</v>
      </c>
      <c r="I1088" s="80">
        <f t="shared" si="496"/>
        <v>0</v>
      </c>
      <c r="J1088" s="80">
        <f t="shared" si="496"/>
        <v>0</v>
      </c>
      <c r="K1088" s="80">
        <f t="shared" si="496"/>
        <v>0</v>
      </c>
      <c r="L1088" s="80">
        <f t="shared" si="496"/>
        <v>0</v>
      </c>
      <c r="M1088" s="80">
        <f t="shared" si="496"/>
        <v>0</v>
      </c>
      <c r="N1088" s="80">
        <f t="shared" si="496"/>
        <v>0</v>
      </c>
      <c r="O1088" s="80">
        <f t="shared" si="496"/>
        <v>0</v>
      </c>
      <c r="P1088" s="80">
        <f t="shared" si="496"/>
        <v>0</v>
      </c>
      <c r="Q1088" s="80">
        <f t="shared" si="497"/>
        <v>0</v>
      </c>
      <c r="R1088" s="80">
        <f t="shared" si="497"/>
        <v>0</v>
      </c>
      <c r="S1088" s="80">
        <f t="shared" si="497"/>
        <v>0</v>
      </c>
      <c r="T1088" s="80">
        <f t="shared" si="497"/>
        <v>0</v>
      </c>
      <c r="U1088" s="80">
        <f t="shared" si="497"/>
        <v>0</v>
      </c>
      <c r="V1088" s="80">
        <f t="shared" si="497"/>
        <v>0</v>
      </c>
      <c r="W1088" s="176">
        <f t="shared" si="497"/>
        <v>0</v>
      </c>
      <c r="X1088" s="176">
        <f t="shared" si="497"/>
        <v>0</v>
      </c>
      <c r="Y1088" s="176">
        <f t="shared" si="497"/>
        <v>0</v>
      </c>
      <c r="Z1088" s="176">
        <f t="shared" si="497"/>
        <v>0</v>
      </c>
      <c r="AA1088" s="176">
        <f>SUM(G1088:Z1088)</f>
        <v>0</v>
      </c>
      <c r="AB1088" s="177" t="str">
        <f>IF(ABS(F1088-AA1088)&lt;0.01,"ok","err")</f>
        <v>ok</v>
      </c>
    </row>
    <row r="1089" spans="1:29" s="175" customFormat="1" hidden="1">
      <c r="A1089" s="61" t="s">
        <v>853</v>
      </c>
      <c r="B1089" s="61"/>
      <c r="C1089" s="61"/>
      <c r="D1089" s="61"/>
      <c r="E1089" s="61"/>
      <c r="F1089" s="80">
        <f>F1087+F1088</f>
        <v>0</v>
      </c>
      <c r="G1089" s="80">
        <f t="shared" ref="G1089:W1089" si="498">G1087+G1088</f>
        <v>0</v>
      </c>
      <c r="H1089" s="80">
        <f t="shared" si="498"/>
        <v>0</v>
      </c>
      <c r="I1089" s="80">
        <f t="shared" si="498"/>
        <v>0</v>
      </c>
      <c r="J1089" s="80">
        <f t="shared" si="498"/>
        <v>0</v>
      </c>
      <c r="K1089" s="80">
        <f t="shared" si="498"/>
        <v>0</v>
      </c>
      <c r="L1089" s="80">
        <f t="shared" si="498"/>
        <v>0</v>
      </c>
      <c r="M1089" s="80">
        <f t="shared" si="498"/>
        <v>0</v>
      </c>
      <c r="N1089" s="80">
        <f t="shared" si="498"/>
        <v>0</v>
      </c>
      <c r="O1089" s="80">
        <f>O1087+O1088</f>
        <v>0</v>
      </c>
      <c r="P1089" s="80">
        <f t="shared" si="498"/>
        <v>0</v>
      </c>
      <c r="Q1089" s="80">
        <f t="shared" si="498"/>
        <v>0</v>
      </c>
      <c r="R1089" s="80">
        <f t="shared" si="498"/>
        <v>0</v>
      </c>
      <c r="S1089" s="80">
        <f t="shared" si="498"/>
        <v>0</v>
      </c>
      <c r="T1089" s="80">
        <f t="shared" si="498"/>
        <v>0</v>
      </c>
      <c r="U1089" s="80">
        <f t="shared" si="498"/>
        <v>0</v>
      </c>
      <c r="V1089" s="80">
        <f t="shared" si="498"/>
        <v>0</v>
      </c>
      <c r="W1089" s="176">
        <f t="shared" si="498"/>
        <v>0</v>
      </c>
      <c r="X1089" s="176">
        <f>X1087+X1088</f>
        <v>0</v>
      </c>
      <c r="Y1089" s="176">
        <f>Y1087+Y1088</f>
        <v>0</v>
      </c>
      <c r="Z1089" s="176">
        <f>Z1087+Z1088</f>
        <v>0</v>
      </c>
      <c r="AA1089" s="176"/>
      <c r="AB1089" s="177"/>
    </row>
    <row r="1090" spans="1:29" s="175" customFormat="1" hidden="1">
      <c r="A1090" s="61"/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2"/>
      <c r="X1090" s="182"/>
      <c r="Y1090" s="182"/>
      <c r="Z1090" s="182"/>
      <c r="AA1090" s="182"/>
      <c r="AB1090" s="177"/>
    </row>
    <row r="1091" spans="1:29" s="175" customFormat="1" hidden="1">
      <c r="A1091" s="61" t="s">
        <v>854</v>
      </c>
      <c r="B1091" s="61"/>
      <c r="C1091" s="61"/>
      <c r="D1091" s="61" t="s">
        <v>855</v>
      </c>
      <c r="E1091" s="61"/>
      <c r="F1091" s="77">
        <f>F1084-F1089</f>
        <v>42971044.699999966</v>
      </c>
      <c r="G1091" s="77">
        <f t="shared" ref="G1091:Z1091" si="499">G1084-G1089</f>
        <v>19238715.022499435</v>
      </c>
      <c r="H1091" s="77">
        <f t="shared" si="499"/>
        <v>4903342.1787222018</v>
      </c>
      <c r="I1091" s="77">
        <f t="shared" si="499"/>
        <v>0</v>
      </c>
      <c r="J1091" s="77">
        <f t="shared" si="499"/>
        <v>499501.57676542219</v>
      </c>
      <c r="K1091" s="77">
        <f t="shared" si="499"/>
        <v>6300371.7738060169</v>
      </c>
      <c r="L1091" s="77">
        <f t="shared" si="499"/>
        <v>0</v>
      </c>
      <c r="M1091" s="77">
        <f t="shared" si="499"/>
        <v>0</v>
      </c>
      <c r="N1091" s="77">
        <f t="shared" si="499"/>
        <v>5241144.8190121781</v>
      </c>
      <c r="O1091" s="77">
        <f>O1084-O1089</f>
        <v>3289209.3079929878</v>
      </c>
      <c r="P1091" s="77">
        <f t="shared" si="499"/>
        <v>2981256.9195824903</v>
      </c>
      <c r="Q1091" s="77">
        <f t="shared" si="499"/>
        <v>338170.05691269418</v>
      </c>
      <c r="R1091" s="77">
        <f t="shared" si="499"/>
        <v>147544.53632423989</v>
      </c>
      <c r="S1091" s="77">
        <f t="shared" si="499"/>
        <v>24273.745079868066</v>
      </c>
      <c r="T1091" s="77">
        <f t="shared" si="499"/>
        <v>788.80530228670489</v>
      </c>
      <c r="U1091" s="77">
        <f t="shared" si="499"/>
        <v>6725.9580001375716</v>
      </c>
      <c r="V1091" s="77">
        <f t="shared" si="499"/>
        <v>0</v>
      </c>
      <c r="W1091" s="179">
        <f t="shared" si="499"/>
        <v>0</v>
      </c>
      <c r="X1091" s="176">
        <f t="shared" si="499"/>
        <v>0</v>
      </c>
      <c r="Y1091" s="176">
        <f t="shared" si="499"/>
        <v>0</v>
      </c>
      <c r="Z1091" s="176">
        <f t="shared" si="499"/>
        <v>0</v>
      </c>
      <c r="AA1091" s="183">
        <f>SUM(G1091:Z1091)</f>
        <v>42971044.699999966</v>
      </c>
      <c r="AB1091" s="177" t="str">
        <f>IF(ABS(F1091-AA1091)&lt;0.01,"ok","err")</f>
        <v>ok</v>
      </c>
    </row>
    <row r="1092" spans="1:29" s="175" customFormat="1" hidden="1">
      <c r="A1092" s="61"/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2"/>
      <c r="X1092" s="182"/>
      <c r="Y1092" s="182"/>
      <c r="Z1092" s="182"/>
      <c r="AA1092" s="182"/>
      <c r="AB1092" s="177"/>
    </row>
    <row r="1093" spans="1:29" s="175" customFormat="1">
      <c r="A1093" s="61"/>
      <c r="B1093" s="61"/>
      <c r="C1093" s="61"/>
      <c r="D1093" s="61"/>
      <c r="E1093" s="61"/>
      <c r="F1093" s="11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2"/>
      <c r="X1093" s="182"/>
      <c r="Y1093" s="182"/>
      <c r="Z1093" s="182"/>
      <c r="AA1093" s="182"/>
      <c r="AB1093" s="177"/>
    </row>
    <row r="1094" spans="1:29" s="169" customFormat="1" ht="15">
      <c r="A1094" s="66" t="s">
        <v>695</v>
      </c>
      <c r="B1094" s="61"/>
      <c r="C1094" s="61"/>
      <c r="D1094" s="61"/>
      <c r="E1094" s="61"/>
      <c r="F1094" s="11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172"/>
      <c r="Y1094" s="172"/>
      <c r="Z1094" s="172"/>
      <c r="AA1094" s="172"/>
      <c r="AB1094" s="168"/>
    </row>
    <row r="1095" spans="1:29" s="169" customFormat="1">
      <c r="A1095" s="61" t="s">
        <v>918</v>
      </c>
      <c r="B1095" s="61"/>
      <c r="C1095" s="61"/>
      <c r="D1095" s="61" t="s">
        <v>701</v>
      </c>
      <c r="E1095" s="61"/>
      <c r="F1095" s="80">
        <f t="shared" ref="F1095:Z1095" si="500">F10+F11</f>
        <v>1593301897.1525154</v>
      </c>
      <c r="G1095" s="80">
        <f t="shared" si="500"/>
        <v>718723966.33962321</v>
      </c>
      <c r="H1095" s="80">
        <f t="shared" si="500"/>
        <v>181592106.93356997</v>
      </c>
      <c r="I1095" s="80">
        <f t="shared" si="500"/>
        <v>0</v>
      </c>
      <c r="J1095" s="80">
        <f t="shared" si="500"/>
        <v>18371857.232778892</v>
      </c>
      <c r="K1095" s="80">
        <f t="shared" si="500"/>
        <v>232630564.43062344</v>
      </c>
      <c r="L1095" s="80">
        <f t="shared" si="500"/>
        <v>0</v>
      </c>
      <c r="M1095" s="80">
        <f t="shared" si="500"/>
        <v>0</v>
      </c>
      <c r="N1095" s="80">
        <f t="shared" si="500"/>
        <v>192165197.38096187</v>
      </c>
      <c r="O1095" s="80">
        <f t="shared" si="500"/>
        <v>122439233.05219209</v>
      </c>
      <c r="P1095" s="80">
        <f t="shared" si="500"/>
        <v>108913714.96466443</v>
      </c>
      <c r="Q1095" s="80">
        <f t="shared" si="500"/>
        <v>12448812.199704839</v>
      </c>
      <c r="R1095" s="80">
        <f t="shared" si="500"/>
        <v>5377835.0874913279</v>
      </c>
      <c r="S1095" s="80">
        <f t="shared" si="500"/>
        <v>383849.37808733614</v>
      </c>
      <c r="T1095" s="80">
        <f t="shared" si="500"/>
        <v>12418.306833047813</v>
      </c>
      <c r="U1095" s="80">
        <f t="shared" si="500"/>
        <v>242341.84598497179</v>
      </c>
      <c r="V1095" s="80">
        <f t="shared" si="500"/>
        <v>0</v>
      </c>
      <c r="W1095" s="80">
        <f t="shared" si="500"/>
        <v>0</v>
      </c>
      <c r="X1095" s="165">
        <f t="shared" si="500"/>
        <v>0</v>
      </c>
      <c r="Y1095" s="165">
        <f t="shared" si="500"/>
        <v>0</v>
      </c>
      <c r="Z1095" s="165">
        <f t="shared" si="500"/>
        <v>0</v>
      </c>
      <c r="AA1095" s="171">
        <f>SUM(G1095:Z1095)</f>
        <v>1593301897.1525154</v>
      </c>
      <c r="AB1095" s="168" t="str">
        <f>IF(ABS(F1095-AA1095)&lt;0.01,"ok","err")</f>
        <v>ok</v>
      </c>
    </row>
    <row r="1096" spans="1:29" s="169" customFormat="1">
      <c r="A1096" s="61" t="s">
        <v>702</v>
      </c>
      <c r="B1096" s="61"/>
      <c r="C1096" s="61"/>
      <c r="D1096" s="61" t="s">
        <v>703</v>
      </c>
      <c r="E1096" s="61"/>
      <c r="F1096" s="83">
        <f t="shared" ref="F1096:Z1096" si="501">F233-F185</f>
        <v>220080914.45930403</v>
      </c>
      <c r="G1096" s="83">
        <f t="shared" si="501"/>
        <v>125067305.79677582</v>
      </c>
      <c r="H1096" s="83">
        <f t="shared" si="501"/>
        <v>29179591.566567525</v>
      </c>
      <c r="I1096" s="83">
        <f t="shared" si="501"/>
        <v>0</v>
      </c>
      <c r="J1096" s="83">
        <f t="shared" si="501"/>
        <v>1800809.3558411356</v>
      </c>
      <c r="K1096" s="83">
        <f t="shared" si="501"/>
        <v>22182738.247904062</v>
      </c>
      <c r="L1096" s="83">
        <f t="shared" si="501"/>
        <v>0</v>
      </c>
      <c r="M1096" s="83">
        <f t="shared" si="501"/>
        <v>0</v>
      </c>
      <c r="N1096" s="83">
        <f t="shared" si="501"/>
        <v>17574101.441194907</v>
      </c>
      <c r="O1096" s="83">
        <f t="shared" si="501"/>
        <v>11267877.405327346</v>
      </c>
      <c r="P1096" s="83">
        <f t="shared" si="501"/>
        <v>8433471.7532478943</v>
      </c>
      <c r="Q1096" s="83">
        <f t="shared" si="501"/>
        <v>1102265.9991492992</v>
      </c>
      <c r="R1096" s="83">
        <f t="shared" si="501"/>
        <v>509037.16398840398</v>
      </c>
      <c r="S1096" s="83">
        <f t="shared" si="501"/>
        <v>2880243.5334285684</v>
      </c>
      <c r="T1096" s="83">
        <f t="shared" si="501"/>
        <v>21040.462225401367</v>
      </c>
      <c r="U1096" s="83">
        <f t="shared" si="501"/>
        <v>62431.733653730407</v>
      </c>
      <c r="V1096" s="83">
        <f t="shared" si="501"/>
        <v>0</v>
      </c>
      <c r="W1096" s="83">
        <f t="shared" si="501"/>
        <v>0</v>
      </c>
      <c r="X1096" s="173">
        <f t="shared" si="501"/>
        <v>0</v>
      </c>
      <c r="Y1096" s="173">
        <f t="shared" si="501"/>
        <v>0</v>
      </c>
      <c r="Z1096" s="173">
        <f t="shared" si="501"/>
        <v>0</v>
      </c>
      <c r="AA1096" s="171">
        <f>SUM(G1096:Z1096)</f>
        <v>220080914.45930412</v>
      </c>
      <c r="AB1096" s="168" t="str">
        <f>IF(ABS(F1096-AA1096)&lt;0.01,"ok","err")</f>
        <v>ok</v>
      </c>
    </row>
    <row r="1097" spans="1:29" s="169" customFormat="1">
      <c r="A1097" s="61" t="s">
        <v>857</v>
      </c>
      <c r="B1097" s="61"/>
      <c r="C1097" s="61"/>
      <c r="D1097" s="61"/>
      <c r="E1097" s="61"/>
      <c r="F1097" s="80">
        <v>965204065.29999995</v>
      </c>
      <c r="G1097" s="80">
        <f>'Billing Det'!$F$8</f>
        <v>379200073</v>
      </c>
      <c r="H1097" s="80">
        <f>'Billing Det'!$F$10</f>
        <v>135825835</v>
      </c>
      <c r="I1097" s="80"/>
      <c r="J1097" s="80">
        <f>'Billing Det'!$F$12</f>
        <v>11517853</v>
      </c>
      <c r="K1097" s="80">
        <f>'Billing Det'!$F$14</f>
        <v>151571212</v>
      </c>
      <c r="L1097" s="80">
        <v>0</v>
      </c>
      <c r="M1097" s="80">
        <v>0</v>
      </c>
      <c r="N1097" s="80">
        <f>'Billing Det'!$F$16</f>
        <v>116918595</v>
      </c>
      <c r="O1097" s="80">
        <f>'Billing Det'!$F$18</f>
        <v>77629237</v>
      </c>
      <c r="P1097" s="80">
        <f>'Billing Det'!$F$20</f>
        <v>64284636</v>
      </c>
      <c r="Q1097" s="80">
        <f>'Billing Det'!$F$22</f>
        <v>6341748</v>
      </c>
      <c r="R1097" s="80">
        <f>'Billing Det'!$F$24</f>
        <v>3292762</v>
      </c>
      <c r="S1097" s="80">
        <f>'Billing Det'!$F$26</f>
        <v>18141167.300000001</v>
      </c>
      <c r="T1097" s="80">
        <f>'Billing Det'!$F$28</f>
        <v>210819</v>
      </c>
      <c r="U1097" s="80">
        <f>'Billing Det'!$F$30</f>
        <v>270128</v>
      </c>
      <c r="V1097" s="80">
        <v>0</v>
      </c>
      <c r="W1097" s="80">
        <v>0</v>
      </c>
      <c r="X1097" s="165">
        <v>0</v>
      </c>
      <c r="Y1097" s="165">
        <v>0</v>
      </c>
      <c r="Z1097" s="165">
        <v>0</v>
      </c>
      <c r="AA1097" s="165">
        <f>SUM(G1097:Z1097)</f>
        <v>965204065.29999995</v>
      </c>
      <c r="AB1097" s="168" t="str">
        <f>IF(ABS(F1097-AA1097)&lt;0.01,"ok","err")</f>
        <v>ok</v>
      </c>
    </row>
    <row r="1098" spans="1:29" s="169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172"/>
      <c r="Y1098" s="172"/>
      <c r="Z1098" s="172"/>
      <c r="AA1098" s="172"/>
      <c r="AB1098" s="168"/>
    </row>
    <row r="1099" spans="1:29" s="61" customFormat="1" ht="15">
      <c r="A1099" s="66" t="s">
        <v>889</v>
      </c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296"/>
      <c r="AB1099" s="94"/>
    </row>
    <row r="1100" spans="1:29" s="61" customFormat="1">
      <c r="A1100" s="61" t="s">
        <v>890</v>
      </c>
      <c r="F1100" s="80">
        <f>SUM(G1100:Z1100)</f>
        <v>799607.4418604651</v>
      </c>
      <c r="G1100" s="111"/>
      <c r="H1100" s="111"/>
      <c r="I1100" s="111"/>
      <c r="J1100" s="111"/>
      <c r="K1100" s="80"/>
      <c r="L1100" s="111"/>
      <c r="M1100" s="80"/>
      <c r="N1100" s="80"/>
      <c r="O1100" s="80"/>
      <c r="P1100" s="80">
        <f>P1102/P1101</f>
        <v>799607.4418604651</v>
      </c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296"/>
      <c r="AB1100" s="94"/>
    </row>
    <row r="1101" spans="1:29" s="61" customFormat="1">
      <c r="A1101" s="61" t="s">
        <v>891</v>
      </c>
      <c r="F1101" s="80"/>
      <c r="G1101" s="111"/>
      <c r="H1101" s="111"/>
      <c r="I1101" s="111"/>
      <c r="J1101" s="111"/>
      <c r="K1101" s="307"/>
      <c r="L1101" s="111"/>
      <c r="M1101" s="307"/>
      <c r="N1101" s="307"/>
      <c r="O1101" s="307"/>
      <c r="P1101" s="307">
        <v>4.3</v>
      </c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296"/>
      <c r="AB1101" s="94"/>
    </row>
    <row r="1102" spans="1:29" s="61" customFormat="1">
      <c r="A1102" s="61" t="s">
        <v>892</v>
      </c>
      <c r="F1102" s="80">
        <f>SUM(G1102:Z1102)</f>
        <v>3438312</v>
      </c>
      <c r="G1102" s="111"/>
      <c r="H1102" s="111"/>
      <c r="I1102" s="111"/>
      <c r="J1102" s="111"/>
      <c r="K1102" s="80"/>
      <c r="L1102" s="111"/>
      <c r="M1102" s="80"/>
      <c r="N1102" s="80"/>
      <c r="O1102" s="80"/>
      <c r="P1102" s="80">
        <f>3438312</f>
        <v>3438312</v>
      </c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296"/>
      <c r="AB1102" s="94"/>
    </row>
    <row r="1103" spans="1:29">
      <c r="D1103" s="167"/>
      <c r="F1103" s="80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80"/>
      <c r="AB1103" s="94"/>
      <c r="AC1103" s="76"/>
    </row>
    <row r="1104" spans="1:29" ht="15">
      <c r="A1104" s="140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0"/>
      <c r="Y1104" s="70"/>
      <c r="Z1104" s="70"/>
      <c r="AA1104" s="70"/>
      <c r="AB1104" s="70"/>
    </row>
    <row r="1105" spans="1:28" ht="15">
      <c r="A1105" s="140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0"/>
      <c r="Y1105" s="70"/>
      <c r="Z1105" s="70"/>
      <c r="AA1105" s="70"/>
      <c r="AB1105" s="70"/>
    </row>
    <row r="1106" spans="1:28" ht="15">
      <c r="A1106" s="140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0"/>
      <c r="Y1106" s="70"/>
      <c r="Z1106" s="70"/>
      <c r="AA1106" s="70"/>
      <c r="AB1106" s="70"/>
    </row>
    <row r="1107" spans="1:28">
      <c r="A1107" s="71"/>
      <c r="B1107" s="71"/>
      <c r="C1107" s="71"/>
      <c r="D1107" s="71"/>
      <c r="E1107" s="71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309"/>
      <c r="Y1107" s="309"/>
      <c r="Z1107" s="309"/>
      <c r="AA1107" s="309"/>
      <c r="AB1107" s="281"/>
    </row>
    <row r="1108" spans="1:28">
      <c r="A1108" s="71"/>
      <c r="B1108" s="71"/>
      <c r="C1108" s="71"/>
      <c r="D1108" s="71"/>
      <c r="E1108" s="71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309"/>
      <c r="Y1108" s="309"/>
      <c r="Z1108" s="309"/>
      <c r="AA1108" s="309"/>
      <c r="AB1108" s="281"/>
    </row>
    <row r="1109" spans="1:28">
      <c r="A1109" s="71"/>
      <c r="B1109" s="71"/>
      <c r="C1109" s="71"/>
      <c r="D1109" s="71"/>
      <c r="E1109" s="71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309"/>
      <c r="Y1109" s="309"/>
      <c r="Z1109" s="309"/>
      <c r="AA1109" s="309"/>
      <c r="AB1109" s="281"/>
    </row>
    <row r="1110" spans="1:28">
      <c r="A1110" s="71"/>
      <c r="B1110" s="71"/>
      <c r="C1110" s="71"/>
      <c r="D1110" s="71"/>
      <c r="E1110" s="71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309"/>
      <c r="Y1110" s="309"/>
      <c r="Z1110" s="309"/>
      <c r="AA1110" s="309"/>
      <c r="AB1110" s="281"/>
    </row>
    <row r="1111" spans="1:28">
      <c r="A1111" s="71"/>
      <c r="B1111" s="71"/>
      <c r="C1111" s="71"/>
      <c r="D1111" s="71"/>
      <c r="E1111" s="71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309"/>
      <c r="Y1111" s="309"/>
      <c r="Z1111" s="309"/>
      <c r="AA1111" s="309"/>
      <c r="AB1111" s="281"/>
    </row>
    <row r="1112" spans="1:28">
      <c r="A1112" s="71"/>
      <c r="B1112" s="71"/>
      <c r="C1112" s="71"/>
      <c r="D1112" s="71"/>
      <c r="E1112" s="71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X1112" s="309"/>
      <c r="Y1112" s="309"/>
      <c r="Z1112" s="309"/>
      <c r="AA1112" s="309"/>
      <c r="AB1112" s="281"/>
    </row>
    <row r="1113" spans="1:28">
      <c r="A1113" s="71"/>
      <c r="B1113" s="71"/>
      <c r="C1113" s="71"/>
      <c r="D1113" s="71"/>
      <c r="E1113" s="71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X1113" s="309"/>
      <c r="Y1113" s="309"/>
      <c r="Z1113" s="309"/>
      <c r="AA1113" s="309"/>
      <c r="AB1113" s="281"/>
    </row>
    <row r="1114" spans="1:28">
      <c r="A1114" s="71"/>
      <c r="B1114" s="71"/>
      <c r="C1114" s="71"/>
      <c r="D1114" s="71"/>
      <c r="E1114" s="71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309"/>
      <c r="Y1114" s="309"/>
      <c r="Z1114" s="309"/>
      <c r="AA1114" s="309"/>
      <c r="AB1114" s="281"/>
    </row>
    <row r="1115" spans="1:28">
      <c r="A1115" s="71"/>
      <c r="B1115" s="71"/>
      <c r="C1115" s="71"/>
      <c r="D1115" s="71"/>
      <c r="E1115" s="71"/>
      <c r="F1115" s="310"/>
      <c r="G1115" s="310"/>
      <c r="H1115" s="310"/>
      <c r="I1115" s="310"/>
      <c r="J1115" s="310"/>
      <c r="K1115" s="310"/>
      <c r="L1115" s="310"/>
      <c r="M1115" s="310"/>
      <c r="N1115" s="310"/>
      <c r="O1115" s="310"/>
      <c r="P1115" s="310"/>
      <c r="Q1115" s="310"/>
      <c r="R1115" s="310"/>
      <c r="S1115" s="310"/>
      <c r="T1115" s="310"/>
      <c r="U1115" s="310"/>
      <c r="V1115" s="310"/>
      <c r="W1115" s="310"/>
      <c r="X1115" s="311"/>
      <c r="Y1115" s="311"/>
      <c r="Z1115" s="311"/>
      <c r="AA1115" s="309"/>
      <c r="AB1115" s="281"/>
    </row>
    <row r="1116" spans="1:28">
      <c r="A1116" s="71"/>
      <c r="B1116" s="71"/>
      <c r="C1116" s="71"/>
      <c r="D1116" s="71"/>
      <c r="E1116" s="312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X1116" s="309"/>
      <c r="Y1116" s="309"/>
      <c r="Z1116" s="309"/>
      <c r="AA1116" s="309"/>
      <c r="AB1116" s="281"/>
    </row>
    <row r="1117" spans="1:28">
      <c r="A1117" s="71"/>
      <c r="B1117" s="71"/>
      <c r="C1117" s="71"/>
      <c r="D1117" s="71"/>
      <c r="E1117" s="71"/>
      <c r="F1117" s="154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0"/>
      <c r="Y1117" s="70"/>
      <c r="Z1117" s="70"/>
      <c r="AA1117" s="70"/>
      <c r="AB1117" s="70"/>
    </row>
    <row r="1118" spans="1:28" ht="15">
      <c r="A1118" s="140"/>
      <c r="B1118" s="71"/>
      <c r="C1118" s="71"/>
      <c r="D1118" s="71"/>
      <c r="E1118" s="313"/>
      <c r="F1118" s="154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0"/>
      <c r="Y1118" s="70"/>
      <c r="Z1118" s="70"/>
      <c r="AA1118" s="70"/>
      <c r="AB1118" s="70"/>
    </row>
    <row r="1119" spans="1:28">
      <c r="A1119" s="71"/>
      <c r="B1119" s="71"/>
      <c r="C1119" s="71"/>
      <c r="D1119" s="71"/>
      <c r="E1119" s="312"/>
      <c r="F1119" s="227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309"/>
      <c r="Y1119" s="309"/>
      <c r="Z1119" s="309"/>
      <c r="AA1119" s="309"/>
      <c r="AB1119" s="281"/>
    </row>
    <row r="1120" spans="1:28">
      <c r="A1120" s="71"/>
      <c r="B1120" s="71"/>
      <c r="C1120" s="71"/>
      <c r="D1120" s="71"/>
      <c r="E1120" s="71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309"/>
      <c r="Y1120" s="309"/>
      <c r="Z1120" s="309"/>
      <c r="AA1120" s="309"/>
      <c r="AB1120" s="281"/>
    </row>
    <row r="1121" spans="1:29">
      <c r="A1121" s="71"/>
      <c r="B1121" s="71"/>
      <c r="C1121" s="71"/>
      <c r="D1121" s="71"/>
      <c r="E1121" s="71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309"/>
      <c r="Y1121" s="309"/>
      <c r="Z1121" s="309"/>
      <c r="AA1121" s="309"/>
      <c r="AB1121" s="281"/>
    </row>
    <row r="1122" spans="1:29">
      <c r="A1122" s="71"/>
      <c r="B1122" s="71"/>
      <c r="C1122" s="71"/>
      <c r="D1122" s="71"/>
      <c r="E1122" s="71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309"/>
      <c r="Y1122" s="309"/>
      <c r="Z1122" s="309"/>
      <c r="AA1122" s="309"/>
      <c r="AB1122" s="281"/>
    </row>
    <row r="1123" spans="1:29">
      <c r="A1123" s="71"/>
      <c r="B1123" s="71"/>
      <c r="C1123" s="71"/>
      <c r="D1123" s="71"/>
      <c r="E1123" s="71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309"/>
      <c r="Y1123" s="309"/>
      <c r="Z1123" s="309"/>
      <c r="AA1123" s="309"/>
      <c r="AB1123" s="281"/>
    </row>
    <row r="1124" spans="1:29">
      <c r="A1124" s="71"/>
      <c r="B1124" s="71"/>
      <c r="C1124" s="71"/>
      <c r="D1124" s="71"/>
      <c r="E1124" s="71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309"/>
      <c r="Y1124" s="309"/>
      <c r="Z1124" s="309"/>
      <c r="AA1124" s="309"/>
      <c r="AB1124" s="281"/>
    </row>
    <row r="1125" spans="1:29">
      <c r="A1125" s="71"/>
      <c r="B1125" s="71"/>
      <c r="C1125" s="71"/>
      <c r="D1125" s="71"/>
      <c r="E1125" s="71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309"/>
      <c r="Y1125" s="309"/>
      <c r="Z1125" s="309"/>
      <c r="AA1125" s="309"/>
      <c r="AB1125" s="281"/>
      <c r="AC1125" s="65"/>
    </row>
    <row r="1126" spans="1:29">
      <c r="A1126" s="71"/>
      <c r="B1126" s="71"/>
      <c r="C1126" s="71"/>
      <c r="D1126" s="71"/>
      <c r="E1126" s="71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309"/>
      <c r="Y1126" s="309"/>
      <c r="Z1126" s="309"/>
      <c r="AA1126" s="309"/>
      <c r="AB1126" s="281"/>
    </row>
    <row r="1127" spans="1:29">
      <c r="A1127" s="71"/>
      <c r="B1127" s="71"/>
      <c r="C1127" s="71"/>
      <c r="D1127" s="71"/>
      <c r="E1127" s="71"/>
      <c r="F1127" s="310"/>
      <c r="G1127" s="310"/>
      <c r="H1127" s="310"/>
      <c r="I1127" s="310"/>
      <c r="J1127" s="310"/>
      <c r="K1127" s="310"/>
      <c r="L1127" s="310"/>
      <c r="M1127" s="310"/>
      <c r="N1127" s="310"/>
      <c r="O1127" s="310"/>
      <c r="P1127" s="310"/>
      <c r="Q1127" s="310"/>
      <c r="R1127" s="310"/>
      <c r="S1127" s="310"/>
      <c r="T1127" s="310"/>
      <c r="U1127" s="310"/>
      <c r="V1127" s="310"/>
      <c r="W1127" s="310"/>
      <c r="X1127" s="311"/>
      <c r="Y1127" s="311"/>
      <c r="Z1127" s="311"/>
      <c r="AA1127" s="309"/>
      <c r="AB1127" s="281"/>
    </row>
    <row r="1128" spans="1:29">
      <c r="A1128" s="71"/>
      <c r="B1128" s="71"/>
      <c r="C1128" s="71"/>
      <c r="D1128" s="71"/>
      <c r="E1128" s="71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309"/>
      <c r="Y1128" s="309"/>
      <c r="Z1128" s="309"/>
      <c r="AA1128" s="309"/>
      <c r="AB1128" s="281"/>
      <c r="AC1128" s="45" t="s">
        <v>1374</v>
      </c>
    </row>
    <row r="1129" spans="1:29">
      <c r="A1129" s="71"/>
      <c r="B1129" s="71"/>
      <c r="C1129" s="71"/>
      <c r="D1129" s="71"/>
      <c r="E1129" s="71"/>
      <c r="F1129" s="154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0"/>
      <c r="Y1129" s="70"/>
      <c r="Z1129" s="70"/>
      <c r="AA1129" s="70"/>
      <c r="AB1129" s="70"/>
    </row>
    <row r="1130" spans="1:29">
      <c r="A1130" s="71"/>
      <c r="B1130" s="71"/>
      <c r="C1130" s="71"/>
      <c r="D1130" s="71"/>
      <c r="E1130" s="71"/>
      <c r="F1130" s="154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0"/>
      <c r="Y1130" s="70"/>
      <c r="Z1130" s="70"/>
      <c r="AA1130" s="70"/>
      <c r="AB1130" s="70"/>
    </row>
    <row r="1131" spans="1:29" ht="15">
      <c r="A1131" s="140"/>
      <c r="B1131" s="71"/>
      <c r="C1131" s="71"/>
      <c r="D1131" s="71"/>
      <c r="E1131" s="71"/>
      <c r="F1131" s="154"/>
      <c r="G1131" s="154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0"/>
      <c r="Y1131" s="70"/>
      <c r="Z1131" s="70"/>
      <c r="AA1131" s="70"/>
      <c r="AB1131" s="70"/>
    </row>
    <row r="1132" spans="1:29">
      <c r="A1132" s="71"/>
      <c r="B1132" s="71"/>
      <c r="C1132" s="71"/>
      <c r="D1132" s="71"/>
      <c r="E1132" s="71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309"/>
      <c r="AB1132" s="281"/>
    </row>
    <row r="1133" spans="1:29">
      <c r="A1133" s="71"/>
      <c r="B1133" s="71"/>
      <c r="C1133" s="71"/>
      <c r="D1133" s="71"/>
      <c r="E1133" s="71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309"/>
      <c r="AB1133" s="281"/>
    </row>
    <row r="1134" spans="1:29">
      <c r="A1134" s="71"/>
      <c r="B1134" s="71"/>
      <c r="C1134" s="71"/>
      <c r="D1134" s="71"/>
      <c r="E1134" s="71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309"/>
      <c r="AB1134" s="281"/>
    </row>
    <row r="1135" spans="1:29">
      <c r="A1135" s="71"/>
      <c r="B1135" s="71"/>
      <c r="C1135" s="71"/>
      <c r="D1135" s="71"/>
      <c r="E1135" s="71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309"/>
      <c r="AB1135" s="281"/>
    </row>
    <row r="1136" spans="1:29">
      <c r="A1136" s="71"/>
      <c r="B1136" s="71"/>
      <c r="C1136" s="71"/>
      <c r="D1136" s="71"/>
      <c r="E1136" s="71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309"/>
      <c r="AB1136" s="281"/>
    </row>
    <row r="1137" spans="1:28">
      <c r="A1137" s="71"/>
      <c r="B1137" s="71"/>
      <c r="C1137" s="71"/>
      <c r="D1137" s="71"/>
      <c r="E1137" s="71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309"/>
      <c r="AB1137" s="281"/>
    </row>
    <row r="1138" spans="1:28">
      <c r="A1138" s="71"/>
      <c r="B1138" s="71"/>
      <c r="C1138" s="71"/>
      <c r="D1138" s="71"/>
      <c r="E1138" s="71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309"/>
      <c r="AB1138" s="281"/>
    </row>
    <row r="1139" spans="1:28">
      <c r="A1139" s="71"/>
      <c r="B1139" s="71"/>
      <c r="C1139" s="71"/>
      <c r="D1139" s="71"/>
      <c r="E1139" s="71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309"/>
      <c r="AB1139" s="281"/>
    </row>
    <row r="1140" spans="1:28">
      <c r="A1140" s="71"/>
      <c r="B1140" s="71"/>
      <c r="C1140" s="71"/>
      <c r="D1140" s="71"/>
      <c r="E1140" s="71"/>
      <c r="F1140" s="310"/>
      <c r="G1140" s="310"/>
      <c r="H1140" s="310"/>
      <c r="I1140" s="310"/>
      <c r="J1140" s="310"/>
      <c r="K1140" s="310"/>
      <c r="L1140" s="310"/>
      <c r="M1140" s="310"/>
      <c r="N1140" s="310"/>
      <c r="O1140" s="31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09"/>
      <c r="AB1140" s="281"/>
    </row>
    <row r="1141" spans="1:28">
      <c r="A1141" s="71"/>
      <c r="B1141" s="71"/>
      <c r="C1141" s="71"/>
      <c r="D1141" s="71"/>
      <c r="E1141" s="71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309"/>
      <c r="AB1141" s="281"/>
    </row>
    <row r="1142" spans="1:28">
      <c r="A1142" s="71"/>
      <c r="B1142" s="71"/>
      <c r="C1142" s="71"/>
      <c r="D1142" s="71"/>
      <c r="E1142" s="71"/>
      <c r="F1142" s="154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0"/>
      <c r="Y1142" s="70"/>
      <c r="Z1142" s="70"/>
      <c r="AA1142" s="70"/>
      <c r="AB1142" s="70"/>
    </row>
    <row r="1143" spans="1:28">
      <c r="A1143" s="71"/>
      <c r="B1143" s="71"/>
      <c r="C1143" s="71"/>
      <c r="D1143" s="71"/>
      <c r="E1143" s="71"/>
      <c r="F1143" s="154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0"/>
      <c r="Y1143" s="70"/>
      <c r="Z1143" s="70"/>
      <c r="AA1143" s="70"/>
      <c r="AB1143" s="70"/>
    </row>
    <row r="1144" spans="1:28" ht="15">
      <c r="A1144" s="140"/>
      <c r="B1144" s="71"/>
      <c r="C1144" s="71"/>
      <c r="D1144" s="71"/>
      <c r="E1144" s="71"/>
      <c r="F1144" s="227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0"/>
      <c r="Y1144" s="70"/>
      <c r="Z1144" s="70"/>
      <c r="AA1144" s="70"/>
      <c r="AB1144" s="70"/>
    </row>
    <row r="1145" spans="1:28">
      <c r="A1145" s="71"/>
      <c r="B1145" s="71"/>
      <c r="C1145" s="71"/>
      <c r="D1145" s="71"/>
      <c r="E1145" s="71"/>
      <c r="F1145" s="71"/>
      <c r="G1145" s="163"/>
      <c r="H1145" s="163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5"/>
      <c r="T1145" s="315"/>
      <c r="U1145" s="315"/>
      <c r="V1145" s="314"/>
      <c r="W1145" s="314"/>
      <c r="X1145" s="316"/>
      <c r="Y1145" s="316"/>
      <c r="Z1145" s="316"/>
      <c r="AA1145" s="70"/>
      <c r="AB1145" s="70"/>
    </row>
    <row r="1146" spans="1:28" s="61" customFormat="1">
      <c r="A1146" s="71"/>
      <c r="B1146" s="71"/>
      <c r="C1146" s="71"/>
      <c r="D1146" s="71"/>
      <c r="E1146" s="71"/>
      <c r="F1146" s="71"/>
      <c r="G1146" s="163"/>
      <c r="H1146" s="163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5"/>
      <c r="T1146" s="315"/>
      <c r="U1146" s="315"/>
      <c r="V1146" s="314"/>
      <c r="W1146" s="314"/>
      <c r="X1146" s="71"/>
      <c r="Y1146" s="71"/>
      <c r="Z1146" s="71"/>
      <c r="AA1146" s="71"/>
      <c r="AB1146" s="71"/>
    </row>
    <row r="1147" spans="1:28" s="61" customFormat="1">
      <c r="A1147" s="71"/>
      <c r="B1147" s="71"/>
      <c r="C1147" s="71"/>
      <c r="D1147" s="71"/>
      <c r="E1147" s="71"/>
      <c r="F1147" s="71"/>
      <c r="G1147" s="317"/>
      <c r="H1147" s="317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5"/>
      <c r="T1147" s="315"/>
      <c r="U1147" s="315"/>
      <c r="V1147" s="314"/>
      <c r="W1147" s="314"/>
      <c r="X1147" s="71"/>
      <c r="Y1147" s="71"/>
      <c r="Z1147" s="71"/>
      <c r="AA1147" s="71"/>
      <c r="AB1147" s="71"/>
    </row>
    <row r="1148" spans="1:28" s="61" customFormat="1">
      <c r="A1148" s="71"/>
      <c r="B1148" s="71"/>
      <c r="C1148" s="71"/>
      <c r="D1148" s="71"/>
      <c r="E1148" s="71"/>
      <c r="F1148" s="71"/>
      <c r="G1148" s="163"/>
      <c r="H1148" s="163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5"/>
      <c r="T1148" s="315"/>
      <c r="U1148" s="315"/>
      <c r="V1148" s="314"/>
      <c r="W1148" s="314"/>
      <c r="X1148" s="71"/>
      <c r="Y1148" s="71"/>
      <c r="Z1148" s="71"/>
      <c r="AA1148" s="71"/>
      <c r="AB1148" s="71"/>
    </row>
    <row r="1149" spans="1:28" s="61" customFormat="1">
      <c r="A1149" s="71"/>
      <c r="B1149" s="71"/>
      <c r="C1149" s="71"/>
      <c r="D1149" s="71"/>
      <c r="E1149" s="71"/>
      <c r="F1149" s="71"/>
      <c r="G1149" s="163"/>
      <c r="H1149" s="163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5"/>
      <c r="T1149" s="315"/>
      <c r="U1149" s="315"/>
      <c r="V1149" s="314"/>
      <c r="W1149" s="314"/>
      <c r="X1149" s="71"/>
      <c r="Y1149" s="71"/>
      <c r="Z1149" s="71"/>
      <c r="AA1149" s="71"/>
      <c r="AB1149" s="71"/>
    </row>
    <row r="1150" spans="1:28" s="61" customFormat="1">
      <c r="A1150" s="71"/>
      <c r="B1150" s="71"/>
      <c r="C1150" s="71"/>
      <c r="D1150" s="71"/>
      <c r="E1150" s="71"/>
      <c r="F1150" s="71"/>
      <c r="G1150" s="317"/>
      <c r="H1150" s="317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5"/>
      <c r="T1150" s="315"/>
      <c r="U1150" s="315"/>
      <c r="V1150" s="314"/>
      <c r="W1150" s="314"/>
      <c r="X1150" s="71"/>
      <c r="Y1150" s="71"/>
      <c r="Z1150" s="71"/>
      <c r="AA1150" s="71"/>
      <c r="AB1150" s="71"/>
    </row>
    <row r="1151" spans="1:28">
      <c r="A1151" s="71"/>
      <c r="B1151" s="71"/>
      <c r="C1151" s="71"/>
      <c r="D1151" s="71"/>
      <c r="E1151" s="71"/>
      <c r="F1151" s="71"/>
      <c r="G1151" s="163"/>
      <c r="H1151" s="163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315"/>
      <c r="T1151" s="315"/>
      <c r="U1151" s="315"/>
      <c r="V1151" s="71"/>
      <c r="W1151" s="71"/>
      <c r="X1151" s="70"/>
      <c r="Y1151" s="70"/>
      <c r="Z1151" s="70"/>
      <c r="AA1151" s="70"/>
      <c r="AB1151" s="70"/>
    </row>
    <row r="1152" spans="1:28">
      <c r="A1152" s="71"/>
      <c r="B1152" s="71"/>
      <c r="C1152" s="71"/>
      <c r="D1152" s="71"/>
      <c r="E1152" s="71"/>
      <c r="F1152" s="71"/>
      <c r="G1152" s="163"/>
      <c r="H1152" s="163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5"/>
      <c r="T1152" s="315"/>
      <c r="U1152" s="315"/>
      <c r="V1152" s="314"/>
      <c r="W1152" s="314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  <c r="R1153" s="226"/>
      <c r="S1153" s="226"/>
      <c r="T1153" s="315"/>
      <c r="U1153" s="315"/>
      <c r="V1153" s="226"/>
      <c r="W1153" s="226"/>
      <c r="X1153" s="318"/>
      <c r="Y1153" s="318"/>
      <c r="Z1153" s="318"/>
      <c r="AA1153" s="70"/>
      <c r="AB1153" s="70"/>
    </row>
    <row r="1154" spans="1:28">
      <c r="A1154" s="71"/>
      <c r="B1154" s="71"/>
      <c r="C1154" s="71"/>
      <c r="D1154" s="71"/>
      <c r="E1154" s="71"/>
      <c r="F1154" s="71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  <c r="R1154" s="226"/>
      <c r="S1154" s="226"/>
      <c r="T1154" s="315"/>
      <c r="U1154" s="315"/>
      <c r="V1154" s="226"/>
      <c r="W1154" s="226"/>
      <c r="X1154" s="318"/>
      <c r="Y1154" s="318"/>
      <c r="Z1154" s="318"/>
      <c r="AA1154" s="70"/>
      <c r="AB1154" s="70"/>
    </row>
    <row r="1155" spans="1:28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0"/>
      <c r="Y1155" s="70"/>
      <c r="Z1155" s="70"/>
      <c r="AA1155" s="70"/>
      <c r="AB1155" s="70"/>
    </row>
    <row r="1156" spans="1:28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0"/>
      <c r="Y1156" s="70"/>
      <c r="Z1156" s="70"/>
      <c r="AA1156" s="70"/>
      <c r="AB1156" s="70"/>
    </row>
    <row r="1157" spans="1:28" ht="15">
      <c r="A1157" s="140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0"/>
      <c r="Y1157" s="70"/>
      <c r="Z1157" s="70"/>
      <c r="AA1157" s="70"/>
      <c r="AB1157" s="70"/>
    </row>
    <row r="1158" spans="1:28">
      <c r="A1158" s="71"/>
      <c r="B1158" s="71"/>
      <c r="C1158" s="71"/>
      <c r="D1158" s="71"/>
      <c r="E1158" s="71"/>
      <c r="F1158" s="71"/>
      <c r="G1158" s="319"/>
      <c r="H1158" s="319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9"/>
      <c r="T1158" s="319"/>
      <c r="U1158" s="319"/>
      <c r="V1158" s="314"/>
      <c r="W1158" s="314"/>
      <c r="X1158" s="70"/>
      <c r="Y1158" s="70"/>
      <c r="Z1158" s="70"/>
      <c r="AA1158" s="70"/>
      <c r="AB1158" s="70"/>
    </row>
    <row r="1159" spans="1:28" s="61" customFormat="1">
      <c r="A1159" s="71"/>
      <c r="B1159" s="71"/>
      <c r="C1159" s="71"/>
      <c r="D1159" s="71"/>
      <c r="E1159" s="71"/>
      <c r="F1159" s="71"/>
      <c r="G1159" s="319"/>
      <c r="H1159" s="319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9"/>
      <c r="T1159" s="320"/>
      <c r="U1159" s="320"/>
      <c r="V1159" s="314"/>
      <c r="W1159" s="314"/>
      <c r="X1159" s="319"/>
      <c r="Y1159" s="319"/>
      <c r="Z1159" s="319"/>
      <c r="AA1159" s="71"/>
      <c r="AB1159" s="71"/>
    </row>
    <row r="1160" spans="1:28" s="61" customFormat="1">
      <c r="A1160" s="71"/>
      <c r="B1160" s="71"/>
      <c r="C1160" s="71"/>
      <c r="D1160" s="71"/>
      <c r="E1160" s="71"/>
      <c r="F1160" s="71"/>
      <c r="G1160" s="319"/>
      <c r="H1160" s="319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71"/>
      <c r="AB1160" s="71"/>
    </row>
    <row r="1161" spans="1:28" s="61" customFormat="1">
      <c r="A1161" s="71"/>
      <c r="B1161" s="71"/>
      <c r="C1161" s="71"/>
      <c r="D1161" s="71"/>
      <c r="E1161" s="71"/>
      <c r="F1161" s="71"/>
      <c r="G1161" s="319"/>
      <c r="H1161" s="319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9"/>
      <c r="T1161" s="319"/>
      <c r="U1161" s="319"/>
      <c r="V1161" s="314"/>
      <c r="W1161" s="314"/>
      <c r="X1161" s="319"/>
      <c r="Y1161" s="319"/>
      <c r="Z1161" s="319"/>
      <c r="AA1161" s="71"/>
      <c r="AB1161" s="71"/>
    </row>
    <row r="1162" spans="1:28" s="61" customFormat="1">
      <c r="A1162" s="71"/>
      <c r="B1162" s="71"/>
      <c r="C1162" s="71"/>
      <c r="D1162" s="71"/>
      <c r="E1162" s="71"/>
      <c r="F1162" s="71"/>
      <c r="G1162" s="319"/>
      <c r="H1162" s="319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9"/>
      <c r="T1162" s="319"/>
      <c r="U1162" s="319"/>
      <c r="V1162" s="314"/>
      <c r="W1162" s="314"/>
      <c r="X1162" s="71"/>
      <c r="Y1162" s="71"/>
      <c r="Z1162" s="71"/>
      <c r="AA1162" s="71"/>
      <c r="AB1162" s="71"/>
    </row>
    <row r="1163" spans="1:28" s="61" customFormat="1">
      <c r="A1163" s="71"/>
      <c r="B1163" s="71"/>
      <c r="C1163" s="71"/>
      <c r="D1163" s="71"/>
      <c r="E1163" s="71"/>
      <c r="F1163" s="71"/>
      <c r="G1163" s="319"/>
      <c r="H1163" s="319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9"/>
      <c r="T1163" s="319"/>
      <c r="U1163" s="319"/>
      <c r="V1163" s="314"/>
      <c r="W1163" s="314"/>
      <c r="X1163" s="71"/>
      <c r="Y1163" s="71"/>
      <c r="Z1163" s="71"/>
      <c r="AA1163" s="71"/>
      <c r="AB1163" s="71"/>
    </row>
    <row r="1164" spans="1:28" s="61" customFormat="1">
      <c r="A1164" s="71"/>
      <c r="B1164" s="71"/>
      <c r="C1164" s="71"/>
      <c r="D1164" s="71"/>
      <c r="E1164" s="71"/>
      <c r="F1164" s="71"/>
      <c r="G1164" s="319"/>
      <c r="H1164" s="319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319"/>
      <c r="T1164" s="319"/>
      <c r="U1164" s="319"/>
      <c r="V1164" s="71"/>
      <c r="W1164" s="71"/>
      <c r="X1164" s="71"/>
      <c r="Y1164" s="71"/>
      <c r="Z1164" s="71"/>
      <c r="AA1164" s="71"/>
      <c r="AB1164" s="71"/>
    </row>
    <row r="1165" spans="1:28" s="61" customFormat="1">
      <c r="A1165" s="71"/>
      <c r="B1165" s="71"/>
      <c r="C1165" s="71"/>
      <c r="D1165" s="71"/>
      <c r="E1165" s="71"/>
      <c r="F1165" s="71"/>
      <c r="G1165" s="319"/>
      <c r="H1165" s="319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12"/>
      <c r="S1165" s="319"/>
      <c r="T1165" s="319"/>
      <c r="U1165" s="319"/>
      <c r="V1165" s="312"/>
      <c r="W1165" s="312"/>
      <c r="X1165" s="71"/>
      <c r="Y1165" s="71"/>
      <c r="Z1165" s="71"/>
      <c r="AA1165" s="71"/>
      <c r="AB1165" s="71"/>
    </row>
    <row r="1166" spans="1:28" s="61" customFormat="1">
      <c r="A1166" s="71"/>
      <c r="B1166" s="71"/>
      <c r="C1166" s="71"/>
      <c r="D1166" s="71"/>
      <c r="E1166" s="71"/>
      <c r="F1166" s="71"/>
      <c r="G1166" s="319"/>
      <c r="H1166" s="319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71"/>
      <c r="Y1166" s="71"/>
      <c r="Z1166" s="71"/>
      <c r="AA1166" s="71"/>
      <c r="AB1166" s="71"/>
    </row>
    <row r="1167" spans="1:28">
      <c r="A1167" s="71"/>
      <c r="B1167" s="71"/>
      <c r="C1167" s="71"/>
      <c r="D1167" s="71"/>
      <c r="E1167" s="71"/>
      <c r="F1167" s="71"/>
      <c r="G1167" s="313"/>
      <c r="H1167" s="313"/>
      <c r="I1167" s="313"/>
      <c r="J1167" s="313"/>
      <c r="K1167" s="313"/>
      <c r="L1167" s="313"/>
      <c r="M1167" s="313"/>
      <c r="N1167" s="313"/>
      <c r="O1167" s="313"/>
      <c r="P1167" s="313"/>
      <c r="Q1167" s="313"/>
      <c r="R1167" s="313"/>
      <c r="S1167" s="313"/>
      <c r="T1167" s="313"/>
      <c r="U1167" s="313"/>
      <c r="V1167" s="313"/>
      <c r="W1167" s="313"/>
      <c r="X1167" s="70"/>
      <c r="Y1167" s="70"/>
      <c r="Z1167" s="70"/>
      <c r="AA1167" s="70"/>
      <c r="AB1167" s="70"/>
    </row>
    <row r="1168" spans="1:28">
      <c r="A1168" s="71"/>
      <c r="B1168" s="71"/>
      <c r="C1168" s="71"/>
      <c r="D1168" s="71"/>
      <c r="E1168" s="71"/>
      <c r="F1168" s="71"/>
      <c r="G1168" s="313"/>
      <c r="H1168" s="313"/>
      <c r="I1168" s="313"/>
      <c r="J1168" s="313"/>
      <c r="K1168" s="313"/>
      <c r="L1168" s="313"/>
      <c r="M1168" s="313"/>
      <c r="N1168" s="313"/>
      <c r="O1168" s="313"/>
      <c r="P1168" s="313"/>
      <c r="Q1168" s="313"/>
      <c r="R1168" s="313"/>
      <c r="S1168" s="313"/>
      <c r="T1168" s="313"/>
      <c r="U1168" s="313"/>
      <c r="V1168" s="313"/>
      <c r="W1168" s="313"/>
      <c r="X1168" s="70"/>
      <c r="Y1168" s="70"/>
      <c r="Z1168" s="70"/>
      <c r="AA1168" s="70"/>
      <c r="AB1168" s="70"/>
    </row>
    <row r="1169" spans="1:28">
      <c r="A1169" s="321"/>
      <c r="B1169" s="71"/>
      <c r="C1169" s="71"/>
      <c r="D1169" s="71"/>
      <c r="E1169" s="71"/>
      <c r="F1169" s="71"/>
      <c r="G1169" s="313"/>
      <c r="H1169" s="313"/>
      <c r="I1169" s="313"/>
      <c r="J1169" s="313"/>
      <c r="K1169" s="313"/>
      <c r="L1169" s="313"/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70"/>
      <c r="Y1169" s="70"/>
      <c r="Z1169" s="70"/>
      <c r="AA1169" s="70"/>
      <c r="AB1169" s="70"/>
    </row>
    <row r="1170" spans="1:28">
      <c r="A1170" s="321"/>
      <c r="B1170" s="71"/>
      <c r="C1170" s="71"/>
      <c r="D1170" s="71"/>
      <c r="E1170" s="71"/>
      <c r="F1170" s="71"/>
      <c r="G1170" s="313"/>
      <c r="H1170" s="313"/>
      <c r="I1170" s="313"/>
      <c r="J1170" s="313"/>
      <c r="K1170" s="313"/>
      <c r="L1170" s="313"/>
      <c r="M1170" s="313"/>
      <c r="N1170" s="313"/>
      <c r="O1170" s="313"/>
      <c r="P1170" s="313"/>
      <c r="Q1170" s="313"/>
      <c r="R1170" s="313"/>
      <c r="S1170" s="313"/>
      <c r="T1170" s="313"/>
      <c r="U1170" s="313"/>
      <c r="V1170" s="313"/>
      <c r="W1170" s="313"/>
      <c r="X1170" s="70"/>
      <c r="Y1170" s="70"/>
      <c r="Z1170" s="70"/>
      <c r="AA1170" s="70"/>
      <c r="AB1170" s="70"/>
    </row>
    <row r="1171" spans="1:28">
      <c r="A1171" s="321"/>
      <c r="B1171" s="71"/>
      <c r="C1171" s="71"/>
      <c r="D1171" s="71"/>
      <c r="E1171" s="71"/>
      <c r="F1171" s="71"/>
      <c r="G1171" s="313"/>
      <c r="H1171" s="313"/>
      <c r="I1171" s="313"/>
      <c r="J1171" s="313"/>
      <c r="K1171" s="313"/>
      <c r="L1171" s="313"/>
      <c r="M1171" s="313"/>
      <c r="N1171" s="313"/>
      <c r="O1171" s="313"/>
      <c r="P1171" s="313"/>
      <c r="Q1171" s="313"/>
      <c r="R1171" s="313"/>
      <c r="S1171" s="313"/>
      <c r="T1171" s="313"/>
      <c r="U1171" s="313"/>
      <c r="V1171" s="313"/>
      <c r="W1171" s="313"/>
      <c r="X1171" s="70"/>
      <c r="Y1171" s="70"/>
      <c r="Z1171" s="70"/>
      <c r="AA1171" s="70"/>
      <c r="AB1171" s="70"/>
    </row>
    <row r="1172" spans="1:28">
      <c r="A1172" s="321"/>
      <c r="B1172" s="71"/>
      <c r="C1172" s="71"/>
      <c r="D1172" s="71"/>
      <c r="E1172" s="71"/>
      <c r="F1172" s="71"/>
      <c r="G1172" s="313"/>
      <c r="H1172" s="313"/>
      <c r="I1172" s="313"/>
      <c r="J1172" s="313"/>
      <c r="K1172" s="313"/>
      <c r="L1172" s="313"/>
      <c r="M1172" s="313"/>
      <c r="N1172" s="313"/>
      <c r="O1172" s="313"/>
      <c r="P1172" s="313"/>
      <c r="Q1172" s="313"/>
      <c r="R1172" s="313"/>
      <c r="S1172" s="313"/>
      <c r="T1172" s="313"/>
      <c r="U1172" s="313"/>
      <c r="V1172" s="313"/>
      <c r="W1172" s="313"/>
      <c r="X1172" s="70"/>
      <c r="Y1172" s="70"/>
      <c r="Z1172" s="70"/>
      <c r="AA1172" s="70"/>
      <c r="AB1172" s="70"/>
    </row>
    <row r="1173" spans="1:28" ht="15">
      <c r="A1173" s="140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0"/>
      <c r="Y1173" s="70"/>
      <c r="Z1173" s="70"/>
      <c r="AA1173" s="70"/>
      <c r="AB1173" s="70"/>
    </row>
    <row r="1174" spans="1:28" ht="15">
      <c r="A1174" s="140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0"/>
      <c r="Y1174" s="70"/>
      <c r="Z1174" s="70"/>
      <c r="AA1174" s="70"/>
      <c r="AB1174" s="70"/>
    </row>
    <row r="1175" spans="1:28" ht="15">
      <c r="A1175" s="140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316"/>
      <c r="Y1176" s="316"/>
      <c r="Z1176" s="316"/>
      <c r="AA1176" s="70"/>
      <c r="AB1176" s="70"/>
    </row>
    <row r="1177" spans="1:28" ht="16.5">
      <c r="A1177" s="71"/>
      <c r="B1177" s="71"/>
      <c r="C1177" s="71"/>
      <c r="D1177" s="71"/>
      <c r="E1177" s="71"/>
      <c r="F1177" s="71"/>
      <c r="G1177" s="322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/>
      <c r="X1177" s="316"/>
      <c r="Y1177" s="316"/>
      <c r="Z1177" s="316"/>
      <c r="AA1177" s="70"/>
      <c r="AB1177" s="70"/>
    </row>
    <row r="1178" spans="1:28">
      <c r="A1178" s="71"/>
      <c r="B1178" s="71"/>
      <c r="C1178" s="71"/>
      <c r="D1178" s="71"/>
      <c r="E1178" s="71"/>
      <c r="F1178" s="71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316"/>
      <c r="Y1178" s="316"/>
      <c r="Z1178" s="316"/>
      <c r="AA1178" s="70"/>
      <c r="AB1178" s="70"/>
    </row>
    <row r="1179" spans="1:28" ht="15">
      <c r="A1179" s="140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0"/>
      <c r="Y1179" s="70"/>
      <c r="Z1179" s="70"/>
      <c r="AA1179" s="70"/>
      <c r="AB1179" s="70"/>
    </row>
    <row r="1180" spans="1:28" ht="15">
      <c r="A1180" s="140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0"/>
      <c r="Y1180" s="70"/>
      <c r="Z1180" s="70"/>
      <c r="AA1180" s="70"/>
      <c r="AB1180" s="70"/>
    </row>
    <row r="1181" spans="1:28">
      <c r="A1181" s="71"/>
      <c r="B1181" s="71"/>
      <c r="C1181" s="71"/>
      <c r="D1181" s="71"/>
      <c r="E1181" s="71"/>
      <c r="F1181" s="71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316"/>
      <c r="Y1181" s="316"/>
      <c r="Z1181" s="316"/>
      <c r="AA1181" s="70"/>
      <c r="AB1181" s="70"/>
    </row>
    <row r="1182" spans="1:28" ht="16.5">
      <c r="A1182" s="71"/>
      <c r="B1182" s="71"/>
      <c r="C1182" s="71"/>
      <c r="D1182" s="71"/>
      <c r="E1182" s="71"/>
      <c r="F1182" s="71"/>
      <c r="G1182" s="322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  <c r="V1182" s="322"/>
      <c r="W1182" s="322"/>
      <c r="X1182" s="316"/>
      <c r="Y1182" s="316"/>
      <c r="Z1182" s="316"/>
      <c r="AA1182" s="70"/>
      <c r="AB1182" s="70"/>
    </row>
    <row r="1183" spans="1:28">
      <c r="A1183" s="71"/>
      <c r="B1183" s="71"/>
      <c r="C1183" s="71"/>
      <c r="D1183" s="71"/>
      <c r="E1183" s="71"/>
      <c r="F1183" s="71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63"/>
      <c r="V1183" s="163"/>
      <c r="W1183" s="163"/>
      <c r="X1183" s="316"/>
      <c r="Y1183" s="316"/>
      <c r="Z1183" s="316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ht="15">
      <c r="A1185" s="140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63"/>
      <c r="V1186" s="163"/>
      <c r="W1186" s="163"/>
      <c r="X1186" s="316"/>
      <c r="Y1186" s="316"/>
      <c r="Z1186" s="316"/>
      <c r="AA1186" s="70"/>
      <c r="AB1186" s="70"/>
    </row>
    <row r="1187" spans="1:28" ht="16.5">
      <c r="A1187" s="71"/>
      <c r="B1187" s="71"/>
      <c r="C1187" s="71"/>
      <c r="D1187" s="71"/>
      <c r="E1187" s="71"/>
      <c r="F1187" s="71"/>
      <c r="G1187" s="322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16"/>
      <c r="Y1187" s="316"/>
      <c r="Z1187" s="316"/>
      <c r="AA1187" s="70"/>
      <c r="AB1187" s="70"/>
    </row>
    <row r="1188" spans="1:28">
      <c r="A1188" s="71"/>
      <c r="B1188" s="71"/>
      <c r="C1188" s="71"/>
      <c r="D1188" s="71"/>
      <c r="E1188" s="71"/>
      <c r="F1188" s="71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63"/>
      <c r="V1188" s="163"/>
      <c r="W1188" s="163"/>
      <c r="X1188" s="316"/>
      <c r="Y1188" s="316"/>
      <c r="Z1188" s="316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63"/>
      <c r="V1189" s="163"/>
      <c r="W1189" s="163"/>
      <c r="X1189" s="316"/>
      <c r="Y1189" s="316"/>
      <c r="Z1189" s="316"/>
      <c r="AA1189" s="70"/>
      <c r="AB1189" s="70"/>
    </row>
    <row r="1190" spans="1:28" ht="15">
      <c r="A1190" s="140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316"/>
      <c r="Y1191" s="316"/>
      <c r="Z1191" s="316"/>
      <c r="AA1191" s="70"/>
      <c r="AB1191" s="70"/>
    </row>
    <row r="1192" spans="1:28" ht="16.5">
      <c r="A1192" s="71"/>
      <c r="B1192" s="71"/>
      <c r="C1192" s="71"/>
      <c r="D1192" s="71"/>
      <c r="E1192" s="71"/>
      <c r="F1192" s="71"/>
      <c r="G1192" s="322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16"/>
      <c r="Y1192" s="316"/>
      <c r="Z1192" s="316"/>
      <c r="AA1192" s="70"/>
      <c r="AB1192" s="70"/>
    </row>
    <row r="1193" spans="1:28">
      <c r="A1193" s="71"/>
      <c r="B1193" s="71"/>
      <c r="C1193" s="71"/>
      <c r="D1193" s="71"/>
      <c r="E1193" s="71"/>
      <c r="F1193" s="71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63"/>
      <c r="V1193" s="163"/>
      <c r="W1193" s="163"/>
      <c r="X1193" s="316"/>
      <c r="Y1193" s="316"/>
      <c r="Z1193" s="316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63"/>
      <c r="V1194" s="163"/>
      <c r="W1194" s="163"/>
      <c r="X1194" s="316"/>
      <c r="Y1194" s="316"/>
      <c r="Z1194" s="316"/>
      <c r="AA1194" s="70"/>
      <c r="AB1194" s="70"/>
    </row>
    <row r="1195" spans="1:28" ht="15">
      <c r="A1195" s="140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63"/>
      <c r="V1196" s="163"/>
      <c r="W1196" s="163"/>
      <c r="X1196" s="316"/>
      <c r="Y1196" s="316"/>
      <c r="Z1196" s="316"/>
      <c r="AA1196" s="70"/>
      <c r="AB1196" s="70"/>
    </row>
    <row r="1197" spans="1:28" ht="16.5">
      <c r="A1197" s="71"/>
      <c r="B1197" s="71"/>
      <c r="C1197" s="71"/>
      <c r="D1197" s="71"/>
      <c r="E1197" s="71"/>
      <c r="F1197" s="71"/>
      <c r="G1197" s="322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16"/>
      <c r="Y1197" s="316"/>
      <c r="Z1197" s="316"/>
      <c r="AA1197" s="70"/>
      <c r="AB1197" s="70"/>
    </row>
    <row r="1198" spans="1:28">
      <c r="A1198" s="71"/>
      <c r="B1198" s="71"/>
      <c r="C1198" s="71"/>
      <c r="D1198" s="71"/>
      <c r="E1198" s="71"/>
      <c r="F1198" s="71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63"/>
      <c r="V1198" s="163"/>
      <c r="W1198" s="163"/>
      <c r="X1198" s="316"/>
      <c r="Y1198" s="316"/>
      <c r="Z1198" s="316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0"/>
      <c r="Y1199" s="70"/>
      <c r="Z1199" s="70"/>
      <c r="AA1199" s="70"/>
      <c r="AB1199" s="70"/>
    </row>
    <row r="1200" spans="1:28" ht="15">
      <c r="A1200" s="140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3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  <c r="T1201" s="163"/>
      <c r="U1201" s="163"/>
      <c r="V1201" s="163"/>
      <c r="W1201" s="163"/>
      <c r="X1201" s="316"/>
      <c r="Y1201" s="316"/>
      <c r="Z1201" s="316"/>
      <c r="AA1201" s="70"/>
      <c r="AB1201" s="70"/>
    </row>
    <row r="1202" spans="1:28" ht="16.5">
      <c r="A1202" s="71"/>
      <c r="B1202" s="71"/>
      <c r="C1202" s="71"/>
      <c r="D1202" s="71"/>
      <c r="E1202" s="71"/>
      <c r="F1202" s="71"/>
      <c r="G1202" s="322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  <c r="V1202" s="322"/>
      <c r="W1202" s="322"/>
      <c r="X1202" s="316"/>
      <c r="Y1202" s="316"/>
      <c r="Z1202" s="316"/>
      <c r="AA1202" s="70"/>
      <c r="AB1202" s="70"/>
    </row>
    <row r="1203" spans="1:28">
      <c r="A1203" s="71"/>
      <c r="B1203" s="71"/>
      <c r="C1203" s="71"/>
      <c r="D1203" s="71"/>
      <c r="E1203" s="71"/>
      <c r="F1203" s="71"/>
      <c r="G1203" s="163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  <c r="T1203" s="163"/>
      <c r="U1203" s="163"/>
      <c r="V1203" s="163"/>
      <c r="W1203" s="163"/>
      <c r="X1203" s="316"/>
      <c r="Y1203" s="316"/>
      <c r="Z1203" s="316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0"/>
      <c r="Y1204" s="70"/>
      <c r="Z1204" s="70"/>
      <c r="AA1204" s="70"/>
      <c r="AB1204" s="70"/>
    </row>
    <row r="1205" spans="1:28" ht="15">
      <c r="A1205" s="140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3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  <c r="T1206" s="163"/>
      <c r="U1206" s="163"/>
      <c r="V1206" s="163"/>
      <c r="W1206" s="163"/>
      <c r="X1206" s="316"/>
      <c r="Y1206" s="316"/>
      <c r="Z1206" s="316"/>
      <c r="AA1206" s="70"/>
      <c r="AB1206" s="70"/>
    </row>
    <row r="1207" spans="1:28" ht="16.5">
      <c r="A1207" s="71"/>
      <c r="B1207" s="71"/>
      <c r="C1207" s="71"/>
      <c r="D1207" s="71"/>
      <c r="E1207" s="71"/>
      <c r="F1207" s="71"/>
      <c r="G1207" s="322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/>
      <c r="X1207" s="316"/>
      <c r="Y1207" s="316"/>
      <c r="Z1207" s="316"/>
      <c r="AA1207" s="70"/>
      <c r="AB1207" s="70"/>
    </row>
    <row r="1208" spans="1:28">
      <c r="A1208" s="71"/>
      <c r="B1208" s="71"/>
      <c r="C1208" s="71"/>
      <c r="D1208" s="71"/>
      <c r="E1208" s="71"/>
      <c r="F1208" s="71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63"/>
      <c r="V1208" s="163"/>
      <c r="W1208" s="163"/>
      <c r="X1208" s="316"/>
      <c r="Y1208" s="316"/>
      <c r="Z1208" s="316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ht="15">
      <c r="A1210" s="140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63"/>
      <c r="V1211" s="163"/>
      <c r="W1211" s="163"/>
      <c r="X1211" s="316"/>
      <c r="Y1211" s="316"/>
      <c r="Z1211" s="316"/>
      <c r="AA1211" s="70"/>
      <c r="AB1211" s="70"/>
    </row>
    <row r="1212" spans="1:28" ht="16.5">
      <c r="A1212" s="71"/>
      <c r="B1212" s="71"/>
      <c r="C1212" s="71"/>
      <c r="D1212" s="71"/>
      <c r="E1212" s="71"/>
      <c r="F1212" s="71"/>
      <c r="G1212" s="322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  <c r="V1212" s="322"/>
      <c r="W1212" s="322"/>
      <c r="X1212" s="323"/>
      <c r="Y1212" s="323"/>
      <c r="Z1212" s="323"/>
      <c r="AA1212" s="70"/>
      <c r="AB1212" s="70"/>
    </row>
    <row r="1213" spans="1:28">
      <c r="A1213" s="71"/>
      <c r="B1213" s="71"/>
      <c r="C1213" s="71"/>
      <c r="D1213" s="71"/>
      <c r="E1213" s="71"/>
      <c r="F1213" s="71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63"/>
      <c r="V1213" s="163"/>
      <c r="W1213" s="163"/>
      <c r="X1213" s="316"/>
      <c r="Y1213" s="316"/>
      <c r="Z1213" s="316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71"/>
      <c r="H1214" s="71"/>
      <c r="I1214" s="71"/>
      <c r="J1214" s="163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ht="15">
      <c r="A1215" s="140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312"/>
      <c r="H1216" s="312"/>
      <c r="I1216" s="312"/>
      <c r="J1216" s="312"/>
      <c r="K1216" s="312"/>
      <c r="L1216" s="312"/>
      <c r="M1216" s="312"/>
      <c r="N1216" s="312"/>
      <c r="O1216" s="312"/>
      <c r="P1216" s="312"/>
      <c r="Q1216" s="312"/>
      <c r="R1216" s="312"/>
      <c r="S1216" s="312"/>
      <c r="T1216" s="312"/>
      <c r="U1216" s="312"/>
      <c r="V1216" s="312"/>
      <c r="W1216" s="312"/>
      <c r="X1216" s="324"/>
      <c r="Y1216" s="324"/>
      <c r="Z1216" s="324"/>
      <c r="AA1216" s="70"/>
      <c r="AB1216" s="70"/>
    </row>
    <row r="1217" spans="1:28" ht="16.5">
      <c r="A1217" s="71"/>
      <c r="B1217" s="71"/>
      <c r="C1217" s="71"/>
      <c r="D1217" s="71"/>
      <c r="E1217" s="71"/>
      <c r="F1217" s="71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6"/>
      <c r="V1217" s="325"/>
      <c r="W1217" s="325"/>
      <c r="X1217" s="327"/>
      <c r="Y1217" s="327"/>
      <c r="Z1217" s="327"/>
      <c r="AA1217" s="70"/>
      <c r="AB1217" s="70"/>
    </row>
    <row r="1218" spans="1:28">
      <c r="A1218" s="71"/>
      <c r="B1218" s="71"/>
      <c r="C1218" s="71"/>
      <c r="D1218" s="71"/>
      <c r="E1218" s="71"/>
      <c r="F1218" s="71"/>
      <c r="G1218" s="312"/>
      <c r="H1218" s="312"/>
      <c r="I1218" s="312"/>
      <c r="J1218" s="312"/>
      <c r="K1218" s="312"/>
      <c r="L1218" s="312"/>
      <c r="M1218" s="312"/>
      <c r="N1218" s="312"/>
      <c r="O1218" s="312"/>
      <c r="P1218" s="312"/>
      <c r="Q1218" s="312"/>
      <c r="R1218" s="312"/>
      <c r="S1218" s="312"/>
      <c r="T1218" s="312"/>
      <c r="U1218" s="312"/>
      <c r="V1218" s="312"/>
      <c r="W1218" s="312"/>
      <c r="X1218" s="324"/>
      <c r="Y1218" s="324"/>
      <c r="Z1218" s="324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226"/>
      <c r="H1221" s="71"/>
      <c r="I1221" s="71"/>
      <c r="J1221" s="71"/>
      <c r="K1221" s="226"/>
      <c r="L1221" s="226"/>
      <c r="M1221" s="71"/>
      <c r="N1221" s="71"/>
      <c r="O1221" s="226"/>
      <c r="P1221" s="226"/>
      <c r="Q1221" s="71"/>
      <c r="R1221" s="71"/>
      <c r="S1221" s="227"/>
      <c r="T1221" s="71"/>
      <c r="U1221" s="71"/>
      <c r="V1221" s="71"/>
      <c r="W1221" s="71"/>
      <c r="X1221" s="70"/>
      <c r="Y1221" s="70"/>
      <c r="Z1221" s="70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226"/>
      <c r="H1222" s="71"/>
      <c r="I1222" s="71"/>
      <c r="J1222" s="71"/>
      <c r="K1222" s="226"/>
      <c r="L1222" s="226"/>
      <c r="M1222" s="71"/>
      <c r="N1222" s="71"/>
      <c r="O1222" s="226"/>
      <c r="P1222" s="226"/>
      <c r="Q1222" s="71"/>
      <c r="R1222" s="71"/>
      <c r="S1222" s="227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>
      <c r="A1223" s="71"/>
      <c r="B1223" s="71"/>
      <c r="C1223" s="71"/>
      <c r="D1223" s="71"/>
      <c r="E1223" s="71"/>
      <c r="F1223" s="71"/>
      <c r="G1223" s="226"/>
      <c r="H1223" s="71"/>
      <c r="I1223" s="71"/>
      <c r="J1223" s="71"/>
      <c r="K1223" s="226"/>
      <c r="L1223" s="226"/>
      <c r="M1223" s="71"/>
      <c r="N1223" s="71"/>
      <c r="O1223" s="226"/>
      <c r="P1223" s="226"/>
      <c r="Q1223" s="71"/>
      <c r="R1223" s="71"/>
      <c r="S1223" s="227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227"/>
      <c r="H1224" s="71"/>
      <c r="I1224" s="71"/>
      <c r="J1224" s="71"/>
      <c r="K1224" s="227"/>
      <c r="L1224" s="227"/>
      <c r="M1224" s="71"/>
      <c r="N1224" s="71"/>
      <c r="O1224" s="227"/>
      <c r="P1224" s="227"/>
      <c r="Q1224" s="71"/>
      <c r="R1224" s="71"/>
      <c r="S1224" s="154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312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223"/>
      <c r="H1226" s="71"/>
      <c r="I1226" s="71"/>
      <c r="J1226" s="71"/>
      <c r="K1226" s="223"/>
      <c r="L1226" s="223"/>
      <c r="M1226" s="71"/>
      <c r="N1226" s="71"/>
      <c r="O1226" s="223"/>
      <c r="P1226" s="223"/>
      <c r="Q1226" s="71"/>
      <c r="R1226" s="71"/>
      <c r="S1226" s="154"/>
      <c r="T1226" s="71"/>
      <c r="U1226" s="71"/>
      <c r="V1226" s="71"/>
      <c r="W1226" s="71"/>
      <c r="X1226" s="70"/>
      <c r="Y1226" s="70"/>
      <c r="Z1226" s="70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223"/>
      <c r="H1227" s="71"/>
      <c r="I1227" s="71"/>
      <c r="J1227" s="71"/>
      <c r="K1227" s="223"/>
      <c r="L1227" s="223"/>
      <c r="M1227" s="71"/>
      <c r="N1227" s="71"/>
      <c r="O1227" s="223"/>
      <c r="P1227" s="223"/>
      <c r="Q1227" s="71"/>
      <c r="R1227" s="71"/>
      <c r="S1227" s="226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223"/>
      <c r="H1228" s="71"/>
      <c r="I1228" s="71"/>
      <c r="J1228" s="71"/>
      <c r="K1228" s="223"/>
      <c r="L1228" s="223"/>
      <c r="M1228" s="71"/>
      <c r="N1228" s="71"/>
      <c r="O1228" s="223"/>
      <c r="P1228" s="223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28"/>
      <c r="H1229" s="71"/>
      <c r="I1229" s="71"/>
      <c r="J1229" s="71"/>
      <c r="K1229" s="228"/>
      <c r="L1229" s="228"/>
      <c r="M1229" s="71"/>
      <c r="N1229" s="71"/>
      <c r="O1229" s="228"/>
      <c r="P1229" s="228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328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65"/>
      <c r="Y1232" s="65"/>
      <c r="Z1232" s="65"/>
      <c r="AA1232" s="65"/>
      <c r="AB1232" s="59"/>
    </row>
    <row r="1233" spans="6:28"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65"/>
      <c r="Y1233" s="65"/>
      <c r="Z1233" s="65"/>
      <c r="AA1233" s="65"/>
      <c r="AB1233" s="59"/>
    </row>
    <row r="1234" spans="6:28"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65"/>
      <c r="Y1234" s="65"/>
      <c r="Z1234" s="65"/>
      <c r="AA1234" s="65"/>
      <c r="AB1234" s="59"/>
    </row>
    <row r="1235" spans="6:28"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65"/>
      <c r="AB1235" s="59"/>
    </row>
    <row r="1236" spans="6:28"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65"/>
      <c r="AB1236" s="59"/>
    </row>
    <row r="1237" spans="6:28"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65"/>
      <c r="AB1237" s="59"/>
    </row>
    <row r="1238" spans="6:28"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3"/>
      <c r="Z1238" s="113"/>
      <c r="AA1238" s="65"/>
      <c r="AB1238" s="59"/>
    </row>
    <row r="1239" spans="6:28"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65"/>
      <c r="AB1239" s="59"/>
    </row>
    <row r="1240" spans="6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65"/>
      <c r="AB1240" s="59"/>
    </row>
    <row r="1241" spans="6:28">
      <c r="X1241" s="61"/>
      <c r="Y1241" s="61"/>
      <c r="Z1241" s="61"/>
      <c r="AA1241" s="65"/>
      <c r="AB1241" s="59"/>
    </row>
    <row r="1242" spans="6:28">
      <c r="F1242" s="153"/>
      <c r="G1242" s="153"/>
      <c r="H1242" s="153"/>
      <c r="I1242" s="153"/>
      <c r="J1242" s="153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75"/>
      <c r="Y1242" s="75"/>
      <c r="Z1242" s="75"/>
      <c r="AA1242" s="65"/>
      <c r="AB1242" s="59"/>
    </row>
    <row r="1243" spans="6:28"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65"/>
      <c r="AB1243" s="59"/>
    </row>
    <row r="1244" spans="6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topLeftCell="A24" zoomScale="80" zoomScaleNormal="90" zoomScaleSheetLayoutView="80" workbookViewId="0">
      <selection activeCell="H62" sqref="H62"/>
    </sheetView>
  </sheetViews>
  <sheetFormatPr defaultRowHeight="15"/>
  <cols>
    <col min="1" max="1" width="36.140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8" t="s">
        <v>617</v>
      </c>
    </row>
    <row r="2" spans="1:74" hidden="1">
      <c r="A2" s="5" t="s">
        <v>1291</v>
      </c>
      <c r="B2" s="21"/>
      <c r="C2" s="260"/>
      <c r="D2" s="260"/>
      <c r="E2" s="260"/>
      <c r="F2" s="260"/>
      <c r="H2" s="413"/>
      <c r="I2" s="413"/>
      <c r="J2" s="413"/>
      <c r="K2" s="413"/>
      <c r="M2" s="413"/>
      <c r="N2" s="413"/>
      <c r="O2" s="413"/>
      <c r="P2" s="413"/>
    </row>
    <row r="3" spans="1:74" hidden="1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hidden="1"/>
    <row r="5" spans="1:74" hidden="1">
      <c r="A5" s="11"/>
      <c r="B5" s="13"/>
      <c r="K5" s="9"/>
      <c r="P5" s="9"/>
    </row>
    <row r="6" spans="1:74" hidden="1">
      <c r="A6" s="14"/>
      <c r="B6" s="13"/>
      <c r="K6" s="9"/>
      <c r="P6" s="9"/>
    </row>
    <row r="7" spans="1:74" hidden="1">
      <c r="A7" s="14"/>
      <c r="B7" s="13"/>
      <c r="D7" s="15" t="s">
        <v>167</v>
      </c>
      <c r="E7" s="15" t="s">
        <v>169</v>
      </c>
      <c r="F7" s="30"/>
      <c r="G7" s="1"/>
      <c r="K7" s="9"/>
      <c r="P7" s="9"/>
    </row>
    <row r="8" spans="1:74" ht="15.75" hidden="1" thickBot="1">
      <c r="A8" s="26"/>
      <c r="B8" s="27"/>
      <c r="C8" s="29" t="s">
        <v>1138</v>
      </c>
      <c r="D8" s="29" t="s">
        <v>168</v>
      </c>
      <c r="E8" s="29" t="s">
        <v>1137</v>
      </c>
      <c r="F8" s="31" t="s">
        <v>974</v>
      </c>
      <c r="G8" s="29" t="s">
        <v>170</v>
      </c>
      <c r="K8" s="9"/>
      <c r="P8" s="9"/>
    </row>
    <row r="9" spans="1:74" hidden="1">
      <c r="A9" s="14"/>
      <c r="B9" s="13"/>
      <c r="K9" s="9"/>
      <c r="P9" s="9"/>
    </row>
    <row r="10" spans="1:74" hidden="1">
      <c r="A10" s="32" t="s">
        <v>1288</v>
      </c>
      <c r="B10" s="13"/>
      <c r="C10" s="2">
        <f>'Allocation ProForma'!G710</f>
        <v>406296758.28754109</v>
      </c>
      <c r="D10" s="2">
        <f>'Allocation ProForma'!G726</f>
        <v>378168963.44188541</v>
      </c>
      <c r="E10" s="2">
        <f>C10-D10</f>
        <v>28127794.84565568</v>
      </c>
      <c r="F10" s="2">
        <f>'Allocation ProForma'!G730</f>
        <v>1226298141.3869851</v>
      </c>
      <c r="G10" s="19">
        <f>E10/F10</f>
        <v>2.2937158506855588E-2</v>
      </c>
      <c r="H10" s="19"/>
      <c r="K10" s="9"/>
      <c r="P10" s="9"/>
    </row>
    <row r="11" spans="1:74" hidden="1">
      <c r="A11" s="32" t="s">
        <v>1354</v>
      </c>
      <c r="B11" s="13"/>
      <c r="C11" s="4">
        <f>'Allocation ProForma'!H710</f>
        <v>142781105.63645878</v>
      </c>
      <c r="D11" s="4">
        <f>'Allocation ProForma'!H726</f>
        <v>117971699.86413284</v>
      </c>
      <c r="E11" s="4">
        <f>C11-D11</f>
        <v>24809405.772325948</v>
      </c>
      <c r="F11" s="4">
        <f>'Allocation ProForma'!H730</f>
        <v>277706597.11954999</v>
      </c>
      <c r="G11" s="19">
        <f>E11/F11</f>
        <v>8.9336753356441659E-2</v>
      </c>
      <c r="H11" s="19"/>
      <c r="K11" s="9"/>
      <c r="P11" s="9"/>
    </row>
    <row r="12" spans="1:74" hidden="1">
      <c r="A12" s="33" t="s">
        <v>1289</v>
      </c>
      <c r="C12" s="4">
        <f>'Allocation ProForma'!J710</f>
        <v>12215814.655882524</v>
      </c>
      <c r="D12" s="4">
        <f>'Allocation ProForma'!J726</f>
        <v>10669508.461073833</v>
      </c>
      <c r="E12" s="37">
        <f>C12-D12</f>
        <v>1546306.1948086917</v>
      </c>
      <c r="F12" s="4">
        <f>'Allocation ProForma'!J730</f>
        <v>21749592.64590745</v>
      </c>
      <c r="G12" s="19">
        <f>E12/F12</f>
        <v>7.1095869241470835E-2</v>
      </c>
      <c r="H12" s="19"/>
    </row>
    <row r="13" spans="1:74" hidden="1">
      <c r="A13" s="33" t="s">
        <v>1290</v>
      </c>
      <c r="C13" s="4">
        <f>'Allocation ProForma'!K710</f>
        <v>159808481.60239375</v>
      </c>
      <c r="D13" s="4">
        <f>'Allocation ProForma'!K726</f>
        <v>133236163.65054744</v>
      </c>
      <c r="E13" s="4">
        <f>C13-D13</f>
        <v>26572317.951846302</v>
      </c>
      <c r="F13" s="4">
        <f>'Allocation ProForma'!K730</f>
        <v>275721267.25815135</v>
      </c>
      <c r="G13" s="19">
        <f>E13/F13</f>
        <v>9.6373842381071259E-2</v>
      </c>
      <c r="H13" s="19"/>
    </row>
    <row r="14" spans="1:74" hidden="1">
      <c r="A14" s="33" t="s">
        <v>1350</v>
      </c>
      <c r="B14" s="13"/>
      <c r="C14" s="4">
        <f>'Allocation ProForma'!N710</f>
        <v>124617827.88587864</v>
      </c>
      <c r="D14" s="4">
        <f>'Allocation ProForma'!N726</f>
        <v>112054489.60118364</v>
      </c>
      <c r="E14" s="4">
        <f t="shared" ref="E14:E21" si="0">C14-D14</f>
        <v>12563338.284694999</v>
      </c>
      <c r="F14" s="4">
        <f>'Allocation ProForma'!N730</f>
        <v>226471826.17950612</v>
      </c>
      <c r="G14" s="19">
        <f t="shared" ref="G14:G22" si="1">E14/F14</f>
        <v>5.5474177502048513E-2</v>
      </c>
      <c r="H14" s="19"/>
    </row>
    <row r="15" spans="1:74" hidden="1">
      <c r="A15" s="33" t="s">
        <v>1349</v>
      </c>
      <c r="B15" s="13"/>
      <c r="C15" s="4">
        <f>'Allocation ProForma'!O710</f>
        <v>81235219.076267168</v>
      </c>
      <c r="D15" s="4">
        <f>'Allocation ProForma'!O726</f>
        <v>64353092.193645135</v>
      </c>
      <c r="E15" s="4">
        <f t="shared" si="0"/>
        <v>16882126.882622033</v>
      </c>
      <c r="F15" s="4">
        <f>'Allocation ProForma'!O730</f>
        <v>143715706.90157166</v>
      </c>
      <c r="G15" s="19">
        <f t="shared" si="1"/>
        <v>0.11746890612439671</v>
      </c>
      <c r="H15" s="19"/>
    </row>
    <row r="16" spans="1:74" hidden="1">
      <c r="A16" s="33" t="s">
        <v>1356</v>
      </c>
      <c r="B16" s="13"/>
      <c r="C16" s="4">
        <f>'Allocation ProForma'!P710</f>
        <v>68827063.456751615</v>
      </c>
      <c r="D16" s="4">
        <f>'Allocation ProForma'!P726</f>
        <v>63118024.768144056</v>
      </c>
      <c r="E16" s="4">
        <f t="shared" si="0"/>
        <v>5709038.6886075586</v>
      </c>
      <c r="F16" s="4">
        <f>'Allocation ProForma'!P730</f>
        <v>113082426.76512812</v>
      </c>
      <c r="G16" s="19">
        <f t="shared" si="1"/>
        <v>5.0485640005455627E-2</v>
      </c>
      <c r="H16" s="19"/>
    </row>
    <row r="17" spans="1:16" hidden="1">
      <c r="A17" s="32" t="s">
        <v>1358</v>
      </c>
      <c r="B17" s="13"/>
      <c r="C17" s="4">
        <f>'Allocation ProForma'!Q710</f>
        <v>6801128.6682115523</v>
      </c>
      <c r="D17" s="4">
        <f>'Allocation ProForma'!Q726</f>
        <v>6449329.3528903043</v>
      </c>
      <c r="E17" s="4">
        <f t="shared" si="0"/>
        <v>351799.31532124802</v>
      </c>
      <c r="F17" s="4">
        <f>'Allocation ProForma'!Q730</f>
        <v>14438868.779765479</v>
      </c>
      <c r="G17" s="19">
        <f t="shared" si="1"/>
        <v>2.4364742189101191E-2</v>
      </c>
      <c r="H17" s="19"/>
    </row>
    <row r="18" spans="1:16" hidden="1">
      <c r="A18" s="32" t="s">
        <v>1361</v>
      </c>
      <c r="B18" s="13"/>
      <c r="C18" s="37">
        <f>'Allocation ProForma'!R710</f>
        <v>3532250.6959861619</v>
      </c>
      <c r="D18" s="37">
        <f>'Allocation ProForma'!R726</f>
        <v>3309174.5246660276</v>
      </c>
      <c r="E18" s="37">
        <f t="shared" si="0"/>
        <v>223076.17132013431</v>
      </c>
      <c r="F18" s="37">
        <f>'Allocation ProForma'!R730</f>
        <v>6627986.1679961868</v>
      </c>
      <c r="G18" s="38">
        <f t="shared" si="1"/>
        <v>3.3656704414574246E-2</v>
      </c>
      <c r="H18" s="19"/>
    </row>
    <row r="19" spans="1:16" hidden="1">
      <c r="A19" s="33" t="s">
        <v>1321</v>
      </c>
      <c r="B19" s="13"/>
      <c r="C19" s="4">
        <f>'Allocation ProForma'!S710</f>
        <v>19001295.782741554</v>
      </c>
      <c r="D19" s="4">
        <f>'Allocation ProForma'!S726</f>
        <v>14385795.735695209</v>
      </c>
      <c r="E19" s="37">
        <f t="shared" si="0"/>
        <v>4615500.0470463447</v>
      </c>
      <c r="F19" s="4">
        <f>'Allocation ProForma'!S730</f>
        <v>74531365.088449582</v>
      </c>
      <c r="G19" s="19">
        <f t="shared" si="1"/>
        <v>6.1926949031041255E-2</v>
      </c>
      <c r="H19" s="19"/>
    </row>
    <row r="20" spans="1:16" hidden="1">
      <c r="A20" s="33" t="s">
        <v>1322</v>
      </c>
      <c r="B20" s="13"/>
      <c r="C20" s="4">
        <f>'Allocation ProForma'!T710</f>
        <v>224349.85877731201</v>
      </c>
      <c r="D20" s="4">
        <f>'Allocation ProForma'!T726</f>
        <v>190354.77665286657</v>
      </c>
      <c r="E20" s="37">
        <f t="shared" si="0"/>
        <v>33995.082124445442</v>
      </c>
      <c r="F20" s="4">
        <f>'Allocation ProForma'!T730</f>
        <v>189911.6367086453</v>
      </c>
      <c r="G20" s="19">
        <f t="shared" si="1"/>
        <v>0.17900473458927277</v>
      </c>
      <c r="H20" s="19"/>
    </row>
    <row r="21" spans="1:16" hidden="1">
      <c r="A21" s="42" t="s">
        <v>1323</v>
      </c>
      <c r="B21" s="41"/>
      <c r="C21" s="34">
        <f>'Allocation ProForma'!U710</f>
        <v>283616.39310982736</v>
      </c>
      <c r="D21" s="34">
        <f>'Allocation ProForma'!U726</f>
        <v>241592.87218131183</v>
      </c>
      <c r="E21" s="34">
        <f t="shared" si="0"/>
        <v>42023.520928515529</v>
      </c>
      <c r="F21" s="34">
        <f>'Allocation ProForma'!U730</f>
        <v>400237.31178913353</v>
      </c>
      <c r="G21" s="35">
        <f t="shared" si="1"/>
        <v>0.10499651004715865</v>
      </c>
      <c r="H21" s="19"/>
    </row>
    <row r="22" spans="1:16" hidden="1">
      <c r="C22" s="4">
        <f>SUM(C10:C21)</f>
        <v>1025624911.9999999</v>
      </c>
      <c r="D22" s="3">
        <f>SUM(D10:D21)</f>
        <v>904148189.24269795</v>
      </c>
      <c r="E22" s="3">
        <f>SUM(E10:E21)</f>
        <v>121476722.75730191</v>
      </c>
      <c r="F22" s="3">
        <f>SUM(F10:F21)</f>
        <v>2380933927.241509</v>
      </c>
      <c r="G22" s="19">
        <f t="shared" si="1"/>
        <v>5.102061899636242E-2</v>
      </c>
    </row>
    <row r="23" spans="1:16" hidden="1">
      <c r="B23" s="13"/>
      <c r="C23" s="244"/>
      <c r="D23" s="244"/>
      <c r="E23" s="36"/>
      <c r="F23" s="37"/>
      <c r="G23" s="38"/>
    </row>
    <row r="24" spans="1:16" ht="18.75">
      <c r="A24" s="28" t="s">
        <v>617</v>
      </c>
      <c r="B24" s="13"/>
    </row>
    <row r="25" spans="1:16">
      <c r="A25" s="5" t="s">
        <v>1319</v>
      </c>
    </row>
    <row r="29" spans="1:16">
      <c r="A29" s="14"/>
      <c r="B29" s="13"/>
      <c r="D29" s="15" t="s">
        <v>167</v>
      </c>
      <c r="E29" s="15" t="s">
        <v>169</v>
      </c>
      <c r="F29" s="30"/>
      <c r="G29" s="1"/>
      <c r="I29" s="302"/>
      <c r="J29" s="303"/>
      <c r="K29" s="9"/>
      <c r="P29" s="9"/>
    </row>
    <row r="30" spans="1:16" ht="15.75" thickBot="1">
      <c r="A30" s="26"/>
      <c r="B30" s="27"/>
      <c r="C30" s="29" t="s">
        <v>1138</v>
      </c>
      <c r="D30" s="29" t="s">
        <v>168</v>
      </c>
      <c r="E30" s="29" t="s">
        <v>1137</v>
      </c>
      <c r="F30" s="31" t="s">
        <v>974</v>
      </c>
      <c r="G30" s="29" t="s">
        <v>170</v>
      </c>
      <c r="I30" s="304"/>
      <c r="J30" s="303"/>
      <c r="K30" s="9"/>
      <c r="P30" s="9"/>
    </row>
    <row r="31" spans="1:16">
      <c r="A31" s="14"/>
      <c r="B31" s="13"/>
      <c r="I31" s="305"/>
      <c r="J31" s="303"/>
      <c r="K31" s="9"/>
      <c r="P31" s="9"/>
    </row>
    <row r="32" spans="1:16">
      <c r="A32" s="185" t="str">
        <f>A10</f>
        <v>Residential Rate RS</v>
      </c>
      <c r="B32" s="13"/>
      <c r="C32" s="2">
        <f>'Allocation ProForma'!G770</f>
        <v>402998921.72377723</v>
      </c>
      <c r="D32" s="2">
        <f>'Allocation ProForma'!G821</f>
        <v>377995287.60300291</v>
      </c>
      <c r="E32" s="2">
        <f t="shared" ref="E32:E37" si="2">C32-D32</f>
        <v>25003634.120774329</v>
      </c>
      <c r="F32" s="2">
        <f>'Allocation ProForma'!G834</f>
        <v>1226298141.3869851</v>
      </c>
      <c r="G32" s="19">
        <f t="shared" ref="G32:G37" si="3">E32/F32</f>
        <v>2.0389522969099801E-2</v>
      </c>
      <c r="H32" s="19"/>
      <c r="I32" s="305"/>
      <c r="J32" s="305"/>
      <c r="K32" s="9"/>
      <c r="P32" s="9"/>
    </row>
    <row r="33" spans="1:16">
      <c r="A33" s="185" t="str">
        <f>A11</f>
        <v xml:space="preserve">General Service </v>
      </c>
      <c r="B33" s="13"/>
      <c r="C33" s="4">
        <f>'Allocation ProForma'!H770</f>
        <v>140932563.72170484</v>
      </c>
      <c r="D33" s="4">
        <f>'Allocation ProForma'!H821</f>
        <v>116922103.3062624</v>
      </c>
      <c r="E33" s="4">
        <f t="shared" si="2"/>
        <v>24010460.415442437</v>
      </c>
      <c r="F33" s="4">
        <f>'Allocation ProForma'!H834</f>
        <v>277706597.11954999</v>
      </c>
      <c r="G33" s="19">
        <f t="shared" si="3"/>
        <v>8.6459812854594045E-2</v>
      </c>
      <c r="H33" s="19"/>
      <c r="I33" s="305"/>
      <c r="J33" s="305"/>
      <c r="K33" s="9"/>
      <c r="P33" s="9"/>
    </row>
    <row r="34" spans="1:16">
      <c r="A34" s="185" t="str">
        <f t="shared" ref="A34:A37" si="4">A12</f>
        <v>Power Service Primary Rate PS</v>
      </c>
      <c r="C34" s="4">
        <f>'Allocation ProForma'!J770</f>
        <v>12135196.109402934</v>
      </c>
      <c r="D34" s="4">
        <f>'Allocation ProForma'!J821</f>
        <v>10606671.893855421</v>
      </c>
      <c r="E34" s="37">
        <f t="shared" si="2"/>
        <v>1528524.2155475132</v>
      </c>
      <c r="F34" s="4">
        <f>'Allocation ProForma'!J834</f>
        <v>21749592.64590745</v>
      </c>
      <c r="G34" s="19">
        <f t="shared" si="3"/>
        <v>7.0278291664240919E-2</v>
      </c>
      <c r="H34" s="19"/>
      <c r="I34" s="305"/>
      <c r="J34" s="305"/>
    </row>
    <row r="35" spans="1:16">
      <c r="A35" s="185" t="str">
        <f t="shared" si="4"/>
        <v>Power Service Secondary Rate PS</v>
      </c>
      <c r="C35" s="4">
        <f>'Allocation ProForma'!K770</f>
        <v>158805591.72166637</v>
      </c>
      <c r="D35" s="4">
        <f>'Allocation ProForma'!K821</f>
        <v>132073741.93780506</v>
      </c>
      <c r="E35" s="4">
        <f t="shared" si="2"/>
        <v>26731849.783861309</v>
      </c>
      <c r="F35" s="4">
        <f>'Allocation ProForma'!K834</f>
        <v>275721267.25815135</v>
      </c>
      <c r="G35" s="19">
        <f t="shared" si="3"/>
        <v>9.6952440592233693E-2</v>
      </c>
      <c r="H35" s="19"/>
      <c r="I35" s="305"/>
      <c r="J35" s="305"/>
    </row>
    <row r="36" spans="1:16">
      <c r="A36" s="185" t="str">
        <f t="shared" si="4"/>
        <v>TOD Rate TOD Primary</v>
      </c>
      <c r="B36" s="13"/>
      <c r="C36" s="4">
        <f>'Allocation ProForma'!N770</f>
        <v>123784634.31267761</v>
      </c>
      <c r="D36" s="4">
        <f>'Allocation ProForma'!N821</f>
        <v>111586140.63330151</v>
      </c>
      <c r="E36" s="4">
        <f t="shared" si="2"/>
        <v>12198493.679376096</v>
      </c>
      <c r="F36" s="4">
        <f>'Allocation ProForma'!N834</f>
        <v>226471826.17950612</v>
      </c>
      <c r="G36" s="19">
        <f t="shared" si="3"/>
        <v>5.3863184154780135E-2</v>
      </c>
      <c r="H36" s="19"/>
      <c r="I36" s="305"/>
      <c r="J36" s="305"/>
    </row>
    <row r="37" spans="1:16">
      <c r="A37" s="185" t="str">
        <f t="shared" si="4"/>
        <v>TOD Rate TOD Secondary</v>
      </c>
      <c r="B37" s="13"/>
      <c r="C37" s="4">
        <f>'Allocation ProForma'!O770</f>
        <v>80697465.522337571</v>
      </c>
      <c r="D37" s="4">
        <f>'Allocation ProForma'!O821</f>
        <v>63592555.000067912</v>
      </c>
      <c r="E37" s="4">
        <f t="shared" si="2"/>
        <v>17104910.522269659</v>
      </c>
      <c r="F37" s="4">
        <f>'Allocation ProForma'!O834</f>
        <v>143715706.90157166</v>
      </c>
      <c r="G37" s="19">
        <f t="shared" si="3"/>
        <v>0.11901907516611604</v>
      </c>
      <c r="H37" s="19"/>
      <c r="I37" s="305"/>
      <c r="J37" s="305"/>
    </row>
    <row r="38" spans="1:16">
      <c r="A38" s="185" t="str">
        <f t="shared" ref="A38:A43" si="5">A16</f>
        <v>Retail Transmission Service Rate RTS</v>
      </c>
      <c r="B38" s="13"/>
      <c r="C38" s="4">
        <f>'Allocation ProForma'!P770</f>
        <v>68365364.196628705</v>
      </c>
      <c r="D38" s="4">
        <f>'Allocation ProForma'!P821</f>
        <v>62906029.806600019</v>
      </c>
      <c r="E38" s="4">
        <f t="shared" ref="E38:E43" si="6">C38-D38</f>
        <v>5459334.3900286853</v>
      </c>
      <c r="F38" s="4">
        <f>'Allocation ProForma'!P834</f>
        <v>113082426.76512812</v>
      </c>
      <c r="G38" s="19">
        <f t="shared" ref="G38:G44" si="7">E38/F38</f>
        <v>4.8277478174108407E-2</v>
      </c>
      <c r="H38" s="19"/>
      <c r="I38" s="303"/>
      <c r="J38" s="305"/>
    </row>
    <row r="39" spans="1:16">
      <c r="A39" s="185" t="str">
        <f t="shared" si="5"/>
        <v>Special Contract #1</v>
      </c>
      <c r="B39" s="13"/>
      <c r="C39" s="4">
        <f>'Allocation ProForma'!Q770</f>
        <v>6758416.2802700074</v>
      </c>
      <c r="D39" s="4">
        <f>'Allocation ProForma'!Q821</f>
        <v>6443949.4070800003</v>
      </c>
      <c r="E39" s="4">
        <f t="shared" si="6"/>
        <v>314466.87319000717</v>
      </c>
      <c r="F39" s="4">
        <f>'Allocation ProForma'!Q834</f>
        <v>14438868.779765479</v>
      </c>
      <c r="G39" s="19">
        <f t="shared" si="7"/>
        <v>2.1779190460591943E-2</v>
      </c>
      <c r="H39" s="19"/>
      <c r="I39" s="305"/>
      <c r="J39" s="305"/>
    </row>
    <row r="40" spans="1:16">
      <c r="A40" s="185" t="str">
        <f t="shared" si="5"/>
        <v>Special Contract #2</v>
      </c>
      <c r="B40" s="13"/>
      <c r="C40" s="37">
        <f>'Allocation ProForma'!R770</f>
        <v>3509133.7461027252</v>
      </c>
      <c r="D40" s="37">
        <f>'Allocation ProForma'!R821</f>
        <v>3303073.2775519788</v>
      </c>
      <c r="E40" s="37">
        <f t="shared" si="6"/>
        <v>206060.46855074633</v>
      </c>
      <c r="F40" s="37">
        <f>'Allocation ProForma'!R834</f>
        <v>6627986.1679961868</v>
      </c>
      <c r="G40" s="38">
        <f t="shared" si="7"/>
        <v>3.1089453618012571E-2</v>
      </c>
      <c r="H40" s="19"/>
      <c r="I40" s="305"/>
      <c r="J40" s="305"/>
    </row>
    <row r="41" spans="1:16">
      <c r="A41" s="185" t="str">
        <f t="shared" si="5"/>
        <v>Lighting Rate RLS &amp; LS</v>
      </c>
      <c r="B41" s="13"/>
      <c r="C41" s="4">
        <f>'Allocation ProForma'!S770</f>
        <v>18711162.7017329</v>
      </c>
      <c r="D41" s="4">
        <f>'Allocation ProForma'!S821</f>
        <v>14230935.383272838</v>
      </c>
      <c r="E41" s="37">
        <f t="shared" si="6"/>
        <v>4480227.3184600621</v>
      </c>
      <c r="F41" s="4">
        <f>'Allocation ProForma'!S834</f>
        <v>74531365.088449582</v>
      </c>
      <c r="G41" s="19">
        <f t="shared" si="7"/>
        <v>6.011197182747402E-2</v>
      </c>
      <c r="H41" s="19"/>
      <c r="I41" s="305"/>
      <c r="J41" s="305"/>
    </row>
    <row r="42" spans="1:16">
      <c r="A42" s="185" t="str">
        <f t="shared" si="5"/>
        <v>Lighting Rate LE</v>
      </c>
      <c r="B42" s="13"/>
      <c r="C42" s="4">
        <f>'Allocation ProForma'!T770</f>
        <v>221950.90722661998</v>
      </c>
      <c r="D42" s="4">
        <f>'Allocation ProForma'!T821</f>
        <v>188617.87066060083</v>
      </c>
      <c r="E42" s="37">
        <f t="shared" si="6"/>
        <v>33333.036566019146</v>
      </c>
      <c r="F42" s="4">
        <f>'Allocation ProForma'!T834</f>
        <v>189911.6367086453</v>
      </c>
      <c r="G42" s="19">
        <f t="shared" si="7"/>
        <v>0.17551866301461733</v>
      </c>
      <c r="H42" s="19"/>
      <c r="I42" s="305"/>
      <c r="J42" s="305"/>
    </row>
    <row r="43" spans="1:16">
      <c r="A43" s="42" t="str">
        <f t="shared" si="5"/>
        <v>Lighting Rate TLE</v>
      </c>
      <c r="B43" s="41"/>
      <c r="C43" s="34">
        <f>'Allocation ProForma'!U770</f>
        <v>281251.51772149437</v>
      </c>
      <c r="D43" s="34">
        <f>'Allocation ProForma'!U821</f>
        <v>239669.00323741461</v>
      </c>
      <c r="E43" s="34">
        <f t="shared" si="6"/>
        <v>41582.514484079758</v>
      </c>
      <c r="F43" s="34">
        <f>'Allocation ProForma'!U834</f>
        <v>400237.31178913353</v>
      </c>
      <c r="G43" s="35">
        <f t="shared" si="7"/>
        <v>0.10389464764841229</v>
      </c>
      <c r="H43" s="19"/>
      <c r="I43" s="305"/>
      <c r="J43" s="305"/>
    </row>
    <row r="44" spans="1:16">
      <c r="C44" s="4">
        <f>SUM(C32:C43)</f>
        <v>1017201652.4612488</v>
      </c>
      <c r="D44" s="4">
        <f>SUM(D32:D43)</f>
        <v>900088775.12269807</v>
      </c>
      <c r="E44" s="4">
        <f>SUM(E32:E43)</f>
        <v>117112877.33855093</v>
      </c>
      <c r="F44" s="4">
        <f>SUM(F32:F43)</f>
        <v>2380933927.241509</v>
      </c>
      <c r="G44" s="19">
        <f t="shared" si="7"/>
        <v>4.9187789715036317E-2</v>
      </c>
      <c r="I44" s="305"/>
      <c r="J44" s="305"/>
    </row>
    <row r="45" spans="1:16">
      <c r="I45" s="305"/>
      <c r="J45" s="305"/>
    </row>
    <row r="47" spans="1:16" ht="18.75">
      <c r="A47" s="28" t="s">
        <v>617</v>
      </c>
      <c r="B47" s="13"/>
    </row>
    <row r="48" spans="1:16">
      <c r="A48" s="5" t="s">
        <v>1320</v>
      </c>
    </row>
    <row r="49" spans="1:16">
      <c r="A49" s="220"/>
    </row>
    <row r="52" spans="1:16">
      <c r="A52" s="14"/>
      <c r="B52" s="13"/>
      <c r="D52" s="15" t="s">
        <v>167</v>
      </c>
      <c r="E52" s="15" t="s">
        <v>169</v>
      </c>
      <c r="F52" s="30"/>
      <c r="G52" s="1"/>
      <c r="K52" s="9"/>
      <c r="P52" s="9"/>
    </row>
    <row r="53" spans="1:16" ht="15.75" thickBot="1">
      <c r="A53" s="26"/>
      <c r="B53" s="27"/>
      <c r="C53" s="29" t="s">
        <v>1138</v>
      </c>
      <c r="D53" s="29" t="s">
        <v>168</v>
      </c>
      <c r="E53" s="29" t="s">
        <v>1137</v>
      </c>
      <c r="F53" s="31" t="s">
        <v>974</v>
      </c>
      <c r="G53" s="29" t="s">
        <v>170</v>
      </c>
      <c r="K53" s="9"/>
      <c r="P53" s="9"/>
    </row>
    <row r="54" spans="1:16">
      <c r="A54" s="14"/>
      <c r="B54" s="13"/>
      <c r="K54" s="9"/>
      <c r="P54" s="9"/>
    </row>
    <row r="55" spans="1:16">
      <c r="A55" s="185" t="str">
        <f>A32</f>
        <v>Residential Rate RS</v>
      </c>
      <c r="B55" s="13"/>
      <c r="C55" s="2">
        <f>'Allocation ProForma'!G968</f>
        <v>445976039.11758286</v>
      </c>
      <c r="D55" s="2">
        <f>'Allocation ProForma'!G981</f>
        <v>394826663.63614023</v>
      </c>
      <c r="E55" s="2">
        <f t="shared" ref="E55:E60" si="8">C55-D55</f>
        <v>51149375.48144263</v>
      </c>
      <c r="F55" s="2">
        <f>'Allocation ProForma'!G986</f>
        <v>1226298141.3869851</v>
      </c>
      <c r="G55" s="19">
        <f t="shared" ref="G55:G60" si="9">E55/F55</f>
        <v>4.1710391425360017E-2</v>
      </c>
      <c r="H55" s="19"/>
      <c r="K55" s="9"/>
      <c r="P55" s="9"/>
    </row>
    <row r="56" spans="1:16">
      <c r="A56" s="185" t="str">
        <f t="shared" ref="A56:A66" si="10">A33</f>
        <v xml:space="preserve">General Service </v>
      </c>
      <c r="B56" s="13"/>
      <c r="C56" s="4">
        <f>'Allocation ProForma'!H968</f>
        <v>153330778.42106181</v>
      </c>
      <c r="D56" s="4">
        <f>'Allocation ProForma'!H981</f>
        <v>121757363.13082699</v>
      </c>
      <c r="E56" s="4">
        <f t="shared" si="8"/>
        <v>31573415.290234819</v>
      </c>
      <c r="F56" s="4">
        <f>'Allocation ProForma'!H986</f>
        <v>277706597.11954999</v>
      </c>
      <c r="G56" s="19">
        <f t="shared" si="9"/>
        <v>0.11369342902805715</v>
      </c>
      <c r="H56" s="19"/>
      <c r="K56" s="9"/>
      <c r="P56" s="9"/>
    </row>
    <row r="57" spans="1:16">
      <c r="A57" s="185" t="str">
        <f t="shared" si="10"/>
        <v>Power Service Primary Rate PS</v>
      </c>
      <c r="C57" s="4">
        <f>'Allocation ProForma'!J968</f>
        <v>13191850.117221326</v>
      </c>
      <c r="D57" s="4">
        <f>'Allocation ProForma'!J981</f>
        <v>11017151.636281032</v>
      </c>
      <c r="E57" s="37">
        <f t="shared" si="8"/>
        <v>2174698.4809402935</v>
      </c>
      <c r="F57" s="4">
        <f>'Allocation ProForma'!J986</f>
        <v>21749592.64590745</v>
      </c>
      <c r="G57" s="19">
        <f t="shared" si="9"/>
        <v>9.9988009722540683E-2</v>
      </c>
      <c r="H57" s="19"/>
    </row>
    <row r="58" spans="1:16">
      <c r="A58" s="185" t="str">
        <f t="shared" si="10"/>
        <v>Power Service Secondary Rate PS</v>
      </c>
      <c r="C58" s="4">
        <f>'Allocation ProForma'!K968</f>
        <v>170716931.37013948</v>
      </c>
      <c r="D58" s="4">
        <f>'Allocation ProForma'!K981</f>
        <v>136705898.65671363</v>
      </c>
      <c r="E58" s="4">
        <f t="shared" si="8"/>
        <v>34011032.713425845</v>
      </c>
      <c r="F58" s="4">
        <f>'Allocation ProForma'!K986</f>
        <v>275721267.25815135</v>
      </c>
      <c r="G58" s="19">
        <f t="shared" si="9"/>
        <v>0.123352953697192</v>
      </c>
      <c r="H58" s="19"/>
    </row>
    <row r="59" spans="1:16">
      <c r="A59" s="185" t="str">
        <f t="shared" si="10"/>
        <v>TOD Rate TOD Primary</v>
      </c>
      <c r="B59" s="13"/>
      <c r="C59" s="4">
        <f>'Allocation ProForma'!N968</f>
        <v>134401465.05455083</v>
      </c>
      <c r="D59" s="4">
        <f>'Allocation ProForma'!N981</f>
        <v>115710437.50301786</v>
      </c>
      <c r="E59" s="4">
        <f t="shared" si="8"/>
        <v>18691027.551532969</v>
      </c>
      <c r="F59" s="4">
        <f>'Allocation ProForma'!N986</f>
        <v>226471826.17950612</v>
      </c>
      <c r="G59" s="19">
        <f t="shared" si="9"/>
        <v>8.2531358831001281E-2</v>
      </c>
      <c r="H59" s="19"/>
    </row>
    <row r="60" spans="1:16">
      <c r="A60" s="185" t="str">
        <f t="shared" si="10"/>
        <v>TOD Rate TOD Secondary</v>
      </c>
      <c r="B60" s="13"/>
      <c r="C60" s="261">
        <f>'Allocation ProForma'!O968</f>
        <v>86543117.540051997</v>
      </c>
      <c r="D60" s="4">
        <f>'Allocation ProForma'!O981</f>
        <v>65865990.00277219</v>
      </c>
      <c r="E60" s="4">
        <f t="shared" si="8"/>
        <v>20677127.537279807</v>
      </c>
      <c r="F60" s="4">
        <f>'Allocation ProForma'!O986</f>
        <v>143715706.90157166</v>
      </c>
      <c r="G60" s="19">
        <f t="shared" si="9"/>
        <v>0.14387521018451521</v>
      </c>
      <c r="H60" s="19"/>
    </row>
    <row r="61" spans="1:16">
      <c r="A61" s="185" t="str">
        <f t="shared" si="10"/>
        <v>Retail Transmission Service Rate RTS</v>
      </c>
      <c r="B61" s="13"/>
      <c r="C61" s="4">
        <f>'Allocation ProForma'!P968</f>
        <v>74321093.5426718</v>
      </c>
      <c r="D61" s="4">
        <f>'Allocation ProForma'!P981</f>
        <v>65219373.976199217</v>
      </c>
      <c r="E61" s="4">
        <f t="shared" ref="E61:E66" si="11">C61-D61</f>
        <v>9101719.5664725825</v>
      </c>
      <c r="F61" s="4">
        <f>'Allocation ProForma'!P986</f>
        <v>113082426.76512812</v>
      </c>
      <c r="G61" s="19">
        <f t="shared" ref="G61:G67" si="12">E61/F61</f>
        <v>8.0487480034159758E-2</v>
      </c>
      <c r="H61" s="19"/>
    </row>
    <row r="62" spans="1:16">
      <c r="A62" s="185" t="str">
        <f t="shared" si="10"/>
        <v>Special Contract #1</v>
      </c>
      <c r="B62" s="13"/>
      <c r="C62" s="4">
        <f>'Allocation ProForma'!Q968</f>
        <v>7378060.7727620844</v>
      </c>
      <c r="D62" s="4">
        <f>'Allocation ProForma'!Q981</f>
        <v>6684568.3870166764</v>
      </c>
      <c r="E62" s="4">
        <f t="shared" si="11"/>
        <v>693492.38574540801</v>
      </c>
      <c r="F62" s="4">
        <f>'Allocation ProForma'!Q986</f>
        <v>14438868.779765479</v>
      </c>
      <c r="G62" s="19">
        <f t="shared" si="12"/>
        <v>4.8029551090405569E-2</v>
      </c>
      <c r="H62" s="19"/>
    </row>
    <row r="63" spans="1:16">
      <c r="A63" s="185" t="str">
        <f t="shared" si="10"/>
        <v>Special Contract #2</v>
      </c>
      <c r="B63" s="13"/>
      <c r="C63" s="37">
        <f>'Allocation ProForma'!R968</f>
        <v>3804105.1924499287</v>
      </c>
      <c r="D63" s="37">
        <f>'Allocation ProForma'!R981</f>
        <v>3417667.7221970321</v>
      </c>
      <c r="E63" s="37">
        <f t="shared" si="11"/>
        <v>386437.47025289666</v>
      </c>
      <c r="F63" s="37">
        <f>'Allocation ProForma'!R986</f>
        <v>6627986.1679961868</v>
      </c>
      <c r="G63" s="38">
        <f t="shared" si="12"/>
        <v>5.8303904150983889E-2</v>
      </c>
      <c r="H63" s="19"/>
    </row>
    <row r="64" spans="1:16">
      <c r="A64" s="185" t="str">
        <f t="shared" si="10"/>
        <v>Lighting Rate RLS &amp; LS</v>
      </c>
      <c r="B64" s="13"/>
      <c r="C64" s="4">
        <f>'Allocation ProForma'!S968</f>
        <v>20631848.867106572</v>
      </c>
      <c r="D64" s="4">
        <f>'Allocation ProForma'!S981</f>
        <v>15013039.527293105</v>
      </c>
      <c r="E64" s="37">
        <f t="shared" si="11"/>
        <v>5618809.3398134671</v>
      </c>
      <c r="F64" s="4">
        <f>'Allocation ProForma'!S986</f>
        <v>74531365.088449582</v>
      </c>
      <c r="G64" s="19">
        <f t="shared" si="12"/>
        <v>7.5388520432241965E-2</v>
      </c>
      <c r="H64" s="19"/>
    </row>
    <row r="65" spans="1:8">
      <c r="A65" s="185" t="str">
        <f t="shared" si="10"/>
        <v>Lighting Rate LE</v>
      </c>
      <c r="B65" s="13"/>
      <c r="C65" s="4">
        <f>'Allocation ProForma'!T968</f>
        <v>221965.8739535932</v>
      </c>
      <c r="D65" s="4">
        <f>'Allocation ProForma'!T981</f>
        <v>188733.15123035212</v>
      </c>
      <c r="E65" s="37">
        <f t="shared" si="11"/>
        <v>33232.722723241081</v>
      </c>
      <c r="F65" s="4">
        <f>'Allocation ProForma'!T986</f>
        <v>189911.6367086453</v>
      </c>
      <c r="G65" s="19">
        <f t="shared" si="12"/>
        <v>0.17499044976493658</v>
      </c>
      <c r="H65" s="19"/>
    </row>
    <row r="66" spans="1:8">
      <c r="A66" s="185" t="str">
        <f t="shared" si="10"/>
        <v>Lighting Rate TLE</v>
      </c>
      <c r="B66" s="41"/>
      <c r="C66" s="34">
        <f>'Allocation ProForma'!U968</f>
        <v>302123.59169677994</v>
      </c>
      <c r="D66" s="34">
        <f>'Allocation ProForma'!U981</f>
        <v>248167.5065407342</v>
      </c>
      <c r="E66" s="34">
        <f t="shared" si="11"/>
        <v>53956.085156045738</v>
      </c>
      <c r="F66" s="34">
        <f>'Allocation ProForma'!U986</f>
        <v>400237.31178913353</v>
      </c>
      <c r="G66" s="35">
        <f t="shared" si="12"/>
        <v>0.13481023274629803</v>
      </c>
      <c r="H66" s="19"/>
    </row>
    <row r="67" spans="1:8">
      <c r="C67" s="4">
        <f>SUM(C55:C66)</f>
        <v>1110819379.4612491</v>
      </c>
      <c r="D67" s="4">
        <f>SUM(D55:D66)</f>
        <v>936655054.83622921</v>
      </c>
      <c r="E67" s="4">
        <f>SUM(E55:E66)</f>
        <v>174164324.62502006</v>
      </c>
      <c r="F67" s="4">
        <f>SUM(F55:F66)</f>
        <v>2380933927.241509</v>
      </c>
      <c r="G67" s="19">
        <f t="shared" si="12"/>
        <v>7.3149583292637835E-2</v>
      </c>
    </row>
    <row r="70" spans="1:8">
      <c r="A70" s="222"/>
    </row>
    <row r="71" spans="1:8">
      <c r="A71" s="222"/>
    </row>
    <row r="72" spans="1:8">
      <c r="A72" s="222"/>
    </row>
    <row r="73" spans="1:8">
      <c r="A73" s="222"/>
    </row>
    <row r="74" spans="1:8">
      <c r="A74" s="222"/>
    </row>
    <row r="75" spans="1:8">
      <c r="A75" s="222"/>
    </row>
    <row r="76" spans="1:8">
      <c r="A76" s="185"/>
    </row>
    <row r="77" spans="1:8">
      <c r="A77" s="185"/>
    </row>
    <row r="78" spans="1:8">
      <c r="A78" s="222"/>
    </row>
    <row r="79" spans="1:8">
      <c r="A79" s="222"/>
    </row>
    <row r="80" spans="1:8">
      <c r="A80" s="185"/>
    </row>
    <row r="81" spans="1:1">
      <c r="A81" s="21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F34" sqref="F34"/>
    </sheetView>
  </sheetViews>
  <sheetFormatPr defaultColWidth="9.140625" defaultRowHeight="15"/>
  <cols>
    <col min="1" max="1" width="49.85546875" style="114" bestFit="1" customWidth="1"/>
    <col min="2" max="2" width="17.42578125" style="6" bestFit="1" customWidth="1"/>
    <col min="3" max="3" width="22.7109375" style="114" customWidth="1"/>
    <col min="4" max="5" width="22.7109375" style="114" hidden="1" customWidth="1"/>
    <col min="6" max="14" width="22.7109375" style="114" customWidth="1"/>
    <col min="15" max="15" width="18.42578125" style="114" bestFit="1" customWidth="1"/>
    <col min="16" max="16" width="16.140625" style="114" bestFit="1" customWidth="1"/>
    <col min="17" max="17" width="14.28515625" style="114" bestFit="1" customWidth="1"/>
    <col min="18" max="21" width="12" style="114" bestFit="1" customWidth="1"/>
    <col min="22" max="22" width="9.140625" style="114"/>
    <col min="23" max="23" width="11.85546875" style="114" bestFit="1" customWidth="1"/>
    <col min="24" max="16384" width="9.140625" style="114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59"/>
    </row>
    <row r="3" spans="1:24">
      <c r="E3" s="359"/>
    </row>
    <row r="4" spans="1:24">
      <c r="A4" s="115"/>
      <c r="B4" s="10" t="s">
        <v>1331</v>
      </c>
      <c r="C4" s="40"/>
      <c r="D4" s="40"/>
      <c r="E4" s="359"/>
      <c r="F4" s="116"/>
      <c r="G4" s="10" t="s">
        <v>176</v>
      </c>
      <c r="H4" s="10"/>
      <c r="I4" s="10" t="s">
        <v>1306</v>
      </c>
      <c r="J4" s="10" t="s">
        <v>1307</v>
      </c>
      <c r="K4" s="10" t="s">
        <v>176</v>
      </c>
      <c r="L4" s="12"/>
      <c r="M4" s="12"/>
      <c r="N4" s="12"/>
      <c r="O4" s="12"/>
      <c r="P4" s="115"/>
      <c r="Q4" s="115"/>
      <c r="R4" s="115"/>
      <c r="U4" s="115"/>
    </row>
    <row r="5" spans="1:24">
      <c r="A5" s="115"/>
      <c r="B5" s="10" t="s">
        <v>871</v>
      </c>
      <c r="C5" s="10"/>
      <c r="D5" s="242" t="s">
        <v>931</v>
      </c>
      <c r="E5" s="39"/>
      <c r="F5" s="39" t="s">
        <v>630</v>
      </c>
      <c r="G5" s="10" t="s">
        <v>166</v>
      </c>
      <c r="H5" s="10" t="s">
        <v>183</v>
      </c>
      <c r="I5" s="10" t="s">
        <v>1304</v>
      </c>
      <c r="J5" s="10" t="s">
        <v>1305</v>
      </c>
      <c r="K5" s="10" t="s">
        <v>179</v>
      </c>
      <c r="L5" s="12"/>
      <c r="M5" s="12"/>
      <c r="N5" s="12"/>
      <c r="O5" s="12"/>
      <c r="P5" s="115"/>
      <c r="Q5" s="115"/>
      <c r="R5" s="115"/>
      <c r="U5" s="115"/>
      <c r="V5" s="115"/>
      <c r="W5" s="115"/>
      <c r="X5" s="115"/>
    </row>
    <row r="6" spans="1:24" ht="15.75" thickBot="1">
      <c r="A6" s="117"/>
      <c r="B6" s="253">
        <v>43281</v>
      </c>
      <c r="C6" s="254" t="s">
        <v>141</v>
      </c>
      <c r="D6" s="254" t="s">
        <v>1138</v>
      </c>
      <c r="E6" s="353"/>
      <c r="F6" s="243" t="s">
        <v>631</v>
      </c>
      <c r="G6" s="241" t="s">
        <v>938</v>
      </c>
      <c r="H6" s="241" t="s">
        <v>938</v>
      </c>
      <c r="I6" s="241" t="s">
        <v>938</v>
      </c>
      <c r="J6" s="241" t="s">
        <v>938</v>
      </c>
      <c r="K6" s="241" t="s">
        <v>180</v>
      </c>
      <c r="L6" s="12"/>
      <c r="M6" s="12"/>
      <c r="N6" s="12"/>
      <c r="O6" s="12"/>
      <c r="R6" s="118"/>
    </row>
    <row r="7" spans="1:24" s="124" customFormat="1">
      <c r="A7" s="123"/>
      <c r="B7" s="330"/>
      <c r="C7" s="251"/>
      <c r="D7" s="251"/>
      <c r="E7" s="251"/>
      <c r="F7" s="251"/>
      <c r="G7" s="251"/>
      <c r="H7" s="251"/>
      <c r="J7" s="251"/>
      <c r="L7" s="331"/>
      <c r="M7" s="331"/>
      <c r="N7" s="331"/>
      <c r="O7" s="331"/>
      <c r="P7" s="251"/>
      <c r="Q7" s="251"/>
      <c r="R7" s="252"/>
    </row>
    <row r="8" spans="1:24" s="124" customFormat="1">
      <c r="A8" s="66" t="s">
        <v>1288</v>
      </c>
      <c r="B8" s="332">
        <f>(4368714+596)/12</f>
        <v>364109.16666666669</v>
      </c>
      <c r="C8" s="332">
        <f>4179523067+503093+62671</f>
        <v>4180088831</v>
      </c>
      <c r="D8" s="333">
        <f>379152166+47907</f>
        <v>379200073</v>
      </c>
      <c r="E8" s="333"/>
      <c r="F8" s="334">
        <f>D8+E8</f>
        <v>379200073</v>
      </c>
      <c r="G8" s="332">
        <v>1559289.3204656634</v>
      </c>
      <c r="H8" s="332">
        <f>ROUND(C8/8760,2)</f>
        <v>477179.09</v>
      </c>
      <c r="I8" s="335">
        <v>798297.34339007991</v>
      </c>
      <c r="J8" s="335">
        <v>1069021.6735769615</v>
      </c>
      <c r="K8" s="332">
        <v>3273931.5009418679</v>
      </c>
      <c r="L8" s="128"/>
      <c r="M8" s="128"/>
      <c r="N8" s="336"/>
      <c r="O8" s="336"/>
      <c r="P8" s="337"/>
      <c r="Q8" s="251"/>
      <c r="R8" s="337"/>
    </row>
    <row r="9" spans="1:24" s="124" customFormat="1">
      <c r="A9" s="123"/>
      <c r="B9" s="332"/>
      <c r="C9" s="332"/>
      <c r="D9" s="338"/>
      <c r="E9" s="338"/>
      <c r="F9" s="338"/>
      <c r="G9" s="332"/>
      <c r="H9" s="332"/>
      <c r="I9" s="339"/>
      <c r="J9" s="339"/>
      <c r="K9" s="332"/>
      <c r="L9" s="128"/>
      <c r="M9" s="128"/>
      <c r="N9" s="336"/>
      <c r="O9" s="336"/>
      <c r="P9" s="251"/>
      <c r="Q9" s="251"/>
      <c r="R9" s="340"/>
      <c r="V9" s="341"/>
      <c r="X9" s="341"/>
    </row>
    <row r="10" spans="1:24" s="124" customFormat="1">
      <c r="A10" s="66" t="s">
        <v>1365</v>
      </c>
      <c r="B10" s="332">
        <f>(344482+198362)/12</f>
        <v>45237</v>
      </c>
      <c r="C10" s="332">
        <f>415089458+943289763</f>
        <v>1358379221</v>
      </c>
      <c r="D10" s="342">
        <v>135825835</v>
      </c>
      <c r="E10" s="333"/>
      <c r="F10" s="334">
        <f>D10+E10</f>
        <v>135825835</v>
      </c>
      <c r="G10" s="332">
        <v>448837.09044295392</v>
      </c>
      <c r="H10" s="332">
        <f>ROUND(C10/8760,2)</f>
        <v>155066.12</v>
      </c>
      <c r="I10" s="335">
        <v>261220.81239762629</v>
      </c>
      <c r="J10" s="335">
        <v>386317.95454455458</v>
      </c>
      <c r="K10" s="332">
        <v>599114.69817621191</v>
      </c>
      <c r="L10" s="128"/>
      <c r="M10" s="128"/>
      <c r="N10" s="343"/>
      <c r="O10" s="343"/>
      <c r="Q10" s="251"/>
      <c r="R10" s="251"/>
    </row>
    <row r="11" spans="1:24" s="124" customFormat="1">
      <c r="B11" s="332"/>
      <c r="C11" s="332"/>
      <c r="D11" s="332"/>
      <c r="E11" s="332"/>
      <c r="F11" s="332"/>
      <c r="G11" s="332"/>
      <c r="H11" s="332"/>
      <c r="I11" s="339"/>
      <c r="J11" s="339"/>
      <c r="K11" s="332"/>
      <c r="L11" s="128"/>
      <c r="M11" s="128"/>
      <c r="N11" s="128"/>
      <c r="O11" s="128"/>
      <c r="P11" s="251"/>
      <c r="Q11" s="251"/>
      <c r="R11" s="340"/>
      <c r="V11" s="341"/>
      <c r="X11" s="341"/>
    </row>
    <row r="12" spans="1:24" s="124" customFormat="1">
      <c r="A12" s="66" t="s">
        <v>1187</v>
      </c>
      <c r="B12" s="332">
        <f>864/12</f>
        <v>72</v>
      </c>
      <c r="C12" s="332">
        <v>165297553</v>
      </c>
      <c r="D12" s="342">
        <v>11517853</v>
      </c>
      <c r="E12" s="333"/>
      <c r="F12" s="334">
        <f>D12+E12</f>
        <v>11517853</v>
      </c>
      <c r="G12" s="332">
        <v>39879.56851315892</v>
      </c>
      <c r="H12" s="332">
        <f>ROUND(C12/8760,2)</f>
        <v>18869.580000000002</v>
      </c>
      <c r="I12" s="335">
        <v>20313.600974413446</v>
      </c>
      <c r="J12" s="335">
        <v>31860.342849534132</v>
      </c>
      <c r="K12" s="332">
        <v>57207.580171997855</v>
      </c>
      <c r="L12" s="128"/>
      <c r="M12" s="128"/>
      <c r="N12" s="344"/>
      <c r="O12" s="344"/>
      <c r="P12" s="337"/>
      <c r="Q12" s="337"/>
      <c r="R12" s="337"/>
    </row>
    <row r="13" spans="1:24" s="124" customFormat="1">
      <c r="A13" s="123"/>
      <c r="B13" s="332"/>
      <c r="C13" s="332"/>
      <c r="D13" s="332"/>
      <c r="E13" s="332"/>
      <c r="F13" s="332"/>
      <c r="G13" s="339"/>
      <c r="H13" s="339"/>
      <c r="I13" s="339"/>
      <c r="J13" s="339"/>
      <c r="K13" s="335"/>
      <c r="L13" s="343"/>
      <c r="M13" s="343"/>
      <c r="N13" s="343"/>
      <c r="O13" s="343"/>
    </row>
    <row r="14" spans="1:24" s="124" customFormat="1">
      <c r="A14" s="66" t="s">
        <v>1188</v>
      </c>
      <c r="B14" s="332">
        <f>33890/12</f>
        <v>2824.1666666666665</v>
      </c>
      <c r="C14" s="332">
        <f>1874492273</f>
        <v>1874492273</v>
      </c>
      <c r="D14" s="342">
        <v>151571212</v>
      </c>
      <c r="E14" s="333"/>
      <c r="F14" s="334">
        <f>D14+E14</f>
        <v>151571212</v>
      </c>
      <c r="G14" s="332">
        <v>462866.52612677042</v>
      </c>
      <c r="H14" s="332">
        <f>ROUND(C14/8760,2)</f>
        <v>213983.14</v>
      </c>
      <c r="I14" s="335">
        <v>273342.71120103268</v>
      </c>
      <c r="J14" s="335">
        <v>449716.42236431479</v>
      </c>
      <c r="K14" s="332">
        <v>527644.55780038284</v>
      </c>
      <c r="L14" s="128"/>
      <c r="M14" s="128"/>
      <c r="N14" s="343"/>
      <c r="O14" s="343"/>
      <c r="R14" s="251"/>
    </row>
    <row r="15" spans="1:24" s="124" customFormat="1">
      <c r="A15" s="123"/>
      <c r="B15" s="332"/>
      <c r="C15" s="332"/>
      <c r="D15" s="332"/>
      <c r="E15" s="332"/>
      <c r="F15" s="332"/>
      <c r="G15" s="339"/>
      <c r="H15" s="339"/>
      <c r="I15" s="339"/>
      <c r="J15" s="339"/>
      <c r="K15" s="335"/>
      <c r="L15" s="128"/>
      <c r="M15" s="128"/>
      <c r="N15" s="128"/>
      <c r="O15" s="128"/>
      <c r="P15" s="251"/>
      <c r="Q15" s="251"/>
      <c r="R15" s="252"/>
    </row>
    <row r="16" spans="1:24" s="124" customFormat="1">
      <c r="A16" s="66" t="s">
        <v>1366</v>
      </c>
      <c r="B16" s="332">
        <f>1266/12</f>
        <v>105.5</v>
      </c>
      <c r="C16" s="128">
        <v>1848687110</v>
      </c>
      <c r="D16" s="342">
        <v>116918595</v>
      </c>
      <c r="E16" s="333"/>
      <c r="F16" s="334">
        <f>D16+E16</f>
        <v>116918595</v>
      </c>
      <c r="G16" s="332">
        <v>421067.29567910882</v>
      </c>
      <c r="H16" s="332">
        <f>ROUND(C16/8760,2)</f>
        <v>211037.34</v>
      </c>
      <c r="I16" s="335">
        <v>217675.10580639745</v>
      </c>
      <c r="J16" s="335">
        <v>340132.15690513782</v>
      </c>
      <c r="K16" s="332">
        <v>573708.40465400543</v>
      </c>
      <c r="L16" s="128"/>
      <c r="M16" s="128"/>
      <c r="N16" s="344"/>
      <c r="O16" s="344"/>
      <c r="P16" s="337"/>
      <c r="Q16" s="337"/>
      <c r="R16" s="337"/>
    </row>
    <row r="17" spans="1:24" s="124" customFormat="1">
      <c r="A17" s="123"/>
      <c r="B17" s="332"/>
      <c r="C17" s="332"/>
      <c r="D17" s="332"/>
      <c r="E17" s="332"/>
      <c r="F17" s="332"/>
      <c r="G17" s="332"/>
      <c r="H17" s="345"/>
      <c r="I17" s="339"/>
      <c r="J17" s="339"/>
      <c r="K17" s="335"/>
      <c r="L17" s="128"/>
      <c r="M17" s="128"/>
      <c r="N17" s="128"/>
      <c r="O17" s="128"/>
      <c r="P17" s="251"/>
      <c r="Q17" s="251"/>
      <c r="R17" s="252"/>
    </row>
    <row r="18" spans="1:24" s="124" customFormat="1">
      <c r="A18" s="66" t="s">
        <v>1333</v>
      </c>
      <c r="B18" s="332">
        <f>3312/12</f>
        <v>276</v>
      </c>
      <c r="C18" s="332">
        <v>795801135</v>
      </c>
      <c r="D18" s="332">
        <v>77629237</v>
      </c>
      <c r="E18" s="333"/>
      <c r="F18" s="334">
        <f>D18+E18</f>
        <v>77629237</v>
      </c>
      <c r="G18" s="332">
        <v>250007.66146166611</v>
      </c>
      <c r="H18" s="332">
        <f>ROUND(C18/8760,2)</f>
        <v>90844.88</v>
      </c>
      <c r="I18" s="335">
        <v>145975.99411615593</v>
      </c>
      <c r="J18" s="335">
        <v>229731.99023415305</v>
      </c>
      <c r="K18" s="335">
        <v>289975.20955920167</v>
      </c>
      <c r="L18" s="128"/>
      <c r="M18" s="128"/>
      <c r="N18" s="128"/>
      <c r="O18" s="128"/>
      <c r="P18" s="251"/>
      <c r="Q18" s="251"/>
      <c r="R18" s="252"/>
    </row>
    <row r="19" spans="1:24" s="124" customFormat="1">
      <c r="A19" s="123"/>
      <c r="B19" s="332"/>
      <c r="C19" s="332"/>
      <c r="D19" s="332"/>
      <c r="E19" s="332"/>
      <c r="F19" s="332"/>
      <c r="G19" s="332"/>
      <c r="H19" s="345"/>
      <c r="I19" s="339"/>
      <c r="J19" s="339"/>
      <c r="K19" s="335"/>
      <c r="L19" s="128"/>
      <c r="M19" s="128"/>
      <c r="N19" s="128"/>
      <c r="O19" s="128"/>
      <c r="P19" s="251"/>
      <c r="Q19" s="251"/>
      <c r="R19" s="252"/>
    </row>
    <row r="20" spans="1:24" s="124" customFormat="1">
      <c r="A20" s="66" t="s">
        <v>1189</v>
      </c>
      <c r="B20" s="332">
        <f>156/12</f>
        <v>13</v>
      </c>
      <c r="C20" s="128">
        <v>1147609709</v>
      </c>
      <c r="D20" s="346">
        <v>64284636</v>
      </c>
      <c r="E20" s="333"/>
      <c r="F20" s="334">
        <f>D20+E20</f>
        <v>64284636</v>
      </c>
      <c r="G20" s="128">
        <v>258962.35245895264</v>
      </c>
      <c r="H20" s="332">
        <f>ROUND(C20/8760,2)</f>
        <v>131005.67</v>
      </c>
      <c r="I20" s="347">
        <v>130198.7316881914</v>
      </c>
      <c r="J20" s="347">
        <v>196715.93398402378</v>
      </c>
      <c r="K20" s="347">
        <v>346382.42473849928</v>
      </c>
      <c r="L20" s="128"/>
      <c r="M20" s="128"/>
      <c r="N20" s="344"/>
      <c r="O20" s="344"/>
      <c r="P20" s="337"/>
      <c r="Q20" s="337"/>
      <c r="R20" s="337"/>
    </row>
    <row r="21" spans="1:24" s="124" customForma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128"/>
      <c r="M21" s="128"/>
      <c r="N21" s="128"/>
      <c r="O21" s="128"/>
      <c r="P21" s="251"/>
      <c r="Q21" s="251"/>
      <c r="R21" s="340"/>
      <c r="V21" s="341"/>
      <c r="X21" s="341"/>
    </row>
    <row r="22" spans="1:24" s="124" customFormat="1">
      <c r="A22" s="66" t="s">
        <v>1358</v>
      </c>
      <c r="B22" s="332">
        <f>12/12</f>
        <v>1</v>
      </c>
      <c r="C22" s="332">
        <v>109874900</v>
      </c>
      <c r="D22" s="332">
        <v>6341748</v>
      </c>
      <c r="E22" s="333"/>
      <c r="F22" s="334">
        <f>D22+E22</f>
        <v>6341748</v>
      </c>
      <c r="G22" s="332">
        <v>26104.545320274483</v>
      </c>
      <c r="H22" s="332">
        <f>ROUND(C22/8760,2)</f>
        <v>12542.8</v>
      </c>
      <c r="I22" s="347">
        <v>15032.269312683648</v>
      </c>
      <c r="J22" s="347">
        <v>21240.770184933692</v>
      </c>
      <c r="K22" s="347">
        <v>41567.060227169168</v>
      </c>
      <c r="L22" s="128"/>
      <c r="M22" s="128"/>
      <c r="N22" s="128"/>
      <c r="O22" s="128"/>
      <c r="P22" s="251"/>
      <c r="Q22" s="251"/>
      <c r="R22" s="340"/>
      <c r="V22" s="341"/>
      <c r="X22" s="341"/>
    </row>
    <row r="23" spans="1:24" s="124" customFormat="1"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128"/>
      <c r="M23" s="128"/>
      <c r="N23" s="128"/>
      <c r="O23" s="128"/>
      <c r="P23" s="251"/>
      <c r="Q23" s="251"/>
      <c r="R23" s="340"/>
      <c r="V23" s="341"/>
      <c r="X23" s="341"/>
    </row>
    <row r="24" spans="1:24" s="124" customFormat="1">
      <c r="A24" s="66" t="s">
        <v>1400</v>
      </c>
      <c r="B24" s="332">
        <f>12/12</f>
        <v>1</v>
      </c>
      <c r="C24" s="332">
        <v>58046500</v>
      </c>
      <c r="D24" s="332">
        <v>3292762</v>
      </c>
      <c r="E24" s="333"/>
      <c r="F24" s="334">
        <f>D24+E24</f>
        <v>3292762</v>
      </c>
      <c r="G24" s="332">
        <v>13663.49459080668</v>
      </c>
      <c r="H24" s="332">
        <f>ROUND(C24/8760,2)</f>
        <v>6626.31</v>
      </c>
      <c r="I24" s="347">
        <v>5713.8239668660899</v>
      </c>
      <c r="J24" s="347">
        <v>8598.4009708705998</v>
      </c>
      <c r="K24" s="332">
        <v>20438.395438494859</v>
      </c>
      <c r="L24" s="128"/>
      <c r="M24" s="128"/>
      <c r="N24" s="128"/>
      <c r="O24" s="128"/>
      <c r="P24" s="251"/>
      <c r="Q24" s="251"/>
      <c r="R24" s="340"/>
      <c r="V24" s="341"/>
      <c r="X24" s="341"/>
    </row>
    <row r="25" spans="1:24" s="124" customFormat="1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128"/>
      <c r="M25" s="128"/>
      <c r="N25" s="128"/>
      <c r="O25" s="128"/>
      <c r="P25" s="251"/>
      <c r="Q25" s="251"/>
      <c r="R25" s="340"/>
      <c r="V25" s="341"/>
      <c r="X25" s="341"/>
    </row>
    <row r="26" spans="1:24" s="124" customFormat="1">
      <c r="A26" s="66" t="s">
        <v>1302</v>
      </c>
      <c r="B26" s="332">
        <f>1036824/12</f>
        <v>86402</v>
      </c>
      <c r="C26" s="332">
        <v>101770582.1238485</v>
      </c>
      <c r="D26" s="332">
        <v>18141167.300000001</v>
      </c>
      <c r="E26" s="333"/>
      <c r="F26" s="334">
        <f>D26+E26</f>
        <v>18141167.300000001</v>
      </c>
      <c r="G26" s="332">
        <f>K26</f>
        <v>26916.48368426325</v>
      </c>
      <c r="H26" s="332">
        <f>ROUND(C26/8760,2)</f>
        <v>11617.65</v>
      </c>
      <c r="I26" s="347">
        <v>0</v>
      </c>
      <c r="J26" s="347">
        <v>0</v>
      </c>
      <c r="K26" s="332">
        <v>26916.48368426325</v>
      </c>
      <c r="L26" s="128"/>
      <c r="M26" s="128"/>
      <c r="N26" s="128"/>
      <c r="O26" s="128"/>
      <c r="P26" s="251"/>
      <c r="Q26" s="251"/>
      <c r="R26" s="340"/>
      <c r="V26" s="341"/>
      <c r="X26" s="341"/>
    </row>
    <row r="27" spans="1:24" s="124" customFormat="1">
      <c r="B27" s="332"/>
      <c r="C27" s="332"/>
      <c r="D27" s="290"/>
      <c r="E27" s="290"/>
      <c r="F27" s="332"/>
      <c r="G27" s="332"/>
      <c r="H27" s="332"/>
      <c r="I27" s="332"/>
      <c r="J27" s="332"/>
      <c r="K27" s="332"/>
      <c r="L27" s="128"/>
      <c r="M27" s="128"/>
      <c r="N27" s="128"/>
      <c r="O27" s="128"/>
      <c r="P27" s="251"/>
      <c r="Q27" s="251"/>
      <c r="R27" s="340"/>
      <c r="V27" s="341"/>
      <c r="X27" s="341"/>
    </row>
    <row r="28" spans="1:24" s="124" customFormat="1">
      <c r="A28" s="66" t="s">
        <v>1335</v>
      </c>
      <c r="B28" s="332">
        <f>1980/12</f>
        <v>165</v>
      </c>
      <c r="C28" s="332">
        <v>3317374</v>
      </c>
      <c r="D28" s="332">
        <v>210819</v>
      </c>
      <c r="E28" s="333"/>
      <c r="F28" s="334">
        <f>D28+E28</f>
        <v>210819</v>
      </c>
      <c r="G28" s="332">
        <f>K28</f>
        <v>860.86684661971549</v>
      </c>
      <c r="H28" s="332">
        <f>ROUND(C28/8760,2)</f>
        <v>378.7</v>
      </c>
      <c r="I28" s="347">
        <v>0</v>
      </c>
      <c r="J28" s="347">
        <v>0</v>
      </c>
      <c r="K28" s="332">
        <v>860.86684661971549</v>
      </c>
      <c r="L28" s="128"/>
      <c r="M28" s="128"/>
      <c r="N28" s="128"/>
      <c r="O28" s="128"/>
      <c r="P28" s="251"/>
      <c r="Q28" s="251"/>
      <c r="R28" s="340"/>
      <c r="V28" s="341"/>
      <c r="X28" s="341"/>
    </row>
    <row r="29" spans="1:24" s="124" customFormat="1"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128"/>
      <c r="M29" s="128"/>
      <c r="N29" s="128"/>
      <c r="O29" s="128"/>
      <c r="P29" s="251"/>
      <c r="Q29" s="251"/>
      <c r="R29" s="340"/>
      <c r="V29" s="341"/>
      <c r="X29" s="341"/>
    </row>
    <row r="30" spans="1:24" s="124" customFormat="1">
      <c r="A30" s="348" t="s">
        <v>1334</v>
      </c>
      <c r="B30" s="349">
        <f>10860/12</f>
        <v>905</v>
      </c>
      <c r="C30" s="349">
        <v>3108713</v>
      </c>
      <c r="D30" s="349">
        <v>270128</v>
      </c>
      <c r="E30" s="355"/>
      <c r="F30" s="354">
        <f>D30+E30</f>
        <v>270128</v>
      </c>
      <c r="G30" s="332">
        <f>K30</f>
        <v>392.15358273782084</v>
      </c>
      <c r="H30" s="349">
        <f>ROUND(C30/8760,2)</f>
        <v>354.88</v>
      </c>
      <c r="I30" s="350">
        <v>386.34235936798433</v>
      </c>
      <c r="J30" s="350">
        <v>385.45737635222895</v>
      </c>
      <c r="K30" s="349">
        <v>392.15358273782084</v>
      </c>
      <c r="L30" s="128"/>
      <c r="M30" s="128"/>
      <c r="N30" s="128"/>
      <c r="O30" s="128"/>
      <c r="P30" s="251"/>
      <c r="Q30" s="251"/>
      <c r="R30" s="340"/>
      <c r="V30" s="341"/>
      <c r="X30" s="341"/>
    </row>
    <row r="31" spans="1:24" s="124" customFormat="1">
      <c r="A31" s="66" t="s">
        <v>931</v>
      </c>
      <c r="B31" s="332">
        <f>SUM(B8:B30)</f>
        <v>500110.83333333337</v>
      </c>
      <c r="C31" s="332">
        <f t="shared" ref="C31:K31" si="0">SUM(C8:C30)</f>
        <v>11646473901.123848</v>
      </c>
      <c r="D31" s="351">
        <f>SUM(D8:D30)</f>
        <v>965204065.29999995</v>
      </c>
      <c r="E31" s="338">
        <f>SUM(E8:E30)</f>
        <v>0</v>
      </c>
      <c r="F31" s="338">
        <f>SUM(F8:F30)</f>
        <v>965204065.29999995</v>
      </c>
      <c r="G31" s="352">
        <f t="shared" si="0"/>
        <v>3508847.3591729756</v>
      </c>
      <c r="H31" s="332">
        <f t="shared" si="0"/>
        <v>1329506.1599999997</v>
      </c>
      <c r="I31" s="332">
        <f t="shared" si="0"/>
        <v>1868156.7352128148</v>
      </c>
      <c r="J31" s="332">
        <f>SUM(J8:J30)</f>
        <v>2733721.1029908364</v>
      </c>
      <c r="K31" s="332">
        <f t="shared" si="0"/>
        <v>5758139.3358214516</v>
      </c>
      <c r="L31" s="128"/>
      <c r="M31" s="128"/>
      <c r="N31" s="128"/>
      <c r="O31" s="128"/>
      <c r="P31" s="251"/>
      <c r="Q31" s="251"/>
      <c r="R31" s="340"/>
      <c r="V31" s="341"/>
      <c r="X31" s="341"/>
    </row>
    <row r="32" spans="1:24">
      <c r="A32" s="46"/>
      <c r="B32" s="291"/>
      <c r="C32" s="251"/>
      <c r="D32" s="255"/>
      <c r="E32" s="126"/>
      <c r="F32" s="127"/>
      <c r="G32" s="251"/>
      <c r="H32" s="292"/>
      <c r="I32" s="251"/>
      <c r="J32" s="293"/>
      <c r="K32" s="251"/>
      <c r="L32" s="121"/>
      <c r="M32" s="121"/>
      <c r="N32" s="121"/>
      <c r="O32" s="121"/>
      <c r="P32" s="121"/>
      <c r="Q32" s="121"/>
      <c r="R32" s="121"/>
    </row>
    <row r="33" spans="1:24">
      <c r="A33" s="115"/>
      <c r="B33" s="294"/>
      <c r="C33" s="294"/>
      <c r="D33" s="290"/>
      <c r="E33" s="290"/>
      <c r="F33" s="290"/>
      <c r="G33" s="294"/>
      <c r="H33" s="294"/>
      <c r="I33" s="294"/>
      <c r="J33" s="294"/>
      <c r="K33" s="294"/>
      <c r="L33" s="85"/>
      <c r="M33" s="85"/>
      <c r="N33" s="85"/>
      <c r="O33" s="85"/>
      <c r="P33" s="85"/>
      <c r="Q33" s="85"/>
      <c r="R33" s="85"/>
    </row>
    <row r="34" spans="1:24">
      <c r="A34" s="115"/>
      <c r="B34" s="294"/>
      <c r="C34" s="294"/>
      <c r="D34" s="290"/>
      <c r="E34" s="290"/>
      <c r="F34" s="294"/>
      <c r="G34" s="294"/>
      <c r="H34" s="294"/>
      <c r="I34" s="294"/>
      <c r="J34" s="294"/>
      <c r="K34" s="294"/>
      <c r="L34" s="85"/>
      <c r="M34" s="85"/>
      <c r="N34" s="85"/>
    </row>
    <row r="35" spans="1:24" ht="17.25">
      <c r="C35" s="118"/>
      <c r="D35" s="118"/>
      <c r="E35" s="118"/>
      <c r="F35" s="118"/>
      <c r="G35" s="118"/>
      <c r="H35" s="118"/>
      <c r="I35" s="118"/>
      <c r="J35" s="118"/>
      <c r="K35" s="18"/>
      <c r="L35" s="118"/>
      <c r="M35" s="118"/>
      <c r="N35" s="118"/>
      <c r="O35" s="118"/>
      <c r="P35" s="118"/>
      <c r="Q35" s="118"/>
      <c r="R35" s="118"/>
    </row>
    <row r="36" spans="1:2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2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R37" s="119"/>
    </row>
    <row r="38" spans="1:2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</row>
    <row r="39" spans="1:24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1:24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V40" s="122"/>
      <c r="X40" s="122"/>
    </row>
    <row r="41" spans="1:24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24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24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R43" s="119"/>
    </row>
    <row r="44" spans="1:24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</row>
    <row r="45" spans="1:24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1:24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V46" s="122"/>
      <c r="X46" s="122"/>
    </row>
    <row r="47" spans="1:24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24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3:2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R49" s="119"/>
    </row>
    <row r="50" spans="3:2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R50" s="119"/>
    </row>
    <row r="51" spans="3:2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3:24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V52" s="122"/>
      <c r="X52" s="122"/>
    </row>
    <row r="53" spans="3:24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3:24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3:24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R55" s="119"/>
    </row>
    <row r="56" spans="3:24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3:24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19"/>
      <c r="U57" s="130"/>
    </row>
    <row r="58" spans="3:24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V58" s="122"/>
      <c r="X58" s="122"/>
    </row>
    <row r="59" spans="3:24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U59" s="131"/>
    </row>
    <row r="60" spans="3:24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24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R61" s="119"/>
    </row>
    <row r="62" spans="3:24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</row>
    <row r="63" spans="3:24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29"/>
      <c r="O63" s="118"/>
      <c r="R63" s="119"/>
      <c r="U63" s="130"/>
    </row>
    <row r="64" spans="3:24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V64" s="122"/>
      <c r="X64" s="122"/>
    </row>
    <row r="65" spans="3:24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U65" s="131"/>
    </row>
    <row r="66" spans="3:24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3:24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R67" s="119"/>
    </row>
    <row r="68" spans="3:24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</row>
    <row r="69" spans="3:24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9"/>
      <c r="U69" s="130"/>
    </row>
    <row r="70" spans="3:24">
      <c r="C70" s="12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V70" s="122"/>
      <c r="X70" s="122"/>
    </row>
    <row r="71" spans="3:24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U71" s="131"/>
    </row>
    <row r="72" spans="3:24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U72" s="131"/>
    </row>
    <row r="73" spans="3:24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R73" s="119"/>
    </row>
    <row r="74" spans="3:24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29"/>
      <c r="R74" s="119"/>
    </row>
    <row r="75" spans="3:24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9"/>
      <c r="O75" s="118"/>
      <c r="P75" s="118"/>
      <c r="Q75" s="118"/>
      <c r="R75" s="119"/>
    </row>
    <row r="76" spans="3:24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18"/>
      <c r="N76" s="121"/>
      <c r="O76" s="121"/>
      <c r="P76" s="121"/>
      <c r="Q76" s="121"/>
      <c r="R76" s="121"/>
      <c r="V76" s="122"/>
      <c r="X76" s="122"/>
    </row>
    <row r="77" spans="3:24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3:24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29"/>
      <c r="O78" s="118"/>
      <c r="R78" s="119"/>
    </row>
    <row r="79" spans="3:24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R79" s="119"/>
    </row>
    <row r="80" spans="3:24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9"/>
      <c r="O80" s="118"/>
      <c r="P80" s="118"/>
      <c r="Q80" s="118"/>
      <c r="R80" s="119"/>
    </row>
    <row r="81" spans="3:24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29"/>
      <c r="O81" s="118"/>
      <c r="R81" s="119"/>
    </row>
    <row r="82" spans="3:24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3:24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9"/>
    </row>
    <row r="84" spans="3:24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V84" s="122"/>
      <c r="X84" s="122"/>
    </row>
    <row r="85" spans="3:2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</row>
    <row r="86" spans="3:2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X86" s="122"/>
    </row>
    <row r="87" spans="3:24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0"/>
      <c r="P87" s="120"/>
      <c r="Q87" s="120"/>
      <c r="R87" s="120"/>
    </row>
    <row r="88" spans="3:24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0"/>
      <c r="P88" s="120"/>
      <c r="Q88" s="120"/>
      <c r="R88" s="120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/>
      <c r="P89" s="120"/>
      <c r="Q89" s="120"/>
      <c r="R89" s="120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0"/>
      <c r="P90" s="120"/>
      <c r="Q90" s="120"/>
      <c r="R90" s="120"/>
    </row>
    <row r="91" spans="3:24">
      <c r="C91" s="118"/>
      <c r="D91" s="125"/>
      <c r="E91" s="125"/>
      <c r="F91" s="125"/>
      <c r="G91" s="125"/>
      <c r="H91" s="125"/>
      <c r="I91" s="125"/>
      <c r="J91" s="118"/>
      <c r="K91" s="129"/>
      <c r="L91" s="125"/>
      <c r="M91" s="129"/>
      <c r="N91" s="125"/>
      <c r="O91" s="125"/>
      <c r="P91" s="125"/>
      <c r="Q91" s="125"/>
    </row>
    <row r="92" spans="3:24">
      <c r="C92" s="118"/>
      <c r="D92" s="125"/>
      <c r="E92" s="125"/>
      <c r="F92" s="125"/>
      <c r="G92" s="125"/>
      <c r="H92" s="125"/>
      <c r="I92" s="125"/>
      <c r="J92" s="118"/>
      <c r="K92" s="129"/>
      <c r="L92" s="125"/>
      <c r="M92" s="129"/>
      <c r="N92" s="125"/>
      <c r="O92" s="125"/>
      <c r="P92" s="125"/>
      <c r="Q92" s="125"/>
    </row>
    <row r="93" spans="3:24">
      <c r="C93" s="118"/>
      <c r="D93" s="125"/>
      <c r="E93" s="125"/>
      <c r="F93" s="125"/>
      <c r="G93" s="125"/>
      <c r="H93" s="125"/>
      <c r="I93" s="125"/>
      <c r="J93" s="118"/>
      <c r="K93" s="129"/>
      <c r="L93" s="125"/>
      <c r="M93" s="129"/>
      <c r="N93" s="125"/>
      <c r="O93" s="125"/>
      <c r="P93" s="125"/>
      <c r="Q93" s="125"/>
    </row>
    <row r="94" spans="3:24" ht="17.25">
      <c r="C94" s="18"/>
      <c r="D94" s="125"/>
      <c r="E94" s="125"/>
      <c r="F94" s="125"/>
      <c r="G94" s="125"/>
      <c r="H94" s="125"/>
      <c r="I94" s="125"/>
      <c r="J94" s="18"/>
      <c r="K94" s="86"/>
      <c r="L94" s="125"/>
      <c r="M94" s="129"/>
      <c r="N94" s="17"/>
      <c r="O94" s="17"/>
      <c r="P94" s="17"/>
      <c r="Q94" s="17"/>
    </row>
    <row r="95" spans="3:24">
      <c r="C95" s="118"/>
      <c r="D95" s="125"/>
      <c r="E95" s="125"/>
      <c r="F95" s="125"/>
      <c r="G95" s="125"/>
      <c r="H95" s="125"/>
      <c r="I95" s="125"/>
      <c r="J95" s="118"/>
      <c r="K95" s="129"/>
      <c r="L95" s="125"/>
      <c r="M95" s="129"/>
      <c r="N95" s="125"/>
      <c r="O95" s="125"/>
      <c r="P95" s="125"/>
      <c r="Q95" s="125"/>
    </row>
    <row r="96" spans="3:24" ht="17.25">
      <c r="C96" s="18"/>
      <c r="D96" s="17"/>
      <c r="E96" s="17"/>
      <c r="F96" s="132"/>
      <c r="G96" s="17"/>
      <c r="H96" s="17"/>
      <c r="I96" s="17"/>
      <c r="J96" s="118"/>
      <c r="K96" s="129"/>
      <c r="L96" s="17"/>
      <c r="M96" s="86"/>
      <c r="N96" s="17"/>
      <c r="O96" s="17"/>
      <c r="P96" s="17"/>
      <c r="Q96" s="17"/>
    </row>
    <row r="97" spans="3:17">
      <c r="C97" s="118"/>
      <c r="D97" s="125"/>
      <c r="E97" s="125"/>
      <c r="F97" s="125"/>
      <c r="G97" s="125"/>
      <c r="H97" s="125"/>
      <c r="I97" s="125"/>
      <c r="J97" s="118"/>
      <c r="K97" s="129"/>
      <c r="L97" s="125"/>
      <c r="M97" s="129"/>
      <c r="N97" s="125"/>
      <c r="O97" s="125"/>
      <c r="P97" s="125"/>
      <c r="Q97" s="125"/>
    </row>
    <row r="98" spans="3:17" ht="17.25">
      <c r="C98" s="87"/>
      <c r="D98" s="17"/>
      <c r="E98" s="17"/>
      <c r="F98" s="132"/>
      <c r="G98" s="17"/>
      <c r="H98" s="17"/>
      <c r="I98" s="17"/>
      <c r="J98" s="118"/>
      <c r="K98" s="129"/>
      <c r="L98" s="17"/>
      <c r="M98" s="88"/>
    </row>
    <row r="99" spans="3:17">
      <c r="C99" s="118"/>
      <c r="D99" s="125"/>
      <c r="E99" s="125"/>
      <c r="F99" s="125"/>
      <c r="G99" s="125"/>
      <c r="H99" s="125"/>
      <c r="I99" s="125"/>
      <c r="J99" s="118"/>
      <c r="K99" s="129"/>
      <c r="L99" s="125"/>
      <c r="M99" s="129"/>
    </row>
    <row r="100" spans="3:17">
      <c r="C100" s="118"/>
      <c r="J100" s="118"/>
      <c r="K100" s="129"/>
      <c r="M100" s="129"/>
    </row>
    <row r="101" spans="3:17">
      <c r="C101" s="118"/>
      <c r="J101" s="118"/>
      <c r="K101" s="129"/>
      <c r="M101" s="129"/>
    </row>
    <row r="102" spans="3:17">
      <c r="C102" s="118"/>
      <c r="J102" s="118"/>
      <c r="K102" s="129"/>
      <c r="M102" s="129"/>
    </row>
    <row r="103" spans="3:17">
      <c r="C103" s="118"/>
      <c r="J103" s="118"/>
      <c r="K103" s="129"/>
      <c r="M103" s="129"/>
      <c r="N103" s="125"/>
      <c r="O103" s="125"/>
      <c r="P103" s="125"/>
      <c r="Q103" s="133"/>
    </row>
    <row r="104" spans="3:17">
      <c r="C104" s="118"/>
      <c r="J104" s="118"/>
      <c r="K104" s="129"/>
      <c r="M104" s="129"/>
      <c r="N104" s="125"/>
      <c r="O104" s="125"/>
      <c r="P104" s="125"/>
      <c r="Q104" s="133"/>
    </row>
    <row r="105" spans="3:17" ht="17.25">
      <c r="C105" s="18"/>
      <c r="D105" s="125"/>
      <c r="E105" s="125"/>
      <c r="F105" s="125"/>
      <c r="G105" s="125"/>
      <c r="H105" s="125"/>
      <c r="I105" s="125"/>
      <c r="J105" s="18"/>
      <c r="K105" s="86"/>
      <c r="L105" s="125"/>
      <c r="M105" s="129"/>
      <c r="N105" s="125"/>
      <c r="O105" s="125"/>
      <c r="P105" s="125"/>
      <c r="Q105" s="133"/>
    </row>
    <row r="106" spans="3:17">
      <c r="C106" s="118"/>
      <c r="D106" s="125"/>
      <c r="E106" s="125"/>
      <c r="F106" s="125"/>
      <c r="G106" s="125"/>
      <c r="H106" s="125"/>
      <c r="I106" s="125"/>
      <c r="J106" s="118"/>
      <c r="K106" s="129"/>
      <c r="L106" s="125"/>
      <c r="M106" s="129"/>
      <c r="N106" s="125"/>
      <c r="O106" s="125"/>
      <c r="P106" s="125"/>
      <c r="Q106" s="133"/>
    </row>
    <row r="107" spans="3:17">
      <c r="C107" s="118"/>
      <c r="D107" s="125"/>
      <c r="E107" s="125"/>
      <c r="F107" s="125"/>
      <c r="G107" s="125"/>
      <c r="H107" s="125"/>
      <c r="I107" s="125"/>
      <c r="J107" s="118"/>
      <c r="K107" s="129"/>
      <c r="L107" s="125"/>
      <c r="M107" s="129"/>
      <c r="N107" s="125"/>
      <c r="O107" s="125"/>
      <c r="P107" s="125"/>
      <c r="Q107" s="133"/>
    </row>
    <row r="108" spans="3:17">
      <c r="C108" s="118"/>
      <c r="D108" s="125"/>
      <c r="E108" s="125"/>
      <c r="F108" s="125"/>
      <c r="G108" s="125"/>
      <c r="H108" s="125"/>
      <c r="I108" s="125"/>
      <c r="J108" s="118"/>
      <c r="K108" s="129"/>
      <c r="L108" s="125"/>
      <c r="M108" s="129"/>
      <c r="N108" s="125"/>
      <c r="O108" s="125"/>
      <c r="P108" s="125"/>
      <c r="Q108" s="133"/>
    </row>
    <row r="109" spans="3:17" ht="17.25">
      <c r="C109" s="118"/>
      <c r="D109" s="125"/>
      <c r="E109" s="125"/>
      <c r="F109" s="125"/>
      <c r="G109" s="125"/>
      <c r="H109" s="125"/>
      <c r="I109" s="125"/>
      <c r="J109" s="118"/>
      <c r="K109" s="129"/>
      <c r="L109" s="125"/>
      <c r="M109" s="129"/>
      <c r="N109" s="17"/>
      <c r="O109" s="17"/>
      <c r="P109" s="17"/>
      <c r="Q109" s="89"/>
    </row>
    <row r="110" spans="3:17">
      <c r="C110" s="118"/>
      <c r="D110" s="125"/>
      <c r="E110" s="125"/>
      <c r="F110" s="125"/>
      <c r="G110" s="125"/>
      <c r="H110" s="125"/>
      <c r="I110" s="125"/>
      <c r="J110" s="118"/>
      <c r="K110" s="129"/>
      <c r="L110" s="125"/>
      <c r="M110" s="129"/>
      <c r="N110" s="125"/>
      <c r="O110" s="125"/>
      <c r="P110" s="125"/>
      <c r="Q110" s="125"/>
    </row>
    <row r="111" spans="3:17" ht="17.25">
      <c r="C111" s="87"/>
      <c r="D111" s="17"/>
      <c r="E111" s="17"/>
      <c r="F111" s="132"/>
      <c r="G111" s="17"/>
      <c r="H111" s="17"/>
      <c r="I111" s="17"/>
      <c r="J111" s="118"/>
      <c r="K111" s="129"/>
      <c r="L111" s="17"/>
      <c r="M111" s="88"/>
      <c r="N111" s="17"/>
      <c r="O111" s="17"/>
      <c r="P111" s="17"/>
      <c r="Q111" s="89"/>
    </row>
    <row r="112" spans="3:17">
      <c r="C112" s="118"/>
      <c r="D112" s="125"/>
      <c r="E112" s="125"/>
      <c r="F112" s="125"/>
      <c r="G112" s="125"/>
      <c r="H112" s="125"/>
      <c r="I112" s="125"/>
      <c r="J112" s="118"/>
      <c r="K112" s="129"/>
      <c r="L112" s="125"/>
      <c r="M112" s="129"/>
      <c r="N112" s="125"/>
      <c r="O112" s="125"/>
      <c r="P112" s="125"/>
      <c r="Q112" s="125"/>
    </row>
    <row r="113" spans="3:13" ht="17.25">
      <c r="C113" s="87"/>
      <c r="D113" s="17"/>
      <c r="E113" s="17"/>
      <c r="F113" s="132"/>
      <c r="G113" s="17"/>
      <c r="H113" s="17"/>
      <c r="I113" s="17"/>
      <c r="J113" s="118"/>
      <c r="K113" s="129"/>
      <c r="L113" s="17"/>
      <c r="M113" s="86"/>
    </row>
    <row r="114" spans="3:13" ht="17.25">
      <c r="C114" s="18"/>
      <c r="D114" s="125"/>
      <c r="E114" s="125"/>
      <c r="F114" s="125"/>
      <c r="G114" s="125"/>
      <c r="H114" s="125"/>
      <c r="I114" s="125"/>
      <c r="J114" s="18"/>
      <c r="K114" s="86"/>
      <c r="L114" s="125"/>
      <c r="M114" s="129"/>
    </row>
    <row r="115" spans="3:13">
      <c r="C115" s="119"/>
      <c r="J115" s="119"/>
      <c r="K115" s="119"/>
      <c r="M115" s="129"/>
    </row>
    <row r="116" spans="3:13">
      <c r="M116" s="129"/>
    </row>
    <row r="117" spans="3:13">
      <c r="C117" s="119"/>
      <c r="D117" s="119"/>
      <c r="E117" s="119"/>
      <c r="F117" s="119"/>
      <c r="G117" s="119"/>
      <c r="H117" s="119"/>
      <c r="I117" s="119"/>
      <c r="J117" s="119"/>
      <c r="K117" s="119"/>
      <c r="M117" s="129"/>
    </row>
    <row r="118" spans="3:13">
      <c r="I118" s="134"/>
    </row>
    <row r="119" spans="3:13">
      <c r="I119" s="134"/>
    </row>
    <row r="120" spans="3:13">
      <c r="I120" s="134"/>
    </row>
    <row r="121" spans="3:13">
      <c r="I121" s="134"/>
    </row>
    <row r="122" spans="3:13">
      <c r="I122" s="134"/>
    </row>
    <row r="123" spans="3:13">
      <c r="I123" s="134"/>
    </row>
    <row r="124" spans="3:13">
      <c r="I124" s="134"/>
    </row>
    <row r="125" spans="3:13">
      <c r="I125" s="134"/>
    </row>
    <row r="126" spans="3:13">
      <c r="I126" s="134"/>
    </row>
    <row r="127" spans="3:13">
      <c r="I127" s="134"/>
    </row>
    <row r="128" spans="3:13">
      <c r="I128" s="134"/>
    </row>
    <row r="129" spans="9:9">
      <c r="I129" s="134"/>
    </row>
    <row r="130" spans="9:9">
      <c r="I130" s="134"/>
    </row>
    <row r="131" spans="9:9">
      <c r="I131" s="134"/>
    </row>
    <row r="132" spans="9:9">
      <c r="I132" s="134"/>
    </row>
    <row r="133" spans="9:9">
      <c r="I133" s="134"/>
    </row>
    <row r="134" spans="9:9">
      <c r="I134" s="134"/>
    </row>
    <row r="135" spans="9:9">
      <c r="I135" s="134"/>
    </row>
    <row r="136" spans="9:9">
      <c r="I136" s="134"/>
    </row>
    <row r="137" spans="9:9">
      <c r="I137" s="134"/>
    </row>
    <row r="138" spans="9:9">
      <c r="I138" s="134"/>
    </row>
    <row r="139" spans="9:9">
      <c r="I139" s="134"/>
    </row>
    <row r="140" spans="9:9">
      <c r="I140" s="134"/>
    </row>
    <row r="141" spans="9:9">
      <c r="I141" s="134"/>
    </row>
    <row r="142" spans="9:9">
      <c r="I142" s="134"/>
    </row>
    <row r="143" spans="9:9">
      <c r="I143" s="134"/>
    </row>
    <row r="144" spans="9:9">
      <c r="I144" s="134"/>
    </row>
    <row r="145" spans="9:9">
      <c r="I145" s="134"/>
    </row>
    <row r="146" spans="9:9">
      <c r="I146" s="134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style="220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234"/>
      <c r="B2" s="373"/>
      <c r="C2" s="234"/>
      <c r="D2" s="234"/>
      <c r="E2" s="234"/>
      <c r="F2" s="234"/>
      <c r="G2" s="234"/>
      <c r="H2" s="234"/>
      <c r="I2" s="234"/>
      <c r="J2" s="234"/>
      <c r="K2" s="234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1198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384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264" t="s">
        <v>1199</v>
      </c>
      <c r="K9" s="188"/>
      <c r="L9" s="266"/>
    </row>
    <row r="10" spans="1:14">
      <c r="A10" s="191"/>
      <c r="B10" s="385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385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386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387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12" t="s">
        <v>974</v>
      </c>
      <c r="C14" s="205"/>
      <c r="D14" s="272">
        <f>'Allocation ProForma'!G176</f>
        <v>1226298141.3869851</v>
      </c>
      <c r="E14" s="360">
        <f>'Allocation ProForma'!G125+'Allocation ProForma'!G126+'Allocation ProForma'!G127</f>
        <v>589556091.51102436</v>
      </c>
      <c r="F14" s="360">
        <f>'Allocation ProForma'!G128</f>
        <v>18583061.593407668</v>
      </c>
      <c r="G14" s="360">
        <f>'Allocation ProForma'!G137</f>
        <v>111943212.22982559</v>
      </c>
      <c r="H14" s="360">
        <f>'Allocation ProForma'!G147+'Allocation ProForma'!G149+'Allocation ProForma'!G154+'Allocation ProForma'!G143</f>
        <v>184388867.25262314</v>
      </c>
      <c r="I14" s="360">
        <f>'Allocation ProForma'!G148+'Allocation ProForma'!G150+'Allocation ProForma'!G155+'Allocation ProForma'!G159+'Allocation ProForma'!G162+'Allocation ProForma'!G165</f>
        <v>319519898.39692187</v>
      </c>
      <c r="J14" s="360">
        <f>'Allocation ProForma'!G168+'Allocation ProForma'!G171</f>
        <v>2307010.4031823776</v>
      </c>
      <c r="K14" s="282">
        <f>SUM(E14:J14)</f>
        <v>1226298141.3869848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ProForma'!G831+'Allocation ProForma'!G832+'Allocation ProForma'!G833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1226298141.3869851</v>
      </c>
      <c r="E16" s="360">
        <f t="shared" ref="E16:K16" si="1">E14+E15</f>
        <v>589556091.51102436</v>
      </c>
      <c r="F16" s="360">
        <f t="shared" si="1"/>
        <v>18583061.593407668</v>
      </c>
      <c r="G16" s="360">
        <f t="shared" si="1"/>
        <v>111943212.22982559</v>
      </c>
      <c r="H16" s="360">
        <f t="shared" si="1"/>
        <v>184388867.25262314</v>
      </c>
      <c r="I16" s="360">
        <f t="shared" si="1"/>
        <v>319519898.39692187</v>
      </c>
      <c r="J16" s="360">
        <f t="shared" si="1"/>
        <v>2307010.4031823776</v>
      </c>
      <c r="K16" s="282">
        <f t="shared" si="1"/>
        <v>1226298141.3869848</v>
      </c>
      <c r="L16" s="206" t="str">
        <f>IF(ABS(K16-D16)&lt;0.01,"ok","err")</f>
        <v>ok</v>
      </c>
    </row>
    <row r="17" spans="1:12">
      <c r="A17" s="207"/>
      <c r="B17" s="388"/>
      <c r="C17" s="209"/>
      <c r="D17" s="271"/>
      <c r="E17" s="233"/>
      <c r="F17" s="233"/>
      <c r="G17" s="233"/>
      <c r="H17" s="233"/>
      <c r="I17" s="233"/>
      <c r="J17" s="70"/>
      <c r="K17" s="282"/>
      <c r="L17" s="210"/>
    </row>
    <row r="18" spans="1:12">
      <c r="A18" s="207" t="s">
        <v>1210</v>
      </c>
      <c r="B18" s="212" t="s">
        <v>1129</v>
      </c>
      <c r="C18" s="205"/>
      <c r="D18" s="361">
        <f>'Allocation ProForma'!G988</f>
        <v>4.1710391425360017E-2</v>
      </c>
      <c r="E18" s="362">
        <f t="shared" ref="E18:J18" si="2">D18</f>
        <v>4.1710391425360017E-2</v>
      </c>
      <c r="F18" s="362">
        <f t="shared" si="2"/>
        <v>4.1710391425360017E-2</v>
      </c>
      <c r="G18" s="362">
        <f t="shared" si="2"/>
        <v>4.1710391425360017E-2</v>
      </c>
      <c r="H18" s="362">
        <f t="shared" si="2"/>
        <v>4.1710391425360017E-2</v>
      </c>
      <c r="I18" s="362">
        <f t="shared" si="2"/>
        <v>4.1710391425360017E-2</v>
      </c>
      <c r="J18" s="362">
        <f t="shared" si="2"/>
        <v>4.1710391425360017E-2</v>
      </c>
      <c r="K18" s="282"/>
      <c r="L18" s="206"/>
    </row>
    <row r="19" spans="1:12">
      <c r="A19" s="211"/>
      <c r="B19" s="212"/>
      <c r="C19" s="209"/>
      <c r="D19" s="271"/>
      <c r="E19" s="233"/>
      <c r="F19" s="233"/>
      <c r="G19" s="233"/>
      <c r="H19" s="233"/>
      <c r="I19" s="233"/>
      <c r="J19" s="70"/>
      <c r="K19" s="282"/>
      <c r="L19" s="210"/>
    </row>
    <row r="20" spans="1:12">
      <c r="A20" s="207" t="s">
        <v>1211</v>
      </c>
      <c r="B20" s="212" t="s">
        <v>1212</v>
      </c>
      <c r="C20" s="205"/>
      <c r="D20" s="272">
        <f>D18*D16</f>
        <v>51149375.48144263</v>
      </c>
      <c r="E20" s="231">
        <f t="shared" ref="E20:J20" si="3">E18*E16</f>
        <v>24590615.344130196</v>
      </c>
      <c r="F20" s="231">
        <f t="shared" si="3"/>
        <v>775106.77294260822</v>
      </c>
      <c r="G20" s="231">
        <f t="shared" si="3"/>
        <v>4669195.1995181739</v>
      </c>
      <c r="H20" s="231">
        <f t="shared" si="3"/>
        <v>7690931.827585659</v>
      </c>
      <c r="I20" s="231">
        <f t="shared" si="3"/>
        <v>13327300.030326875</v>
      </c>
      <c r="J20" s="380">
        <f t="shared" si="3"/>
        <v>96226.306939114598</v>
      </c>
      <c r="K20" s="283">
        <f>SUM(E20:J20)</f>
        <v>51149375.48144263</v>
      </c>
      <c r="L20" s="206" t="str">
        <f>IF(ABS(K20-D20)&lt;0.01,"ok","err")</f>
        <v>ok</v>
      </c>
    </row>
    <row r="21" spans="1:12">
      <c r="A21" s="211"/>
      <c r="B21" s="212"/>
      <c r="C21" s="209"/>
      <c r="D21" s="271"/>
      <c r="E21" s="233"/>
      <c r="F21" s="233"/>
      <c r="G21" s="233"/>
      <c r="H21" s="233"/>
      <c r="I21" s="233"/>
      <c r="J21" s="70"/>
      <c r="K21" s="283"/>
      <c r="L21" s="210"/>
    </row>
    <row r="22" spans="1:12">
      <c r="A22" s="207" t="s">
        <v>1213</v>
      </c>
      <c r="B22" s="212" t="s">
        <v>806</v>
      </c>
      <c r="C22" s="205"/>
      <c r="D22" s="272">
        <f>'Allocation ProForma'!G743</f>
        <v>32240169.296117432</v>
      </c>
      <c r="E22" s="231">
        <f t="shared" ref="E22:J22" si="4">(E14/$D$14)*$D$22</f>
        <v>15499810.004094699</v>
      </c>
      <c r="F22" s="231">
        <f t="shared" si="4"/>
        <v>488560.67834695947</v>
      </c>
      <c r="G22" s="231">
        <f t="shared" si="4"/>
        <v>2943059.2708546403</v>
      </c>
      <c r="H22" s="231">
        <f t="shared" si="4"/>
        <v>4847702.2804749617</v>
      </c>
      <c r="I22" s="231">
        <f t="shared" si="4"/>
        <v>8400384.2704546489</v>
      </c>
      <c r="J22" s="380">
        <f t="shared" si="4"/>
        <v>60652.791891521156</v>
      </c>
      <c r="K22" s="283">
        <f>SUM(E22:J22)</f>
        <v>32240169.296117432</v>
      </c>
      <c r="L22" s="206" t="str">
        <f>IF(ABS(K22-D22)&lt;0.01,"ok","err")</f>
        <v>ok</v>
      </c>
    </row>
    <row r="23" spans="1:12">
      <c r="A23" s="211"/>
      <c r="B23" s="212"/>
      <c r="C23" s="209"/>
      <c r="D23" s="271"/>
      <c r="E23" s="233"/>
      <c r="F23" s="233"/>
      <c r="G23" s="233"/>
      <c r="H23" s="233"/>
      <c r="I23" s="233"/>
      <c r="J23" s="70"/>
      <c r="K23" s="283"/>
      <c r="L23" s="210"/>
    </row>
    <row r="24" spans="1:12">
      <c r="A24" s="207" t="s">
        <v>1214</v>
      </c>
      <c r="B24" s="212" t="s">
        <v>1215</v>
      </c>
      <c r="C24" s="205"/>
      <c r="D24" s="272">
        <f>D20-D22</f>
        <v>18909206.185325198</v>
      </c>
      <c r="E24" s="231">
        <f t="shared" ref="E24:J24" si="5">E20-E22</f>
        <v>9090805.3400354963</v>
      </c>
      <c r="F24" s="231">
        <f t="shared" si="5"/>
        <v>286546.09459564876</v>
      </c>
      <c r="G24" s="231">
        <f t="shared" si="5"/>
        <v>1726135.9286635336</v>
      </c>
      <c r="H24" s="231">
        <f t="shared" si="5"/>
        <v>2843229.5471106973</v>
      </c>
      <c r="I24" s="231">
        <f t="shared" si="5"/>
        <v>4926915.759872226</v>
      </c>
      <c r="J24" s="380">
        <f t="shared" si="5"/>
        <v>35573.515047593442</v>
      </c>
      <c r="K24" s="283">
        <f>SUM(E24:J24)</f>
        <v>18909206.185325198</v>
      </c>
      <c r="L24" s="206" t="str">
        <f>IF(ABS(K24-D24)&lt;0.01,"ok","err")</f>
        <v>ok</v>
      </c>
    </row>
    <row r="25" spans="1:12">
      <c r="A25" s="211"/>
      <c r="B25" s="212"/>
      <c r="C25" s="209"/>
      <c r="D25" s="271"/>
      <c r="E25" s="233"/>
      <c r="F25" s="233"/>
      <c r="G25" s="233"/>
      <c r="H25" s="233"/>
      <c r="I25" s="233"/>
      <c r="J25" s="70"/>
      <c r="K25" s="283"/>
      <c r="L25" s="210"/>
    </row>
    <row r="26" spans="1:12">
      <c r="A26" s="207" t="s">
        <v>1216</v>
      </c>
      <c r="B26" s="212" t="s">
        <v>1217</v>
      </c>
      <c r="C26" s="209"/>
      <c r="D26" s="272">
        <f>'Allocation ProForma'!G783+'Allocation ProForma'!G979</f>
        <v>13265814.055134766</v>
      </c>
      <c r="E26" s="231">
        <f t="shared" ref="E26:J26" si="6">$D$26*(E24/$K$24)</f>
        <v>6377683.5510910191</v>
      </c>
      <c r="F26" s="231">
        <f t="shared" si="6"/>
        <v>201027.32879823213</v>
      </c>
      <c r="G26" s="231">
        <f t="shared" si="6"/>
        <v>1210976.1794923281</v>
      </c>
      <c r="H26" s="231">
        <f t="shared" si="6"/>
        <v>1994676.7790446449</v>
      </c>
      <c r="I26" s="231">
        <f t="shared" si="6"/>
        <v>3456493.5034925644</v>
      </c>
      <c r="J26" s="380">
        <f t="shared" si="6"/>
        <v>24956.713215975611</v>
      </c>
      <c r="K26" s="283">
        <f>SUM(E26:J26)</f>
        <v>13265814.055134764</v>
      </c>
      <c r="L26" s="206" t="str">
        <f>IF(ABS(K26-D26)&lt;0.01,"ok","err")</f>
        <v>ok</v>
      </c>
    </row>
    <row r="27" spans="1:12">
      <c r="A27" s="211"/>
      <c r="B27" s="212"/>
      <c r="C27" s="209"/>
      <c r="D27" s="271"/>
      <c r="E27" s="233"/>
      <c r="F27" s="233"/>
      <c r="G27" s="233"/>
      <c r="H27" s="233"/>
      <c r="I27" s="233"/>
      <c r="J27" s="70"/>
      <c r="K27" s="283"/>
      <c r="L27" s="210"/>
    </row>
    <row r="28" spans="1:12">
      <c r="A28" s="207" t="s">
        <v>1218</v>
      </c>
      <c r="B28" s="212" t="s">
        <v>984</v>
      </c>
      <c r="C28" s="205"/>
      <c r="D28" s="272">
        <f>'Allocation ProForma'!G774</f>
        <v>293489808.23622578</v>
      </c>
      <c r="E28" s="380">
        <f>'Allocation ProForma'!G182+'Allocation ProForma'!G183+'Allocation ProForma'!G184</f>
        <v>43591378.587506622</v>
      </c>
      <c r="F28" s="380">
        <f>'Allocation ProForma'!G185</f>
        <v>168422502.43944997</v>
      </c>
      <c r="G28" s="380">
        <f>'Allocation ProForma'!G194</f>
        <v>9843945.0934296139</v>
      </c>
      <c r="H28" s="380">
        <f>'Allocation ProForma'!G200+'Allocation ProForma'!G204+'Allocation ProForma'!G206+'Allocation ProForma'!G211</f>
        <v>15549876.538997941</v>
      </c>
      <c r="I28" s="380">
        <f>'Allocation ProForma'!G205+'Allocation ProForma'!G207+'Allocation ProForma'!G212+'Allocation ProForma'!G216+'Allocation ProForma'!G219</f>
        <v>37393230.61419341</v>
      </c>
      <c r="J28" s="380">
        <f>'Allocation ProForma'!G225+'Allocation ProForma'!G228</f>
        <v>18688874.962648217</v>
      </c>
      <c r="K28" s="282">
        <f t="shared" ref="K28:K32" si="7">SUM(E28:J28)</f>
        <v>293489808.23622578</v>
      </c>
      <c r="L28" s="206" t="str">
        <f>IF(ABS(K28-D28)&lt;0.01,"ok","err")</f>
        <v>ok</v>
      </c>
    </row>
    <row r="29" spans="1:12">
      <c r="A29" s="207" t="s">
        <v>1219</v>
      </c>
      <c r="B29" s="212" t="s">
        <v>1080</v>
      </c>
      <c r="C29" s="205"/>
      <c r="D29" s="363">
        <f>'Allocation ProForma'!G775</f>
        <v>71674242.206605375</v>
      </c>
      <c r="E29" s="376">
        <f>'Allocation ProForma'!G302</f>
        <v>37307575.430676922</v>
      </c>
      <c r="F29" s="376">
        <v>0</v>
      </c>
      <c r="G29" s="376">
        <f>'Allocation ProForma'!G308</f>
        <v>5230791.5018595681</v>
      </c>
      <c r="H29" s="376">
        <f>'Allocation ProForma'!G314+'Allocation ProForma'!G318+'Allocation ProForma'!G320+'Allocation ProForma'!G325</f>
        <v>10666046.542608526</v>
      </c>
      <c r="I29" s="376">
        <f>'Allocation ProForma'!G319+'Allocation ProForma'!G321+'Allocation ProForma'!G326+'Allocation ProForma'!G330+'Allocation ProForma'!G333</f>
        <v>18469828.731460355</v>
      </c>
      <c r="J29" s="376">
        <v>0</v>
      </c>
      <c r="K29" s="282">
        <f t="shared" si="7"/>
        <v>71674242.206605375</v>
      </c>
      <c r="L29" s="206" t="str">
        <f>IF(ABS(K29-D29)&lt;0.01,"ok","err")</f>
        <v>ok</v>
      </c>
    </row>
    <row r="30" spans="1:12">
      <c r="A30" s="207" t="s">
        <v>1220</v>
      </c>
      <c r="B30" s="212" t="s">
        <v>1221</v>
      </c>
      <c r="C30" s="205"/>
      <c r="D30" s="363">
        <f>'Allocation ProForma'!G780+'Allocation ProForma'!G781</f>
        <v>16345038.937533757</v>
      </c>
      <c r="E30" s="376">
        <f>'Allocation ProForma'!G417+'Allocation ProForma'!G474+'Allocation ProForma'!G359+'Allocation ProForma'!G531+'Allocation ProForma'!G589</f>
        <v>7998263.9970671255</v>
      </c>
      <c r="F30" s="376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76">
        <f>'Allocation ProForma'!G365+'Allocation ProForma'!G423+'Allocation ProForma'!G480+'Allocation ProForma'!G537+'Allocation ProForma'!G595</f>
        <v>1492320.7842309314</v>
      </c>
      <c r="H30" s="376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2509275.1244598692</v>
      </c>
      <c r="I30" s="376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4345179.0317758312</v>
      </c>
      <c r="J30" s="376">
        <v>0</v>
      </c>
      <c r="K30" s="282">
        <f t="shared" si="7"/>
        <v>16345038.937533759</v>
      </c>
      <c r="L30" s="206" t="str">
        <f>IF(ABS(K30-D30)&lt;0.01,"ok","err")</f>
        <v>ok</v>
      </c>
    </row>
    <row r="31" spans="1:12">
      <c r="A31" s="207" t="s">
        <v>1222</v>
      </c>
      <c r="B31" s="212" t="s">
        <v>1250</v>
      </c>
      <c r="C31" s="205"/>
      <c r="D31" s="270">
        <f>'Allocation ProForma'!G717+'Allocation ProForma'!G718</f>
        <v>0</v>
      </c>
      <c r="E31" s="375">
        <f t="shared" ref="E31:J31" si="8">$D$31*(E14/$K$14)</f>
        <v>0</v>
      </c>
      <c r="F31" s="375">
        <f t="shared" si="8"/>
        <v>0</v>
      </c>
      <c r="G31" s="375">
        <f t="shared" si="8"/>
        <v>0</v>
      </c>
      <c r="H31" s="375">
        <f t="shared" si="8"/>
        <v>0</v>
      </c>
      <c r="I31" s="375">
        <f t="shared" si="8"/>
        <v>0</v>
      </c>
      <c r="J31" s="375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ProForma'!G801</f>
        <v>0</v>
      </c>
      <c r="E32" s="375">
        <f>D32</f>
        <v>0</v>
      </c>
      <c r="F32" s="375">
        <v>0</v>
      </c>
      <c r="G32" s="375">
        <v>0</v>
      </c>
      <c r="H32" s="375">
        <v>0</v>
      </c>
      <c r="I32" s="375">
        <v>0</v>
      </c>
      <c r="J32" s="375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ProForma'!G788+'Allocation ProForma'!G791+'Allocation ProForma'!G792</f>
        <v>0</v>
      </c>
      <c r="E33" s="375">
        <v>0</v>
      </c>
      <c r="F33" s="375">
        <f>D33</f>
        <v>0</v>
      </c>
      <c r="G33" s="375">
        <v>0</v>
      </c>
      <c r="H33" s="375">
        <v>0</v>
      </c>
      <c r="I33" s="375">
        <v>0</v>
      </c>
      <c r="J33" s="375">
        <v>0</v>
      </c>
      <c r="K33" s="282">
        <f t="shared" ref="K33:K39" si="10">SUM(E33:J33)</f>
        <v>0</v>
      </c>
      <c r="L33" s="206" t="str">
        <f t="shared" si="9"/>
        <v>ok</v>
      </c>
    </row>
    <row r="34" spans="1:12">
      <c r="A34" s="207" t="s">
        <v>1228</v>
      </c>
      <c r="B34" s="212" t="s">
        <v>1229</v>
      </c>
      <c r="C34" s="205"/>
      <c r="D34" s="270">
        <f>'Allocation ProForma'!G799+'Allocation ProForma'!G802</f>
        <v>0</v>
      </c>
      <c r="E34" s="375">
        <v>0</v>
      </c>
      <c r="F34" s="375">
        <v>0</v>
      </c>
      <c r="G34" s="375">
        <f>D34</f>
        <v>0</v>
      </c>
      <c r="H34" s="375">
        <v>0</v>
      </c>
      <c r="I34" s="375">
        <v>0</v>
      </c>
      <c r="J34" s="375">
        <v>0</v>
      </c>
      <c r="K34" s="282">
        <f t="shared" si="10"/>
        <v>0</v>
      </c>
      <c r="L34" s="206" t="str">
        <f t="shared" si="9"/>
        <v>ok</v>
      </c>
    </row>
    <row r="35" spans="1:12">
      <c r="A35" s="207" t="s">
        <v>1230</v>
      </c>
      <c r="B35" s="212" t="s">
        <v>1231</v>
      </c>
      <c r="C35" s="205"/>
      <c r="D35" s="270">
        <f>'Allocation ProForma'!G793</f>
        <v>0</v>
      </c>
      <c r="E35" s="375">
        <v>0</v>
      </c>
      <c r="F35" s="375">
        <v>0</v>
      </c>
      <c r="G35" s="375">
        <v>0</v>
      </c>
      <c r="H35" s="375">
        <f>(H14/($I$14+$H$14)*$D$35)</f>
        <v>0</v>
      </c>
      <c r="I35" s="375">
        <f>(I14/($I$14+$H$14)*$D$35)</f>
        <v>0</v>
      </c>
      <c r="J35" s="375">
        <v>0</v>
      </c>
      <c r="K35" s="282">
        <f t="shared" si="10"/>
        <v>0</v>
      </c>
      <c r="L35" s="206" t="str">
        <f t="shared" si="9"/>
        <v>ok</v>
      </c>
    </row>
    <row r="36" spans="1:12">
      <c r="A36" s="213" t="s">
        <v>1232</v>
      </c>
      <c r="B36" s="212" t="s">
        <v>1233</v>
      </c>
      <c r="C36" s="205"/>
      <c r="D36" s="363">
        <f>'Allocation ProForma'!G800+'Allocation ProForma'!G813+'Allocation ProForma'!G976+'Allocation ProForma'!G977-'Allocation ProForma'!G966</f>
        <v>72594.555860086228</v>
      </c>
      <c r="E36" s="375">
        <f t="shared" ref="E36:J36" si="11">(E14/($D$14)*$D$36)</f>
        <v>34900.617699252587</v>
      </c>
      <c r="F36" s="375">
        <f t="shared" si="11"/>
        <v>1100.0824818736642</v>
      </c>
      <c r="G36" s="375">
        <f t="shared" si="11"/>
        <v>6626.8287450751977</v>
      </c>
      <c r="H36" s="375">
        <f t="shared" si="11"/>
        <v>10915.475993960958</v>
      </c>
      <c r="I36" s="375">
        <f t="shared" si="11"/>
        <v>18914.980239919165</v>
      </c>
      <c r="J36" s="375">
        <f t="shared" si="11"/>
        <v>136.57070000465112</v>
      </c>
      <c r="K36" s="282">
        <f t="shared" si="10"/>
        <v>72594.555860086228</v>
      </c>
      <c r="L36" s="206" t="str">
        <f t="shared" si="9"/>
        <v>ok</v>
      </c>
    </row>
    <row r="37" spans="1:12">
      <c r="A37" s="213" t="s">
        <v>1234</v>
      </c>
      <c r="B37" s="212" t="s">
        <v>1387</v>
      </c>
      <c r="C37" s="369"/>
      <c r="D37" s="363">
        <f>-'Allocation ProForma'!G767-'Allocation ProForma'!G965</f>
        <v>2431619.8147387793</v>
      </c>
      <c r="E37" s="375">
        <f>D37</f>
        <v>2431619.8147387793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282">
        <f t="shared" si="10"/>
        <v>2431619.8147387793</v>
      </c>
      <c r="L37" s="206" t="str">
        <f t="shared" si="9"/>
        <v>ok</v>
      </c>
    </row>
    <row r="38" spans="1:12">
      <c r="A38" s="207"/>
      <c r="B38" s="212"/>
      <c r="D38" s="272"/>
      <c r="E38" s="231"/>
      <c r="F38" s="231"/>
      <c r="G38" s="231"/>
      <c r="H38" s="231"/>
      <c r="I38" s="231"/>
      <c r="J38" s="231"/>
      <c r="K38" s="282"/>
      <c r="L38" s="206"/>
    </row>
    <row r="39" spans="1:12" s="45" customFormat="1">
      <c r="A39" s="207" t="s">
        <v>1235</v>
      </c>
      <c r="B39" s="212" t="s">
        <v>1388</v>
      </c>
      <c r="C39" s="205"/>
      <c r="D39" s="272">
        <f t="shared" ref="D39:J39" si="12">SUM(D32:D37)</f>
        <v>2504214.3705988657</v>
      </c>
      <c r="E39" s="360">
        <f t="shared" si="12"/>
        <v>2466520.4324380318</v>
      </c>
      <c r="F39" s="360">
        <f t="shared" si="12"/>
        <v>1100.0824818736642</v>
      </c>
      <c r="G39" s="360">
        <f t="shared" si="12"/>
        <v>6626.8287450751977</v>
      </c>
      <c r="H39" s="360">
        <f t="shared" si="12"/>
        <v>10915.475993960958</v>
      </c>
      <c r="I39" s="360">
        <f t="shared" si="12"/>
        <v>18914.980239919165</v>
      </c>
      <c r="J39" s="360">
        <f t="shared" si="12"/>
        <v>136.57070000465112</v>
      </c>
      <c r="K39" s="282">
        <f t="shared" si="10"/>
        <v>2504214.3705988657</v>
      </c>
      <c r="L39" s="206" t="str">
        <f t="shared" si="9"/>
        <v>ok</v>
      </c>
    </row>
    <row r="40" spans="1:12">
      <c r="A40" s="211"/>
      <c r="B40" s="212"/>
      <c r="C40" s="209"/>
      <c r="D40" s="230"/>
      <c r="E40" s="233"/>
      <c r="F40" s="233"/>
      <c r="G40" s="233"/>
      <c r="H40" s="233"/>
      <c r="I40" s="233"/>
      <c r="J40" s="233"/>
      <c r="K40" s="282"/>
      <c r="L40" s="210"/>
    </row>
    <row r="41" spans="1:12" s="45" customFormat="1">
      <c r="A41" s="207" t="s">
        <v>1237</v>
      </c>
      <c r="B41" s="212" t="s">
        <v>1236</v>
      </c>
      <c r="C41" s="214"/>
      <c r="D41" s="272">
        <f t="shared" ref="D41:J41" si="13">SUM(D28:D31)+D22+D26+D39+D24</f>
        <v>448428493.28754115</v>
      </c>
      <c r="E41" s="380">
        <f t="shared" si="13"/>
        <v>122332037.34290992</v>
      </c>
      <c r="F41" s="380">
        <f t="shared" si="13"/>
        <v>169399736.62367266</v>
      </c>
      <c r="G41" s="380">
        <f t="shared" si="13"/>
        <v>22453855.587275688</v>
      </c>
      <c r="H41" s="380">
        <f t="shared" si="13"/>
        <v>38421722.288690604</v>
      </c>
      <c r="I41" s="380">
        <f t="shared" si="13"/>
        <v>77010946.891488954</v>
      </c>
      <c r="J41" s="380">
        <f t="shared" si="13"/>
        <v>18810194.553503316</v>
      </c>
      <c r="K41" s="282">
        <f>SUM(E41:J41)</f>
        <v>448428493.28754121</v>
      </c>
      <c r="L41" s="206" t="str">
        <f>IF(ABS(K41-D41)&lt;0.01,"ok","err")</f>
        <v>ok</v>
      </c>
    </row>
    <row r="42" spans="1:12">
      <c r="A42" s="211"/>
      <c r="B42" s="212"/>
      <c r="C42" s="209"/>
      <c r="D42" s="273"/>
      <c r="E42" s="233"/>
      <c r="F42" s="233"/>
      <c r="G42" s="233"/>
      <c r="H42" s="233"/>
      <c r="I42" s="233"/>
      <c r="J42" s="233"/>
      <c r="K42" s="282"/>
      <c r="L42" s="210"/>
    </row>
    <row r="43" spans="1:12">
      <c r="A43" s="207" t="s">
        <v>1238</v>
      </c>
      <c r="B43" s="212" t="s">
        <v>1398</v>
      </c>
      <c r="C43" s="209"/>
      <c r="D43" s="272">
        <f>-'Allocation ProForma'!G703</f>
        <v>1955263.3745016803</v>
      </c>
      <c r="E43" s="311">
        <f>D43</f>
        <v>1955263.3745016803</v>
      </c>
      <c r="F43" s="311"/>
      <c r="G43" s="311"/>
      <c r="H43" s="311"/>
      <c r="I43" s="311"/>
      <c r="J43" s="311"/>
      <c r="K43" s="282">
        <f>SUM(E43:J43)</f>
        <v>1955263.3745016803</v>
      </c>
      <c r="L43" s="206" t="str">
        <f>IF(ABS(K43-D43)&lt;0.01,"ok","err")</f>
        <v>ok</v>
      </c>
    </row>
    <row r="44" spans="1:12">
      <c r="A44" s="207" t="s">
        <v>1240</v>
      </c>
      <c r="B44" s="212" t="s">
        <v>1239</v>
      </c>
      <c r="C44" s="205"/>
      <c r="D44" s="363">
        <f>-('Allocation ProForma'!G699+'Allocation ProForma'!G700+'Allocation ProForma'!G701+'Allocation ProForma'!G702)</f>
        <v>-15545979.971223349</v>
      </c>
      <c r="E44" s="376">
        <v>0</v>
      </c>
      <c r="F44" s="376">
        <f>D44</f>
        <v>-15545979.971223349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-15545979.971223349</v>
      </c>
      <c r="L44" s="206" t="str">
        <f>IF(ABS(K44-D44)&lt;0.01,"ok","err")</f>
        <v>ok</v>
      </c>
    </row>
    <row r="45" spans="1:12">
      <c r="A45" s="207" t="s">
        <v>1242</v>
      </c>
      <c r="B45" s="212" t="s">
        <v>1241</v>
      </c>
      <c r="C45" s="205"/>
      <c r="D45" s="364">
        <f>-('Allocation ProForma'!G698+'Allocation ProForma'!G704+'Allocation ProForma'!G705+'Allocation ProForma'!G706+'Allocation ProForma'!G707)</f>
        <v>-13505968.690819418</v>
      </c>
      <c r="E45" s="376">
        <f>-('Allocation ProForma'!G698)-(E14/($D$14)*('Allocation ProForma'!G704+'Allocation ProForma'!G705+'Allocation ProForma'!G706+'Allocation ProForma'!G707))</f>
        <v>-6493140.4890036555</v>
      </c>
      <c r="F45" s="376">
        <f>(F14/($D$14)*-('Allocation ProForma'!G704+'Allocation ProForma'!G705+'Allocation ProForma'!G706+'Allocation ProForma'!G707))</f>
        <v>-204666.58114336152</v>
      </c>
      <c r="G45" s="376">
        <f>(G14/($D$14)*-('Allocation ProForma'!G704+'Allocation ProForma'!G705+'Allocation ProForma'!G706+'Allocation ProForma'!G707))</f>
        <v>-1232898.810248351</v>
      </c>
      <c r="H45" s="376">
        <f>(H14/($D$14)*-('Allocation ProForma'!G704+'Allocation ProForma'!G705+'Allocation ProForma'!G706+'Allocation ProForma'!G707))</f>
        <v>-2030786.9546576291</v>
      </c>
      <c r="I45" s="376">
        <f>(I14/($D$14)*-('Allocation ProForma'!G704+'Allocation ProForma'!G705+'Allocation ProForma'!G706+'Allocation ProForma'!G707))</f>
        <v>-3519067.3443912538</v>
      </c>
      <c r="J45" s="376">
        <f>(J14/($D$14)*-('Allocation ProForma'!G704+'Allocation ProForma'!G705+'Allocation ProForma'!G706+'Allocation ProForma'!G707))</f>
        <v>-25408.511375165788</v>
      </c>
      <c r="K45" s="282">
        <f>SUM(E45:J45)</f>
        <v>-13505968.690819416</v>
      </c>
      <c r="L45" s="206" t="str">
        <f>IF(ABS(K45-D45)&lt;0.01,"ok","err")</f>
        <v>ok</v>
      </c>
    </row>
    <row r="46" spans="1:12">
      <c r="A46" s="207" t="s">
        <v>1244</v>
      </c>
      <c r="B46" s="212" t="s">
        <v>1243</v>
      </c>
      <c r="C46" s="205"/>
      <c r="D46" s="364">
        <f>SUM(D43:D45)</f>
        <v>-27096685.287541084</v>
      </c>
      <c r="E46" s="147">
        <f>SUM(E43:E45)</f>
        <v>-4537877.1145019755</v>
      </c>
      <c r="F46" s="147">
        <f t="shared" ref="F46:J46" si="14">SUM(F44:F45)</f>
        <v>-15750646.552366711</v>
      </c>
      <c r="G46" s="147">
        <f t="shared" si="14"/>
        <v>-1232898.810248351</v>
      </c>
      <c r="H46" s="147">
        <f t="shared" si="14"/>
        <v>-2030786.9546576291</v>
      </c>
      <c r="I46" s="147">
        <f t="shared" si="14"/>
        <v>-3519067.3443912538</v>
      </c>
      <c r="J46" s="147">
        <f t="shared" si="14"/>
        <v>-25408.511375165788</v>
      </c>
      <c r="K46" s="282">
        <f>SUM(E46:J46)</f>
        <v>-27096685.287541088</v>
      </c>
      <c r="L46" s="206" t="str">
        <f>IF(ABS(K46-D46)&lt;0.01,"ok","err")</f>
        <v>ok</v>
      </c>
    </row>
    <row r="47" spans="1:12">
      <c r="A47" s="211"/>
      <c r="B47" s="212"/>
      <c r="D47" s="274"/>
      <c r="E47" s="233"/>
      <c r="F47" s="233"/>
      <c r="G47" s="233"/>
      <c r="H47" s="233"/>
      <c r="I47" s="233"/>
      <c r="J47" s="233"/>
      <c r="K47" s="282"/>
      <c r="L47" s="210"/>
    </row>
    <row r="48" spans="1:12">
      <c r="A48" s="207" t="s">
        <v>1246</v>
      </c>
      <c r="B48" s="212" t="s">
        <v>1245</v>
      </c>
      <c r="C48" s="215">
        <f>'Allocation ProForma'!G968-SUM('Allocation ProForma'!G698:G707)-'Allocation ProForma'!G767-'Allocation ProForma'!G965-'Allocation ProForma'!G966</f>
        <v>421331808</v>
      </c>
      <c r="D48" s="272">
        <f t="shared" ref="D48:J48" si="15">D41+D46</f>
        <v>421331808.00000006</v>
      </c>
      <c r="E48" s="360">
        <f t="shared" si="15"/>
        <v>117794160.22840795</v>
      </c>
      <c r="F48" s="360">
        <f t="shared" si="15"/>
        <v>153649090.07130596</v>
      </c>
      <c r="G48" s="360">
        <f t="shared" si="15"/>
        <v>21220956.777027335</v>
      </c>
      <c r="H48" s="360">
        <f t="shared" si="15"/>
        <v>36390935.334032975</v>
      </c>
      <c r="I48" s="360">
        <f t="shared" si="15"/>
        <v>73491879.547097698</v>
      </c>
      <c r="J48" s="360">
        <f t="shared" si="15"/>
        <v>18784786.042128149</v>
      </c>
      <c r="K48" s="282">
        <f>SUM(E48:J48)</f>
        <v>421331808</v>
      </c>
      <c r="L48" s="206" t="str">
        <f>IF(ABS(K48-D48)&lt;0.01,"ok","err")</f>
        <v>ok</v>
      </c>
    </row>
    <row r="49" spans="1:12">
      <c r="A49" s="211"/>
      <c r="B49" s="212"/>
      <c r="C49" s="209"/>
      <c r="D49" s="275"/>
      <c r="E49" s="233"/>
      <c r="F49" s="233"/>
      <c r="G49" s="233"/>
      <c r="H49" s="233"/>
      <c r="I49" s="233"/>
      <c r="J49" s="233"/>
      <c r="K49" s="282"/>
      <c r="L49" s="210"/>
    </row>
    <row r="50" spans="1:12">
      <c r="A50" s="207" t="s">
        <v>1248</v>
      </c>
      <c r="B50" s="212" t="s">
        <v>1247</v>
      </c>
      <c r="C50" s="205"/>
      <c r="D50" s="276"/>
      <c r="E50" s="377">
        <f>'Allocation ProForma'!G1006</f>
        <v>4180088831</v>
      </c>
      <c r="F50" s="377">
        <f>'Allocation ProForma'!G1006</f>
        <v>4180088831</v>
      </c>
      <c r="G50" s="377">
        <f>'Allocation ProForma'!G1006</f>
        <v>4180088831</v>
      </c>
      <c r="H50" s="377">
        <f>'Allocation ProForma'!G1006</f>
        <v>4180088831</v>
      </c>
      <c r="I50" s="377">
        <f>'Allocation ProForma'!$G$1022*12</f>
        <v>4369310</v>
      </c>
      <c r="J50" s="377">
        <f>'Allocation ProForma'!$G$1022*12</f>
        <v>4369310</v>
      </c>
      <c r="K50" s="267"/>
      <c r="L50" s="210"/>
    </row>
    <row r="51" spans="1:12" ht="15.75" thickBot="1">
      <c r="A51" s="211"/>
      <c r="B51" s="212"/>
      <c r="C51" s="209"/>
      <c r="D51" s="274"/>
      <c r="E51" s="70"/>
      <c r="F51" s="70"/>
      <c r="G51" s="70"/>
      <c r="H51" s="70"/>
      <c r="I51" s="70"/>
      <c r="J51" s="70"/>
      <c r="K51" s="267"/>
      <c r="L51" s="210"/>
    </row>
    <row r="52" spans="1:12" ht="15.75" thickBot="1">
      <c r="A52" s="216" t="s">
        <v>1389</v>
      </c>
      <c r="B52" s="389" t="s">
        <v>1249</v>
      </c>
      <c r="C52" s="218"/>
      <c r="D52" s="278"/>
      <c r="E52" s="378">
        <f t="shared" ref="E52:J52" si="16">E48/E50</f>
        <v>2.8179822245602403E-2</v>
      </c>
      <c r="F52" s="378">
        <f t="shared" si="16"/>
        <v>3.675737437248399E-2</v>
      </c>
      <c r="G52" s="378">
        <f t="shared" si="16"/>
        <v>5.0766760312963635E-3</v>
      </c>
      <c r="H52" s="378">
        <f t="shared" si="16"/>
        <v>8.705780380587556E-3</v>
      </c>
      <c r="I52" s="379">
        <f t="shared" si="16"/>
        <v>16.820019533312514</v>
      </c>
      <c r="J52" s="379">
        <f t="shared" si="16"/>
        <v>4.2992568717092974</v>
      </c>
      <c r="K52" s="390">
        <f>I52+J52</f>
        <v>21.119276405021811</v>
      </c>
      <c r="L52" s="219"/>
    </row>
    <row r="54" spans="1:12">
      <c r="D54" s="259"/>
      <c r="F54" s="308"/>
      <c r="J54" s="220" t="s">
        <v>1376</v>
      </c>
      <c r="K54" s="221">
        <f>I52+J52</f>
        <v>21.119276405021811</v>
      </c>
    </row>
    <row r="55" spans="1:12">
      <c r="D55" s="259"/>
      <c r="I55" s="20"/>
      <c r="J55" s="220" t="s">
        <v>1390</v>
      </c>
      <c r="K55" s="9">
        <f>E52+G52+H52</f>
        <v>4.1962278657486321E-2</v>
      </c>
    </row>
    <row r="56" spans="1:12">
      <c r="J56" s="220" t="s">
        <v>1375</v>
      </c>
      <c r="K56" s="9">
        <f>F52</f>
        <v>3.675737437248399E-2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22</v>
      </c>
    </row>
    <row r="59" spans="1:12">
      <c r="J59" s="365" t="s">
        <v>1385</v>
      </c>
      <c r="K59" s="36">
        <f>(K54-K58)*I50</f>
        <v>-3848154.4107741513</v>
      </c>
    </row>
    <row r="60" spans="1:12">
      <c r="J60" s="365" t="s">
        <v>1386</v>
      </c>
      <c r="K60" s="371">
        <f>K59/H50</f>
        <v>-9.2059153916438654E-4</v>
      </c>
    </row>
    <row r="61" spans="1:12">
      <c r="J61" s="365" t="s">
        <v>1392</v>
      </c>
      <c r="K61">
        <v>6.9100000000000003E-3</v>
      </c>
    </row>
    <row r="62" spans="1:12">
      <c r="J62" s="365" t="s">
        <v>1393</v>
      </c>
      <c r="K62" s="370">
        <f>K60+K61+K55</f>
        <v>4.7951687118321935E-2</v>
      </c>
      <c r="L62" s="370">
        <f>K62+K56</f>
        <v>8.4709061490805926E-2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style="4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91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392"/>
      <c r="L5" s="21"/>
      <c r="M5" s="21"/>
      <c r="N5" s="21"/>
    </row>
    <row r="6" spans="1:14" ht="15.75">
      <c r="A6" s="416" t="s">
        <v>589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393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394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394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395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396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ProForma'!H176</f>
        <v>277706597.11954999</v>
      </c>
      <c r="E14" s="360">
        <f>'Allocation ProForma'!H125+'Allocation ProForma'!H126+'Allocation ProForma'!H127</f>
        <v>148956675.75723827</v>
      </c>
      <c r="F14" s="360">
        <f>'Allocation ProForma'!H128</f>
        <v>6038829.7358286763</v>
      </c>
      <c r="G14" s="360">
        <f>'Allocation ProForma'!H137</f>
        <v>32222542.034128826</v>
      </c>
      <c r="H14" s="360">
        <f>'Allocation ProForma'!H147+'Allocation ProForma'!H149+'Allocation ProForma'!H154+'Allocation ProForma'!H143</f>
        <v>45464804.678911969</v>
      </c>
      <c r="I14" s="360">
        <f>'Allocation ProForma'!H148+'Allocation ProForma'!H150+'Allocation ProForma'!H155+'Allocation ProForma'!H159+'Allocation ProForma'!H162+'Allocation ProForma'!H165</f>
        <v>44508320.510397971</v>
      </c>
      <c r="J14" s="360">
        <f>'Allocation ProForma'!H168+'Allocation ProForma'!H171</f>
        <v>515424.40304427291</v>
      </c>
      <c r="K14" s="282">
        <f>SUM(E14:J14)</f>
        <v>277706597.11954999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ProForma'!H831+'Allocation ProForma'!H832+'Allocation ProForma'!H833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277706597.11954999</v>
      </c>
      <c r="E16" s="360">
        <f t="shared" ref="E16:K16" si="1">E14+E15</f>
        <v>148956675.75723827</v>
      </c>
      <c r="F16" s="360">
        <f t="shared" si="1"/>
        <v>6038829.7358286763</v>
      </c>
      <c r="G16" s="360">
        <f t="shared" si="1"/>
        <v>32222542.034128826</v>
      </c>
      <c r="H16" s="360">
        <f t="shared" si="1"/>
        <v>45464804.678911969</v>
      </c>
      <c r="I16" s="360">
        <f t="shared" si="1"/>
        <v>44508320.510397971</v>
      </c>
      <c r="J16" s="360">
        <f t="shared" si="1"/>
        <v>515424.40304427291</v>
      </c>
      <c r="K16" s="282">
        <f t="shared" si="1"/>
        <v>277706597.11954999</v>
      </c>
      <c r="L16" s="206" t="str">
        <f>IF(ABS(K16-D16)&lt;0.01,"ok","err")</f>
        <v>ok</v>
      </c>
    </row>
    <row r="17" spans="1:12">
      <c r="A17" s="207"/>
      <c r="B17" s="208"/>
      <c r="C17" s="209"/>
      <c r="D17" s="381"/>
      <c r="E17" s="70"/>
      <c r="F17" s="70"/>
      <c r="G17" s="70"/>
      <c r="H17" s="70"/>
      <c r="I17" s="70"/>
      <c r="J17" s="70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ProForma'!H988</f>
        <v>0.11369342902805715</v>
      </c>
      <c r="E18" s="362">
        <f t="shared" ref="E18:J18" si="2">D18</f>
        <v>0.11369342902805715</v>
      </c>
      <c r="F18" s="362">
        <f t="shared" si="2"/>
        <v>0.11369342902805715</v>
      </c>
      <c r="G18" s="362">
        <f t="shared" si="2"/>
        <v>0.11369342902805715</v>
      </c>
      <c r="H18" s="362">
        <f t="shared" si="2"/>
        <v>0.11369342902805715</v>
      </c>
      <c r="I18" s="362">
        <f t="shared" si="2"/>
        <v>0.11369342902805715</v>
      </c>
      <c r="J18" s="362">
        <f t="shared" si="2"/>
        <v>0.11369342902805715</v>
      </c>
      <c r="K18" s="282"/>
      <c r="L18" s="206"/>
    </row>
    <row r="19" spans="1:12">
      <c r="A19" s="211"/>
      <c r="B19" s="204"/>
      <c r="C19" s="209"/>
      <c r="D19" s="381"/>
      <c r="E19" s="70"/>
      <c r="F19" s="70"/>
      <c r="G19" s="70"/>
      <c r="H19" s="70"/>
      <c r="I19" s="70"/>
      <c r="J19" s="70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31573415.290234819</v>
      </c>
      <c r="E20" s="380">
        <f t="shared" ref="E20:J20" si="3">E18*E16</f>
        <v>16935395.24346089</v>
      </c>
      <c r="F20" s="380">
        <f t="shared" si="3"/>
        <v>686575.25998295879</v>
      </c>
      <c r="G20" s="380">
        <f t="shared" si="3"/>
        <v>3663491.2958608139</v>
      </c>
      <c r="H20" s="380">
        <f t="shared" si="3"/>
        <v>5169049.5440363586</v>
      </c>
      <c r="I20" s="380">
        <f t="shared" si="3"/>
        <v>5060303.5791069521</v>
      </c>
      <c r="J20" s="380">
        <f t="shared" si="3"/>
        <v>58600.367786842769</v>
      </c>
      <c r="K20" s="282">
        <f>SUM(E20:J20)</f>
        <v>31573415.290234819</v>
      </c>
      <c r="L20" s="206" t="str">
        <f>IF(ABS(K20-D20)&lt;0.01,"ok","err")</f>
        <v>ok</v>
      </c>
    </row>
    <row r="21" spans="1:12">
      <c r="A21" s="211"/>
      <c r="B21" s="204"/>
      <c r="C21" s="209"/>
      <c r="D21" s="381"/>
      <c r="E21" s="70"/>
      <c r="F21" s="70"/>
      <c r="G21" s="70"/>
      <c r="H21" s="70"/>
      <c r="I21" s="70"/>
      <c r="J21" s="70"/>
      <c r="K21" s="282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ProForma'!H743</f>
        <v>7241147.2646080162</v>
      </c>
      <c r="E22" s="380">
        <f t="shared" ref="E22:J22" si="4">(E14/$D$14)*$D$22</f>
        <v>3884017.2916032486</v>
      </c>
      <c r="F22" s="380">
        <f t="shared" si="4"/>
        <v>157461.34905180114</v>
      </c>
      <c r="G22" s="380">
        <f t="shared" si="4"/>
        <v>840196.72031306941</v>
      </c>
      <c r="H22" s="380">
        <f t="shared" si="4"/>
        <v>1185486.2270157603</v>
      </c>
      <c r="I22" s="380">
        <f t="shared" si="4"/>
        <v>1160546.082300745</v>
      </c>
      <c r="J22" s="380">
        <f t="shared" si="4"/>
        <v>13439.594323391437</v>
      </c>
      <c r="K22" s="282">
        <f>SUM(E22:J22)</f>
        <v>7241147.2646080144</v>
      </c>
      <c r="L22" s="206" t="str">
        <f>IF(ABS(K22-D22)&lt;0.01,"ok","err")</f>
        <v>ok</v>
      </c>
    </row>
    <row r="23" spans="1:12">
      <c r="A23" s="211"/>
      <c r="B23" s="204"/>
      <c r="C23" s="209"/>
      <c r="D23" s="381"/>
      <c r="E23" s="70"/>
      <c r="F23" s="70"/>
      <c r="G23" s="70"/>
      <c r="H23" s="70"/>
      <c r="I23" s="70"/>
      <c r="J23" s="70"/>
      <c r="K23" s="282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24332268.025626801</v>
      </c>
      <c r="E24" s="380">
        <f t="shared" ref="E24:J24" si="5">E20-E22</f>
        <v>13051377.951857641</v>
      </c>
      <c r="F24" s="380">
        <f t="shared" si="5"/>
        <v>529113.91093115765</v>
      </c>
      <c r="G24" s="380">
        <f t="shared" si="5"/>
        <v>2823294.5755477445</v>
      </c>
      <c r="H24" s="380">
        <f t="shared" si="5"/>
        <v>3983563.3170205983</v>
      </c>
      <c r="I24" s="380">
        <f t="shared" si="5"/>
        <v>3899757.4968062071</v>
      </c>
      <c r="J24" s="380">
        <f t="shared" si="5"/>
        <v>45160.773463451333</v>
      </c>
      <c r="K24" s="282">
        <f>SUM(E24:J24)</f>
        <v>24332268.025626801</v>
      </c>
      <c r="L24" s="206" t="str">
        <f>IF(ABS(K24-D24)&lt;0.01,"ok","err")</f>
        <v>ok</v>
      </c>
    </row>
    <row r="25" spans="1:12">
      <c r="A25" s="211"/>
      <c r="B25" s="204"/>
      <c r="C25" s="209"/>
      <c r="D25" s="381"/>
      <c r="E25" s="70"/>
      <c r="F25" s="70"/>
      <c r="G25" s="70"/>
      <c r="H25" s="70"/>
      <c r="I25" s="70"/>
      <c r="J25" s="70"/>
      <c r="K25" s="282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ProForma'!H783+'Allocation ProForma'!H979</f>
        <v>19059725.798523657</v>
      </c>
      <c r="E26" s="380">
        <f t="shared" ref="E26:J26" si="6">$D$26*(E24/$K$24)</f>
        <v>10223283.94514288</v>
      </c>
      <c r="F26" s="380">
        <f t="shared" si="6"/>
        <v>414460.58575020765</v>
      </c>
      <c r="G26" s="380">
        <f t="shared" si="6"/>
        <v>2211516.8385341289</v>
      </c>
      <c r="H26" s="380">
        <f t="shared" si="6"/>
        <v>3120367.7537788469</v>
      </c>
      <c r="I26" s="380">
        <f t="shared" si="6"/>
        <v>3054721.7584312549</v>
      </c>
      <c r="J26" s="380">
        <f t="shared" si="6"/>
        <v>35374.916886337109</v>
      </c>
      <c r="K26" s="282">
        <f>SUM(E26:J26)</f>
        <v>19059725.798523653</v>
      </c>
      <c r="L26" s="206" t="str">
        <f>IF(ABS(K26-D26)&lt;0.01,"ok","err")</f>
        <v>ok</v>
      </c>
    </row>
    <row r="27" spans="1:12">
      <c r="A27" s="211"/>
      <c r="B27" s="204"/>
      <c r="C27" s="209"/>
      <c r="D27" s="381"/>
      <c r="E27" s="70"/>
      <c r="F27" s="70"/>
      <c r="G27" s="70"/>
      <c r="H27" s="70"/>
      <c r="I27" s="70"/>
      <c r="J27" s="70"/>
      <c r="K27" s="282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ProForma'!H774</f>
        <v>83910875.257454872</v>
      </c>
      <c r="E28" s="380">
        <f>'Allocation ProForma'!H182+'Allocation ProForma'!H183+'Allocation ProForma'!H184</f>
        <v>11013755.840310615</v>
      </c>
      <c r="F28" s="380">
        <f>'Allocation ProForma'!H185</f>
        <v>54731283.690887347</v>
      </c>
      <c r="G28" s="380">
        <f>'Allocation ProForma'!H194</f>
        <v>2833552.1934413416</v>
      </c>
      <c r="H28" s="380">
        <f>'Allocation ProForma'!H200+'Allocation ProForma'!H204+'Allocation ProForma'!H206+'Allocation ProForma'!H211</f>
        <v>3973426.4059843761</v>
      </c>
      <c r="I28" s="380">
        <f>'Allocation ProForma'!H205+'Allocation ProForma'!H207+'Allocation ProForma'!H212+'Allocation ProForma'!H216+'Allocation ProForma'!H219</f>
        <v>6715037.5579638947</v>
      </c>
      <c r="J28" s="380">
        <f>'Allocation ProForma'!H225+'Allocation ProForma'!H228</f>
        <v>4643819.5688673081</v>
      </c>
      <c r="K28" s="282">
        <f t="shared" ref="K28:K39" si="7">SUM(E28:J28)</f>
        <v>83910875.257454887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ProForma'!H775</f>
        <v>16120549.93106997</v>
      </c>
      <c r="E29" s="376">
        <f>'Allocation ProForma'!H302</f>
        <v>9426096.170888491</v>
      </c>
      <c r="F29" s="376">
        <v>0</v>
      </c>
      <c r="G29" s="376">
        <f>'Allocation ProForma'!H308</f>
        <v>1505668.7733276098</v>
      </c>
      <c r="H29" s="376">
        <f>'Allocation ProForma'!H314+'Allocation ProForma'!H318+'Allocation ProForma'!H320+'Allocation ProForma'!H325</f>
        <v>2629569.8616695604</v>
      </c>
      <c r="I29" s="376">
        <f>'Allocation ProForma'!H319+'Allocation ProForma'!H321+'Allocation ProForma'!H326+'Allocation ProForma'!H330+'Allocation ProForma'!H333</f>
        <v>2559215.1251843106</v>
      </c>
      <c r="J29" s="376">
        <v>0</v>
      </c>
      <c r="K29" s="282">
        <f t="shared" si="7"/>
        <v>16120549.931069972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ProForma'!H780+'Allocation ProForma'!H781</f>
        <v>3671098.4022868439</v>
      </c>
      <c r="E30" s="376">
        <f>'Allocation ProForma'!H417+'Allocation ProForma'!H474+'Allocation ProForma'!H359+'Allocation ProForma'!H531+'Allocation ProForma'!H589</f>
        <v>2020833.6984160261</v>
      </c>
      <c r="F30" s="37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76">
        <f>'Allocation ProForma'!H365+'Allocation ProForma'!H423+'Allocation ProForma'!H480+'Allocation ProForma'!H537+'Allocation ProForma'!H595</f>
        <v>429560.3837020623</v>
      </c>
      <c r="H30" s="37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618627.9251227699</v>
      </c>
      <c r="I30" s="37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602076.39504598558</v>
      </c>
      <c r="J30" s="376">
        <v>0</v>
      </c>
      <c r="K30" s="282">
        <f t="shared" si="7"/>
        <v>3671098.4022868439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364">
        <f>'Allocation ProForma'!H717+'Allocation ProForma'!H718</f>
        <v>0</v>
      </c>
      <c r="E31" s="376">
        <f t="shared" ref="E31:J31" si="8">$D$31*(E14/$K$14)</f>
        <v>0</v>
      </c>
      <c r="F31" s="376">
        <f t="shared" si="8"/>
        <v>0</v>
      </c>
      <c r="G31" s="376">
        <f t="shared" si="8"/>
        <v>0</v>
      </c>
      <c r="H31" s="376">
        <f t="shared" si="8"/>
        <v>0</v>
      </c>
      <c r="I31" s="376">
        <f t="shared" si="8"/>
        <v>0</v>
      </c>
      <c r="J31" s="376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364">
        <f>'Allocation ProForma'!H801</f>
        <v>0</v>
      </c>
      <c r="E32" s="376">
        <f>D32</f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364">
        <f>'Allocation ProForma'!H788+'Allocation ProForma'!H791+'Allocation ProForma'!H792</f>
        <v>0</v>
      </c>
      <c r="E33" s="376">
        <v>0</v>
      </c>
      <c r="F33" s="376">
        <f>D33</f>
        <v>0</v>
      </c>
      <c r="G33" s="376">
        <v>0</v>
      </c>
      <c r="H33" s="376">
        <v>0</v>
      </c>
      <c r="I33" s="376">
        <v>0</v>
      </c>
      <c r="J33" s="376">
        <v>0</v>
      </c>
      <c r="K33" s="282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364">
        <f>'Allocation ProForma'!H799+'Allocation ProForma'!H802</f>
        <v>0</v>
      </c>
      <c r="E34" s="376">
        <v>0</v>
      </c>
      <c r="F34" s="376">
        <v>0</v>
      </c>
      <c r="G34" s="376">
        <f>D34</f>
        <v>0</v>
      </c>
      <c r="H34" s="376">
        <v>0</v>
      </c>
      <c r="I34" s="376">
        <v>0</v>
      </c>
      <c r="J34" s="376">
        <v>0</v>
      </c>
      <c r="K34" s="282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364">
        <f>'Allocation ProForma'!H793</f>
        <v>0</v>
      </c>
      <c r="E35" s="376">
        <v>0</v>
      </c>
      <c r="F35" s="376">
        <v>0</v>
      </c>
      <c r="G35" s="376">
        <v>0</v>
      </c>
      <c r="H35" s="376">
        <f>(H14/($I$14+$H$14)*$D$35)</f>
        <v>0</v>
      </c>
      <c r="I35" s="376">
        <f>(I14/($I$14+$H$14)*$D$35)</f>
        <v>0</v>
      </c>
      <c r="J35" s="376">
        <v>0</v>
      </c>
      <c r="K35" s="282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ProForma'!H800+'Allocation ProForma'!H813+'Allocation ProForma'!H976+'Allocation ProForma'!H977-'Allocation ProForma'!H966</f>
        <v>-1003538.466139096</v>
      </c>
      <c r="E36" s="376">
        <f t="shared" ref="E36:J36" si="10">(E14/($D$14)*$D$36)</f>
        <v>-538279.44838575891</v>
      </c>
      <c r="F36" s="376">
        <f t="shared" si="10"/>
        <v>-21822.304522927181</v>
      </c>
      <c r="G36" s="376">
        <f t="shared" si="10"/>
        <v>-116441.45563496143</v>
      </c>
      <c r="H36" s="376">
        <f t="shared" si="10"/>
        <v>-164294.54980195337</v>
      </c>
      <c r="I36" s="376">
        <f t="shared" si="10"/>
        <v>-160838.13693559408</v>
      </c>
      <c r="J36" s="376">
        <f t="shared" si="10"/>
        <v>-1862.5708579009324</v>
      </c>
      <c r="K36" s="282">
        <f t="shared" si="7"/>
        <v>-1003538.4661390958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ProForma'!H767-'Allocation ProForma'!H965</f>
        <v>1629684.4230277296</v>
      </c>
      <c r="E37" s="376">
        <f>D37</f>
        <v>1629684.4230277296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282">
        <f t="shared" si="7"/>
        <v>1629684.4230277296</v>
      </c>
      <c r="L37" s="206" t="str">
        <f t="shared" si="9"/>
        <v>ok</v>
      </c>
    </row>
    <row r="38" spans="1:12">
      <c r="A38" s="207"/>
      <c r="B38" s="204"/>
      <c r="D38" s="272"/>
      <c r="E38" s="380"/>
      <c r="F38" s="380"/>
      <c r="G38" s="380"/>
      <c r="H38" s="380"/>
      <c r="I38" s="380"/>
      <c r="J38" s="380"/>
      <c r="K38" s="282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626145.95688863366</v>
      </c>
      <c r="E39" s="360">
        <f t="shared" si="11"/>
        <v>1091404.9746419708</v>
      </c>
      <c r="F39" s="360">
        <f t="shared" si="11"/>
        <v>-21822.304522927181</v>
      </c>
      <c r="G39" s="360">
        <f t="shared" si="11"/>
        <v>-116441.45563496143</v>
      </c>
      <c r="H39" s="360">
        <f t="shared" si="11"/>
        <v>-164294.54980195337</v>
      </c>
      <c r="I39" s="360">
        <f t="shared" si="11"/>
        <v>-160838.13693559408</v>
      </c>
      <c r="J39" s="360">
        <f t="shared" si="11"/>
        <v>-1862.5708579009324</v>
      </c>
      <c r="K39" s="282">
        <f t="shared" si="7"/>
        <v>626145.95688863401</v>
      </c>
      <c r="L39" s="206" t="str">
        <f t="shared" si="9"/>
        <v>ok</v>
      </c>
    </row>
    <row r="40" spans="1:12">
      <c r="A40" s="211"/>
      <c r="B40" s="204"/>
      <c r="C40" s="209"/>
      <c r="D40" s="272"/>
      <c r="E40" s="70"/>
      <c r="F40" s="70"/>
      <c r="G40" s="70"/>
      <c r="H40" s="70"/>
      <c r="I40" s="70"/>
      <c r="J40" s="70"/>
      <c r="K40" s="397"/>
      <c r="L40" s="210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154961810.63645878</v>
      </c>
      <c r="E41" s="380">
        <f t="shared" si="12"/>
        <v>50710769.872860871</v>
      </c>
      <c r="F41" s="380">
        <f t="shared" si="12"/>
        <v>55810497.232097588</v>
      </c>
      <c r="G41" s="380">
        <f t="shared" si="12"/>
        <v>10527348.029230993</v>
      </c>
      <c r="H41" s="380">
        <f t="shared" si="12"/>
        <v>15346746.940789958</v>
      </c>
      <c r="I41" s="380">
        <f t="shared" si="12"/>
        <v>17830516.278796803</v>
      </c>
      <c r="J41" s="380">
        <f t="shared" si="12"/>
        <v>4735932.2826825865</v>
      </c>
      <c r="K41" s="282">
        <f>SUM(E41:J41)</f>
        <v>154961810.63645881</v>
      </c>
      <c r="L41" s="206" t="str">
        <f>IF(ABS(K41-D41)&lt;0.01,"ok","err")</f>
        <v>ok</v>
      </c>
    </row>
    <row r="42" spans="1:12">
      <c r="A42" s="211"/>
      <c r="B42" s="204"/>
      <c r="C42" s="209"/>
      <c r="D42" s="382"/>
      <c r="E42" s="70"/>
      <c r="F42" s="70"/>
      <c r="G42" s="70"/>
      <c r="H42" s="70"/>
      <c r="I42" s="70"/>
      <c r="J42" s="70"/>
      <c r="K42" s="397"/>
      <c r="L42" s="210"/>
    </row>
    <row r="43" spans="1:12">
      <c r="A43" s="207" t="s">
        <v>1238</v>
      </c>
      <c r="B43" s="204" t="s">
        <v>1398</v>
      </c>
      <c r="C43" s="209"/>
      <c r="D43" s="272">
        <f>-'Allocation ProForma'!H703</f>
        <v>494014.96598768351</v>
      </c>
      <c r="E43" s="311">
        <f>D43</f>
        <v>494014.96598768351</v>
      </c>
      <c r="F43" s="311"/>
      <c r="G43" s="311"/>
      <c r="H43" s="311"/>
      <c r="I43" s="311"/>
      <c r="J43" s="311"/>
      <c r="K43" s="282">
        <f>SUM(E43:J43)</f>
        <v>494014.96598768351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ProForma'!H699+'Allocation ProForma'!H700+'Allocation ProForma'!H701+'Allocation ProForma'!H702)</f>
        <v>-5051886.9375175666</v>
      </c>
      <c r="E44" s="376">
        <v>0</v>
      </c>
      <c r="F44" s="376">
        <f>D44</f>
        <v>-5051886.9375175666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-5051886.9375175666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ProForma'!H698+'Allocation ProForma'!H704+'Allocation ProForma'!H705+'Allocation ProForma'!H706+'Allocation ProForma'!H707)</f>
        <v>-2397398.6649289047</v>
      </c>
      <c r="E45" s="376">
        <f>-('Allocation ProForma'!H698)-(E14/($D$14)*('Allocation ProForma'!H704+'Allocation ProForma'!H705+'Allocation ProForma'!H706+'Allocation ProForma'!H707))</f>
        <v>-1285920.245671798</v>
      </c>
      <c r="F45" s="376">
        <f>(F14/($D$14)*-('Allocation ProForma'!H704+'Allocation ProForma'!H705+'Allocation ProForma'!H706+'Allocation ProForma'!H707))</f>
        <v>-52132.29536702804</v>
      </c>
      <c r="G45" s="376">
        <f>(G14/($D$14)*-('Allocation ProForma'!H704+'Allocation ProForma'!H705+'Allocation ProForma'!H706+'Allocation ProForma'!H707))</f>
        <v>-278172.28706302744</v>
      </c>
      <c r="H45" s="376">
        <f>(H14/($D$14)*-('Allocation ProForma'!H704+'Allocation ProForma'!H705+'Allocation ProForma'!H706+'Allocation ProForma'!H707))</f>
        <v>-392490.71923039231</v>
      </c>
      <c r="I45" s="376">
        <f>(I14/($D$14)*-('Allocation ProForma'!H704+'Allocation ProForma'!H705+'Allocation ProForma'!H706+'Allocation ProForma'!H707))</f>
        <v>-384233.53739745967</v>
      </c>
      <c r="J45" s="376">
        <f>(J14/($D$14)*-('Allocation ProForma'!H704+'Allocation ProForma'!H705+'Allocation ProForma'!H706+'Allocation ProForma'!H707))</f>
        <v>-4449.580199199122</v>
      </c>
      <c r="K45" s="282">
        <f>SUM(E45:J45)</f>
        <v>-2397398.6649289047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-6955270.6364587881</v>
      </c>
      <c r="E46" s="147">
        <f>SUM(E43:E45)</f>
        <v>-791905.2796841145</v>
      </c>
      <c r="F46" s="147">
        <f t="shared" ref="F46:I46" si="13">SUM(F43:F45)</f>
        <v>-5104019.2328845942</v>
      </c>
      <c r="G46" s="147">
        <f t="shared" si="13"/>
        <v>-278172.28706302744</v>
      </c>
      <c r="H46" s="147">
        <f t="shared" si="13"/>
        <v>-392490.71923039231</v>
      </c>
      <c r="I46" s="147">
        <f t="shared" si="13"/>
        <v>-384233.53739745967</v>
      </c>
      <c r="J46" s="147">
        <f>SUM(J43:J45)</f>
        <v>-4449.580199199122</v>
      </c>
      <c r="K46" s="282">
        <f>SUM(E46:J46)</f>
        <v>-6955270.6364587871</v>
      </c>
      <c r="L46" s="206" t="str">
        <f>IF(ABS(K46-D46)&lt;0.01,"ok","err")</f>
        <v>ok</v>
      </c>
    </row>
    <row r="47" spans="1:12">
      <c r="A47" s="211"/>
      <c r="B47" s="204"/>
      <c r="D47" s="276"/>
      <c r="E47" s="70"/>
      <c r="F47" s="70"/>
      <c r="G47" s="70"/>
      <c r="H47" s="70"/>
      <c r="I47" s="70"/>
      <c r="J47" s="70"/>
      <c r="K47" s="397"/>
      <c r="L47" s="210"/>
    </row>
    <row r="48" spans="1:12">
      <c r="A48" s="207" t="s">
        <v>1246</v>
      </c>
      <c r="B48" s="204" t="s">
        <v>1245</v>
      </c>
      <c r="C48" s="215">
        <f>'Allocation ProForma'!H968-SUM('Allocation ProForma'!H698:H707)-'Allocation ProForma'!H767-'Allocation ProForma'!H965-'Allocation ProForma'!H966</f>
        <v>148006540</v>
      </c>
      <c r="D48" s="272">
        <f t="shared" ref="D48:J48" si="14">D41+D46</f>
        <v>148006540</v>
      </c>
      <c r="E48" s="360">
        <f t="shared" si="14"/>
        <v>49918864.59317676</v>
      </c>
      <c r="F48" s="360">
        <f t="shared" si="14"/>
        <v>50706477.999212995</v>
      </c>
      <c r="G48" s="360">
        <f t="shared" si="14"/>
        <v>10249175.742167966</v>
      </c>
      <c r="H48" s="360">
        <f t="shared" si="14"/>
        <v>14954256.221559566</v>
      </c>
      <c r="I48" s="360">
        <f t="shared" si="14"/>
        <v>17446282.741399344</v>
      </c>
      <c r="J48" s="360">
        <f t="shared" si="14"/>
        <v>4731482.7024833877</v>
      </c>
      <c r="K48" s="282">
        <f>SUM(E48:J48)</f>
        <v>148006540.00000003</v>
      </c>
      <c r="L48" s="206" t="str">
        <f>IF(ABS(K48-D48)&lt;0.01,"ok","err")</f>
        <v>ok</v>
      </c>
    </row>
    <row r="49" spans="1:12">
      <c r="A49" s="211"/>
      <c r="B49" s="204"/>
      <c r="C49" s="209"/>
      <c r="D49" s="383"/>
      <c r="E49" s="70"/>
      <c r="F49" s="70"/>
      <c r="G49" s="70"/>
      <c r="H49" s="70"/>
      <c r="I49" s="70"/>
      <c r="J49" s="70"/>
      <c r="K49" s="397"/>
      <c r="L49" s="210"/>
    </row>
    <row r="50" spans="1:12">
      <c r="A50" s="207" t="s">
        <v>1248</v>
      </c>
      <c r="B50" s="204" t="s">
        <v>1247</v>
      </c>
      <c r="C50" s="205"/>
      <c r="D50" s="276"/>
      <c r="E50" s="377">
        <f>'Allocation ProForma'!H1006</f>
        <v>1358379221</v>
      </c>
      <c r="F50" s="377">
        <f>'Allocation ProForma'!H1006</f>
        <v>1358379221</v>
      </c>
      <c r="G50" s="377">
        <f>'Allocation ProForma'!H1006</f>
        <v>1358379221</v>
      </c>
      <c r="H50" s="377">
        <f>'Allocation ProForma'!H1006</f>
        <v>1358379221</v>
      </c>
      <c r="I50" s="377">
        <f>'Allocation ProForma'!$H$1022*12</f>
        <v>542844</v>
      </c>
      <c r="J50" s="377">
        <f>'Allocation ProForma'!$H$1022*12</f>
        <v>542844</v>
      </c>
      <c r="K50" s="397"/>
      <c r="L50" s="210"/>
    </row>
    <row r="51" spans="1:12" ht="15.75" thickBot="1">
      <c r="A51" s="211"/>
      <c r="B51" s="204"/>
      <c r="C51" s="209"/>
      <c r="D51" s="276"/>
      <c r="E51" s="70"/>
      <c r="F51" s="70"/>
      <c r="G51" s="70"/>
      <c r="H51" s="70"/>
      <c r="I51" s="70"/>
      <c r="J51" s="70"/>
      <c r="K51" s="39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378">
        <f t="shared" ref="E52:J52" si="15">E48/E50</f>
        <v>3.6748842901489553E-2</v>
      </c>
      <c r="F52" s="378">
        <f t="shared" si="15"/>
        <v>3.7328661404202233E-2</v>
      </c>
      <c r="G52" s="378">
        <f t="shared" si="15"/>
        <v>7.5451505615808934E-3</v>
      </c>
      <c r="H52" s="378">
        <f t="shared" si="15"/>
        <v>1.10088964777823E-2</v>
      </c>
      <c r="I52" s="379">
        <f t="shared" si="15"/>
        <v>32.138667354524216</v>
      </c>
      <c r="J52" s="379">
        <f t="shared" si="15"/>
        <v>8.7161002101586966</v>
      </c>
      <c r="K52" s="390">
        <f>I52+J52</f>
        <v>40.854767564682916</v>
      </c>
      <c r="L52" s="219"/>
    </row>
    <row r="54" spans="1:12">
      <c r="D54" s="259"/>
      <c r="F54" s="308"/>
      <c r="J54" s="220" t="s">
        <v>1376</v>
      </c>
      <c r="K54" s="398">
        <f>I52+J52</f>
        <v>40.854767564682916</v>
      </c>
    </row>
    <row r="55" spans="1:12">
      <c r="D55" s="259"/>
      <c r="I55" s="20"/>
      <c r="J55" s="220" t="s">
        <v>1390</v>
      </c>
      <c r="K55" s="399">
        <f>E52+G52+H52</f>
        <v>5.5302889940852751E-2</v>
      </c>
    </row>
    <row r="56" spans="1:12">
      <c r="J56" s="220" t="s">
        <v>1375</v>
      </c>
      <c r="K56" s="399">
        <f>F52</f>
        <v>3.7328661404202233E-2</v>
      </c>
    </row>
    <row r="57" spans="1:12">
      <c r="I57" s="8"/>
      <c r="J57" s="233"/>
      <c r="K57" s="400"/>
    </row>
    <row r="58" spans="1:12">
      <c r="J58" s="365" t="s">
        <v>1384</v>
      </c>
      <c r="K58" s="318">
        <v>38.409999999999997</v>
      </c>
    </row>
    <row r="59" spans="1:12">
      <c r="J59" s="365" t="s">
        <v>1385</v>
      </c>
      <c r="K59" s="311">
        <f>(K54-K58)*I50</f>
        <v>1327127.4038827349</v>
      </c>
    </row>
    <row r="60" spans="1:12">
      <c r="J60" s="365" t="s">
        <v>1386</v>
      </c>
      <c r="K60" s="401">
        <f>K59/H50</f>
        <v>9.7699330449544253E-4</v>
      </c>
    </row>
    <row r="61" spans="1:12">
      <c r="J61" s="365" t="s">
        <v>1392</v>
      </c>
      <c r="K61" s="61">
        <v>8.6899999999999998E-3</v>
      </c>
    </row>
    <row r="62" spans="1:12">
      <c r="J62" s="365" t="s">
        <v>1393</v>
      </c>
      <c r="K62" s="402">
        <f>K60+K61+K55</f>
        <v>6.4969883245348192E-2</v>
      </c>
      <c r="L62" s="370">
        <f>K62+K56</f>
        <v>0.10229854464955043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1351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ProForma'!K176</f>
        <v>275721267.25815135</v>
      </c>
      <c r="E14" s="360">
        <f>'Allocation ProForma'!K125+'Allocation ProForma'!K126+'Allocation ProForma'!K127</f>
        <v>190822586.63253492</v>
      </c>
      <c r="F14" s="360">
        <f>'Allocation ProForma'!K128</f>
        <v>8333269.1657637507</v>
      </c>
      <c r="G14" s="360">
        <f>'Allocation ProForma'!K137</f>
        <v>33229731.704195406</v>
      </c>
      <c r="H14" s="360">
        <f>'Allocation ProForma'!K147+'Allocation ProForma'!K149+'Allocation ProForma'!K154+'Allocation ProForma'!K143</f>
        <v>39432704.356715143</v>
      </c>
      <c r="I14" s="360">
        <f>'Allocation ProForma'!K148+'Allocation ProForma'!K150+'Allocation ProForma'!K155+'Allocation ProForma'!K159+'Allocation ProForma'!K162+'Allocation ProForma'!K165</f>
        <v>3827944.7736145188</v>
      </c>
      <c r="J14" s="360">
        <f>'Allocation ProForma'!K168+'Allocation ProForma'!K171</f>
        <v>75030.625327587695</v>
      </c>
      <c r="K14" s="282">
        <f>SUM(E14:J14)</f>
        <v>275721267.25815129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ProForma'!K831+'Allocation ProForma'!K832+'Allocation ProForma'!K833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275721267.25815135</v>
      </c>
      <c r="E16" s="360">
        <f t="shared" ref="E16:K16" si="1">E14+E15</f>
        <v>190822586.63253492</v>
      </c>
      <c r="F16" s="360">
        <f t="shared" si="1"/>
        <v>8333269.1657637507</v>
      </c>
      <c r="G16" s="360">
        <f t="shared" si="1"/>
        <v>33229731.704195406</v>
      </c>
      <c r="H16" s="360">
        <f t="shared" si="1"/>
        <v>39432704.356715143</v>
      </c>
      <c r="I16" s="360">
        <f t="shared" si="1"/>
        <v>3827944.7736145188</v>
      </c>
      <c r="J16" s="360">
        <f t="shared" si="1"/>
        <v>75030.625327587695</v>
      </c>
      <c r="K16" s="282">
        <f t="shared" si="1"/>
        <v>275721267.25815129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ProForma'!K988</f>
        <v>0.123352953697192</v>
      </c>
      <c r="E18" s="362">
        <f t="shared" ref="E18:J18" si="2">D18</f>
        <v>0.123352953697192</v>
      </c>
      <c r="F18" s="362">
        <f t="shared" si="2"/>
        <v>0.123352953697192</v>
      </c>
      <c r="G18" s="362">
        <f t="shared" si="2"/>
        <v>0.123352953697192</v>
      </c>
      <c r="H18" s="362">
        <f t="shared" si="2"/>
        <v>0.123352953697192</v>
      </c>
      <c r="I18" s="362">
        <f t="shared" si="2"/>
        <v>0.123352953697192</v>
      </c>
      <c r="J18" s="362">
        <f t="shared" si="2"/>
        <v>0.123352953697192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34011032.713425845</v>
      </c>
      <c r="E20" s="231">
        <f t="shared" ref="E20:J20" si="3">E18*E16</f>
        <v>23538529.693261489</v>
      </c>
      <c r="F20" s="231">
        <f t="shared" si="3"/>
        <v>1027933.3655506937</v>
      </c>
      <c r="G20" s="231">
        <f t="shared" si="3"/>
        <v>4098985.5562777291</v>
      </c>
      <c r="H20" s="231">
        <f t="shared" si="3"/>
        <v>4864140.5546689443</v>
      </c>
      <c r="I20" s="231">
        <f t="shared" si="3"/>
        <v>472188.29441507987</v>
      </c>
      <c r="J20" s="231">
        <f t="shared" si="3"/>
        <v>9255.2492519052867</v>
      </c>
      <c r="K20" s="283">
        <f>SUM(E20:J20)</f>
        <v>34011032.713425837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ProForma'!K743</f>
        <v>7138109.2931845216</v>
      </c>
      <c r="E22" s="231">
        <f t="shared" ref="E22:J22" si="4">(E14/$D$14)*$D$22</f>
        <v>4940179.2344001234</v>
      </c>
      <c r="F22" s="231">
        <f t="shared" si="4"/>
        <v>215738.83895961125</v>
      </c>
      <c r="G22" s="231">
        <f t="shared" si="4"/>
        <v>860279.87266453099</v>
      </c>
      <c r="H22" s="231">
        <f t="shared" si="4"/>
        <v>1020867.7633870287</v>
      </c>
      <c r="I22" s="231">
        <f t="shared" si="4"/>
        <v>99101.126416743995</v>
      </c>
      <c r="J22" s="231">
        <f t="shared" si="4"/>
        <v>1942.4573564825946</v>
      </c>
      <c r="K22" s="283">
        <f>SUM(E22:J22)</f>
        <v>7138109.2931845207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26872923.420241322</v>
      </c>
      <c r="E24" s="231">
        <f t="shared" ref="E24:J24" si="5">E20-E22</f>
        <v>18598350.458861366</v>
      </c>
      <c r="F24" s="231">
        <f t="shared" si="5"/>
        <v>812194.52659108245</v>
      </c>
      <c r="G24" s="231">
        <f t="shared" si="5"/>
        <v>3238705.6836131979</v>
      </c>
      <c r="H24" s="231">
        <f t="shared" si="5"/>
        <v>3843272.7912819157</v>
      </c>
      <c r="I24" s="231">
        <f t="shared" si="5"/>
        <v>373087.16799833591</v>
      </c>
      <c r="J24" s="231">
        <f t="shared" si="5"/>
        <v>7312.7918954226916</v>
      </c>
      <c r="K24" s="283">
        <f>SUM(E24:J24)</f>
        <v>26872923.420241322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ProForma'!K783+'Allocation ProForma'!K979</f>
        <v>20387151.870420597</v>
      </c>
      <c r="E26" s="231">
        <f t="shared" ref="E26:J26" si="6">$D$26*(E24/$K$24)</f>
        <v>14109644.470557135</v>
      </c>
      <c r="F26" s="231">
        <f t="shared" si="6"/>
        <v>616171.63503188605</v>
      </c>
      <c r="G26" s="231">
        <f t="shared" si="6"/>
        <v>2457045.093414838</v>
      </c>
      <c r="H26" s="231">
        <f t="shared" si="6"/>
        <v>2915700.1212715874</v>
      </c>
      <c r="I26" s="231">
        <f t="shared" si="6"/>
        <v>283042.69825582276</v>
      </c>
      <c r="J26" s="231">
        <f t="shared" si="6"/>
        <v>5547.8518893284036</v>
      </c>
      <c r="K26" s="283">
        <f>SUM(E26:J26)</f>
        <v>20387151.870420597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ProForma'!K774</f>
        <v>97709046.942771271</v>
      </c>
      <c r="E28" s="231">
        <f>'Allocation ProForma'!K182+'Allocation ProForma'!K183+'Allocation ProForma'!K184</f>
        <v>14109292.969268836</v>
      </c>
      <c r="F28" s="231">
        <f>'Allocation ProForma'!K185</f>
        <v>75526308.694867209</v>
      </c>
      <c r="G28" s="231">
        <f>'Allocation ProForma'!K194</f>
        <v>2922121.3850279599</v>
      </c>
      <c r="H28" s="231">
        <f>'Allocation ProForma'!K200+'Allocation ProForma'!K204+'Allocation ProForma'!K206+'Allocation ProForma'!K211</f>
        <v>3318331.8762687957</v>
      </c>
      <c r="I28" s="231">
        <f>'Allocation ProForma'!K205+'Allocation ProForma'!K207+'Allocation ProForma'!K212+'Allocation ProForma'!K216+'Allocation ProForma'!K219</f>
        <v>1108202.5511708749</v>
      </c>
      <c r="J28" s="231">
        <f>'Allocation ProForma'!K225+'Allocation ProForma'!K228</f>
        <v>724789.4661675964</v>
      </c>
      <c r="K28" s="283">
        <f t="shared" ref="K28:K39" si="7">SUM(E28:J28)</f>
        <v>97709046.942771271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ProForma'!K775</f>
        <v>16123530.106293637</v>
      </c>
      <c r="E29" s="231">
        <f>'Allocation ProForma'!K302</f>
        <v>12075404.100098344</v>
      </c>
      <c r="F29" s="231">
        <v>0</v>
      </c>
      <c r="G29" s="231">
        <f>'Allocation ProForma'!K308</f>
        <v>1552731.9142005795</v>
      </c>
      <c r="H29" s="231">
        <f>'Allocation ProForma'!K314+'Allocation ProForma'!K318+'Allocation ProForma'!K320+'Allocation ProForma'!K325</f>
        <v>2279919.7216096604</v>
      </c>
      <c r="I29" s="231">
        <f>'Allocation ProForma'!K319+'Allocation ProForma'!K321+'Allocation ProForma'!K326+'Allocation ProForma'!K330+'Allocation ProForma'!K333</f>
        <v>215474.37038505517</v>
      </c>
      <c r="J29" s="231">
        <v>0</v>
      </c>
      <c r="K29" s="283">
        <f t="shared" si="7"/>
        <v>16123530.106293637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ProForma'!K780+'Allocation ProForma'!K781</f>
        <v>3618860.4738971717</v>
      </c>
      <c r="E30" s="231">
        <f>'Allocation ProForma'!K417+'Allocation ProForma'!K474+'Allocation ProForma'!K359+'Allocation ProForma'!K531+'Allocation ProForma'!K589</f>
        <v>2588811.2199442633</v>
      </c>
      <c r="F30" s="231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1">
        <f>'Allocation ProForma'!K365+'Allocation ProForma'!K423+'Allocation ProForma'!K480+'Allocation ProForma'!K537+'Allocation ProForma'!K595</f>
        <v>442987.28157611302</v>
      </c>
      <c r="H30" s="231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536369.85553613154</v>
      </c>
      <c r="I30" s="231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50692.116840663955</v>
      </c>
      <c r="J30" s="231">
        <v>0</v>
      </c>
      <c r="K30" s="283">
        <f t="shared" si="7"/>
        <v>3618860.4738971717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ProForma'!K717+'Allocation ProForma'!K718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ProForma'!K801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ProForma'!K788+'Allocation ProForma'!K791+'Allocation ProForma'!K792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ProForma'!K799+'Allocation ProForma'!K802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ProForma'!K793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ProForma'!K800+'Allocation ProForma'!K813+'Allocation ProForma'!K976+'Allocation ProForma'!K977-'Allocation ProForma'!K966</f>
        <v>-1132493.5899463145</v>
      </c>
      <c r="E36" s="231">
        <f t="shared" ref="E36:J36" si="10">(E14/($D$14)*$D$36)</f>
        <v>-783781.96331147233</v>
      </c>
      <c r="F36" s="231">
        <f t="shared" si="10"/>
        <v>-34227.950594354144</v>
      </c>
      <c r="G36" s="231">
        <f t="shared" si="10"/>
        <v>-136487.32477137039</v>
      </c>
      <c r="H36" s="231">
        <f t="shared" si="10"/>
        <v>-161965.32593336893</v>
      </c>
      <c r="I36" s="231">
        <f t="shared" si="10"/>
        <v>-15722.845618318099</v>
      </c>
      <c r="J36" s="231">
        <f t="shared" si="10"/>
        <v>-308.17971743035565</v>
      </c>
      <c r="K36" s="283">
        <f t="shared" si="7"/>
        <v>-1132493.5899463142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ProForma'!K767-'Allocation ProForma'!K965</f>
        <v>722520.08553154883</v>
      </c>
      <c r="E37" s="231">
        <f>D37</f>
        <v>722520.08553154883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722520.08553154883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-409973.50441476563</v>
      </c>
      <c r="E39" s="360">
        <f t="shared" si="11"/>
        <v>-61261.877779923496</v>
      </c>
      <c r="F39" s="360">
        <f t="shared" si="11"/>
        <v>-34227.950594354144</v>
      </c>
      <c r="G39" s="360">
        <f t="shared" si="11"/>
        <v>-136487.32477137039</v>
      </c>
      <c r="H39" s="360">
        <f t="shared" si="11"/>
        <v>-161965.32593336893</v>
      </c>
      <c r="I39" s="360">
        <f t="shared" si="11"/>
        <v>-15722.845618318099</v>
      </c>
      <c r="J39" s="360">
        <f t="shared" si="11"/>
        <v>-308.17971743035565</v>
      </c>
      <c r="K39" s="283">
        <f t="shared" si="7"/>
        <v>-409973.50441476546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171439648.60239375</v>
      </c>
      <c r="E41" s="231">
        <f t="shared" si="12"/>
        <v>66360420.575350143</v>
      </c>
      <c r="F41" s="231">
        <f t="shared" si="12"/>
        <v>77136185.744855419</v>
      </c>
      <c r="G41" s="231">
        <f t="shared" si="12"/>
        <v>11337383.905725848</v>
      </c>
      <c r="H41" s="231">
        <f t="shared" si="12"/>
        <v>13752496.803421751</v>
      </c>
      <c r="I41" s="231">
        <f t="shared" si="12"/>
        <v>2113877.1854491788</v>
      </c>
      <c r="J41" s="231">
        <f t="shared" si="12"/>
        <v>739284.38759139983</v>
      </c>
      <c r="K41" s="283">
        <f>SUM(E41:J41)</f>
        <v>171439648.60239372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272">
        <f>-'Allocation ProForma'!K703</f>
        <v>632863.30180050828</v>
      </c>
      <c r="E43" s="311">
        <f>D43</f>
        <v>632863.30180050828</v>
      </c>
      <c r="F43" s="311"/>
      <c r="G43" s="311"/>
      <c r="H43" s="311"/>
      <c r="I43" s="311"/>
      <c r="J43" s="311"/>
      <c r="K43" s="283">
        <f>SUM(E43:J43)</f>
        <v>632863.30180050828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272">
        <f>-('Allocation ProForma'!K699+'Allocation ProForma'!K700+'Allocation ProForma'!K701+'Allocation ProForma'!K702)</f>
        <v>-6971339.727557797</v>
      </c>
      <c r="E44" s="231">
        <v>0</v>
      </c>
      <c r="F44" s="231">
        <f>D44</f>
        <v>-6971339.727557797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-6971339.727557797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ProForma'!K698+'Allocation ProForma'!K704+'Allocation ProForma'!K705+'Allocation ProForma'!K706+'Allocation ProForma'!K707)</f>
        <v>-1898793.1766364689</v>
      </c>
      <c r="E45" s="231">
        <f>-('Allocation ProForma'!K698)-(E14/($D$14)*('Allocation ProForma'!K704+'Allocation ProForma'!K705+'Allocation ProForma'!K706+'Allocation ProForma'!K707))</f>
        <v>-1314126.5055434958</v>
      </c>
      <c r="F45" s="231">
        <f>(F14/($D$14)*-('Allocation ProForma'!K704+'Allocation ProForma'!K705+'Allocation ProForma'!K706+'Allocation ProForma'!K707))</f>
        <v>-57388.226843642202</v>
      </c>
      <c r="G45" s="231">
        <f>(G14/($D$14)*-('Allocation ProForma'!K704+'Allocation ProForma'!K705+'Allocation ProForma'!K706+'Allocation ProForma'!K707))</f>
        <v>-228841.20782134339</v>
      </c>
      <c r="H45" s="231">
        <f>(H14/($D$14)*-('Allocation ProForma'!K704+'Allocation ProForma'!K705+'Allocation ProForma'!K706+'Allocation ProForma'!K707))</f>
        <v>-271558.84895433398</v>
      </c>
      <c r="I45" s="231">
        <f>(I14/($D$14)*-('Allocation ProForma'!K704+'Allocation ProForma'!K705+'Allocation ProForma'!K706+'Allocation ProForma'!K707))</f>
        <v>-26361.678549356071</v>
      </c>
      <c r="J45" s="231">
        <f>(J14/($D$14)*-('Allocation ProForma'!K704+'Allocation ProForma'!K705+'Allocation ProForma'!K706+'Allocation ProForma'!K707))</f>
        <v>-516.70892429709386</v>
      </c>
      <c r="K45" s="283">
        <f>SUM(E45:J45)</f>
        <v>-1898793.1766364684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-8237269.6023937576</v>
      </c>
      <c r="E46" s="147">
        <f t="shared" ref="E46:J46" si="13">SUM(E43:E45)</f>
        <v>-681263.20374298748</v>
      </c>
      <c r="F46" s="147">
        <f t="shared" si="13"/>
        <v>-7028727.9544014391</v>
      </c>
      <c r="G46" s="147">
        <f t="shared" si="13"/>
        <v>-228841.20782134339</v>
      </c>
      <c r="H46" s="147">
        <f t="shared" si="13"/>
        <v>-271558.84895433398</v>
      </c>
      <c r="I46" s="147">
        <f t="shared" si="13"/>
        <v>-26361.678549356071</v>
      </c>
      <c r="J46" s="147">
        <f t="shared" si="13"/>
        <v>-516.70892429709386</v>
      </c>
      <c r="K46" s="283">
        <f>SUM(E46:J46)</f>
        <v>-8237269.6023937566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ProForma'!K968-SUM('Allocation ProForma'!K698:K707)-'Allocation ProForma'!K767-'Allocation ProForma'!K965-'Allocation ProForma'!K966</f>
        <v>163202379</v>
      </c>
      <c r="D48" s="272">
        <f t="shared" ref="D48:J48" si="14">D41+D46</f>
        <v>163202379</v>
      </c>
      <c r="E48" s="231">
        <f t="shared" si="14"/>
        <v>65679157.371607155</v>
      </c>
      <c r="F48" s="231">
        <f t="shared" si="14"/>
        <v>70107457.790453985</v>
      </c>
      <c r="G48" s="231">
        <f t="shared" si="14"/>
        <v>11108542.697904505</v>
      </c>
      <c r="H48" s="231">
        <f t="shared" si="14"/>
        <v>13480937.954467416</v>
      </c>
      <c r="I48" s="231">
        <f t="shared" si="14"/>
        <v>2087515.5068998227</v>
      </c>
      <c r="J48" s="231">
        <f t="shared" si="14"/>
        <v>738767.67866710271</v>
      </c>
      <c r="K48" s="283">
        <f>SUM(E48:J48)</f>
        <v>163202379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1707425+2343665+826350</f>
        <v>4877440</v>
      </c>
      <c r="F50" s="277">
        <f>'Allocation ProForma'!K1006</f>
        <v>1874492273</v>
      </c>
      <c r="G50" s="277">
        <f>E50</f>
        <v>4877440</v>
      </c>
      <c r="H50" s="277">
        <f>E50</f>
        <v>4877440</v>
      </c>
      <c r="I50" s="277">
        <f>'Allocation ProForma'!$K$1022*12</f>
        <v>33890</v>
      </c>
      <c r="J50" s="277">
        <f>'Allocation ProForma'!$K$1022*12</f>
        <v>33890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13.465907806473714</v>
      </c>
      <c r="F52" s="279">
        <f t="shared" si="15"/>
        <v>3.7400771825136236E-2</v>
      </c>
      <c r="G52" s="280">
        <f t="shared" si="15"/>
        <v>2.2775354894995132</v>
      </c>
      <c r="H52" s="280">
        <f t="shared" si="15"/>
        <v>2.76393722003088</v>
      </c>
      <c r="I52" s="280">
        <f t="shared" si="15"/>
        <v>61.596798669218728</v>
      </c>
      <c r="J52" s="280">
        <f t="shared" si="15"/>
        <v>21.798987272561309</v>
      </c>
      <c r="K52" s="265">
        <f>I52+J52</f>
        <v>83.395785941780034</v>
      </c>
    </row>
    <row r="54" spans="1:12">
      <c r="D54" s="259"/>
      <c r="F54" s="308"/>
      <c r="J54" s="372" t="s">
        <v>1376</v>
      </c>
      <c r="K54" s="221">
        <f>I52+J52</f>
        <v>83.395785941780034</v>
      </c>
    </row>
    <row r="55" spans="1:12">
      <c r="D55" s="259"/>
      <c r="I55" s="20"/>
      <c r="J55" s="372" t="s">
        <v>1394</v>
      </c>
      <c r="K55" s="3">
        <f>E52+G52+H52</f>
        <v>18.507380516004108</v>
      </c>
    </row>
    <row r="56" spans="1:12">
      <c r="J56" s="372" t="s">
        <v>1395</v>
      </c>
      <c r="K56" s="9">
        <f>F52</f>
        <v>3.7400771825136236E-2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</row>
    <row r="66" spans="5:5">
      <c r="E66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1352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ProForma'!J176</f>
        <v>21749592.64590745</v>
      </c>
      <c r="E14" s="360">
        <f>'Allocation ProForma'!J125+'Allocation ProForma'!J126+'Allocation ProForma'!J127</f>
        <v>15070097.633056402</v>
      </c>
      <c r="F14" s="360">
        <f>'Allocation ProForma'!J128</f>
        <v>719234.73728128499</v>
      </c>
      <c r="G14" s="360">
        <f>'Allocation ProForma'!J137</f>
        <v>2863001.0756241339</v>
      </c>
      <c r="H14" s="360">
        <f>'Allocation ProForma'!J147+'Allocation ProForma'!J149+'Allocation ProForma'!J154+'Allocation ProForma'!J143</f>
        <v>2859350.6916707503</v>
      </c>
      <c r="I14" s="360">
        <f>'Allocation ProForma'!J148+'Allocation ProForma'!J150+'Allocation ProForma'!J155+'Allocation ProForma'!J159+'Allocation ProForma'!J162+'Allocation ProForma'!J165</f>
        <v>235995.65904846406</v>
      </c>
      <c r="J14" s="360">
        <f>'Allocation ProForma'!J168+'Allocation ProForma'!J171</f>
        <v>1912.8492264100255</v>
      </c>
      <c r="K14" s="282">
        <f>SUM(E14:J14)</f>
        <v>21749592.645907447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ProForma'!J831+'Allocation ProForma'!J832+'Allocation ProForma'!J833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21749592.64590745</v>
      </c>
      <c r="E16" s="360">
        <f t="shared" ref="E16:K16" si="1">E14+E15</f>
        <v>15070097.633056402</v>
      </c>
      <c r="F16" s="360">
        <f t="shared" si="1"/>
        <v>719234.73728128499</v>
      </c>
      <c r="G16" s="360">
        <f t="shared" si="1"/>
        <v>2863001.0756241339</v>
      </c>
      <c r="H16" s="360">
        <f t="shared" si="1"/>
        <v>2859350.6916707503</v>
      </c>
      <c r="I16" s="360">
        <f t="shared" si="1"/>
        <v>235995.65904846406</v>
      </c>
      <c r="J16" s="360">
        <f t="shared" si="1"/>
        <v>1912.8492264100255</v>
      </c>
      <c r="K16" s="282">
        <f t="shared" si="1"/>
        <v>21749592.645907447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ProForma'!J988</f>
        <v>9.9988009722540683E-2</v>
      </c>
      <c r="E18" s="362">
        <f t="shared" ref="E18:J18" si="2">D18</f>
        <v>9.9988009722540683E-2</v>
      </c>
      <c r="F18" s="362">
        <f t="shared" si="2"/>
        <v>9.9988009722540683E-2</v>
      </c>
      <c r="G18" s="362">
        <f t="shared" si="2"/>
        <v>9.9988009722540683E-2</v>
      </c>
      <c r="H18" s="362">
        <f t="shared" si="2"/>
        <v>9.9988009722540683E-2</v>
      </c>
      <c r="I18" s="362">
        <f t="shared" si="2"/>
        <v>9.9988009722540683E-2</v>
      </c>
      <c r="J18" s="362">
        <f t="shared" si="2"/>
        <v>9.9988009722540683E-2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2174698.4809402935</v>
      </c>
      <c r="E20" s="231">
        <f t="shared" ref="E20:J20" si="3">E18*E16</f>
        <v>1506829.0686536808</v>
      </c>
      <c r="F20" s="231">
        <f t="shared" si="3"/>
        <v>71914.849904070114</v>
      </c>
      <c r="G20" s="231">
        <f t="shared" si="3"/>
        <v>286265.77938515035</v>
      </c>
      <c r="H20" s="231">
        <f t="shared" si="3"/>
        <v>285900.78475892841</v>
      </c>
      <c r="I20" s="231">
        <f t="shared" si="3"/>
        <v>23596.736251415219</v>
      </c>
      <c r="J20" s="231">
        <f t="shared" si="3"/>
        <v>191.26198704804006</v>
      </c>
      <c r="K20" s="283">
        <f>SUM(E20:J20)</f>
        <v>2174698.4809402931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ProForma'!J743</f>
        <v>561174.6281117684</v>
      </c>
      <c r="E22" s="231">
        <f t="shared" ref="E22:J22" si="4">(E14/$D$14)*$D$22</f>
        <v>388832.8656320736</v>
      </c>
      <c r="F22" s="231">
        <f t="shared" si="4"/>
        <v>18557.418191224733</v>
      </c>
      <c r="G22" s="231">
        <f t="shared" si="4"/>
        <v>73870.053111053698</v>
      </c>
      <c r="H22" s="231">
        <f t="shared" si="4"/>
        <v>73775.867307629422</v>
      </c>
      <c r="I22" s="231">
        <f t="shared" si="4"/>
        <v>6089.0692694161025</v>
      </c>
      <c r="J22" s="231">
        <f t="shared" si="4"/>
        <v>49.354600370711587</v>
      </c>
      <c r="K22" s="283">
        <f>SUM(E22:J22)</f>
        <v>561174.6281117684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1613523.852828525</v>
      </c>
      <c r="E24" s="231">
        <f t="shared" ref="E24:J24" si="5">E20-E22</f>
        <v>1117996.2030216074</v>
      </c>
      <c r="F24" s="231">
        <f t="shared" si="5"/>
        <v>53357.431712845384</v>
      </c>
      <c r="G24" s="231">
        <f t="shared" si="5"/>
        <v>212395.72627409664</v>
      </c>
      <c r="H24" s="231">
        <f t="shared" si="5"/>
        <v>212124.91745129897</v>
      </c>
      <c r="I24" s="231">
        <f t="shared" si="5"/>
        <v>17507.666981999115</v>
      </c>
      <c r="J24" s="231">
        <f t="shared" si="5"/>
        <v>141.90738667732847</v>
      </c>
      <c r="K24" s="283">
        <f>SUM(E24:J24)</f>
        <v>1613523.8528285248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ProForma'!J783+'Allocation ProForma'!J979</f>
        <v>1208417.9594351004</v>
      </c>
      <c r="E26" s="231">
        <f t="shared" ref="E26:J26" si="6">$D$26*(E24/$K$24)</f>
        <v>837301.96361413039</v>
      </c>
      <c r="F26" s="231">
        <f t="shared" si="6"/>
        <v>39961.03226990017</v>
      </c>
      <c r="G26" s="231">
        <f t="shared" si="6"/>
        <v>159069.73404015522</v>
      </c>
      <c r="H26" s="231">
        <f t="shared" si="6"/>
        <v>158866.91692997213</v>
      </c>
      <c r="I26" s="231">
        <f t="shared" si="6"/>
        <v>13112.033746367581</v>
      </c>
      <c r="J26" s="231">
        <f t="shared" si="6"/>
        <v>106.27883457487953</v>
      </c>
      <c r="K26" s="283">
        <f>SUM(E26:J26)</f>
        <v>1208417.9594351004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ProForma'!J774</f>
        <v>8319396.9247090695</v>
      </c>
      <c r="E28" s="231">
        <f>'Allocation ProForma'!J182+'Allocation ProForma'!J183+'Allocation ProForma'!J184</f>
        <v>1114272.8244729959</v>
      </c>
      <c r="F28" s="231">
        <f>'Allocation ProForma'!J185</f>
        <v>6518587.5688679339</v>
      </c>
      <c r="G28" s="231">
        <f>'Allocation ProForma'!J194</f>
        <v>251763.59360683861</v>
      </c>
      <c r="H28" s="231">
        <f>'Allocation ProForma'!J200+'Allocation ProForma'!J204+'Allocation ProForma'!J206+'Allocation ProForma'!J211</f>
        <v>275110.31310087681</v>
      </c>
      <c r="I28" s="231">
        <f>'Allocation ProForma'!J205+'Allocation ProForma'!J207+'Allocation ProForma'!J212+'Allocation ProForma'!J216+'Allocation ProForma'!J219</f>
        <v>141184.66364629511</v>
      </c>
      <c r="J28" s="231">
        <f>'Allocation ProForma'!J225+'Allocation ProForma'!J228</f>
        <v>18477.961014128159</v>
      </c>
      <c r="K28" s="283">
        <f t="shared" ref="K28:K39" si="7">SUM(E28:J28)</f>
        <v>8319396.9247090695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ProForma'!J775</f>
        <v>1265471.5202498345</v>
      </c>
      <c r="E29" s="231">
        <f>'Allocation ProForma'!J302</f>
        <v>953647.68897889345</v>
      </c>
      <c r="F29" s="231">
        <v>0</v>
      </c>
      <c r="G29" s="231">
        <f>'Allocation ProForma'!J308</f>
        <v>133779.9889594329</v>
      </c>
      <c r="H29" s="231">
        <f>'Allocation ProForma'!J314+'Allocation ProForma'!J318+'Allocation ProForma'!J320+'Allocation ProForma'!J325</f>
        <v>165312.54043609501</v>
      </c>
      <c r="I29" s="231">
        <f>'Allocation ProForma'!J319+'Allocation ProForma'!J321+'Allocation ProForma'!J326+'Allocation ProForma'!J330+'Allocation ProForma'!J333</f>
        <v>12731.301875413201</v>
      </c>
      <c r="J29" s="231">
        <v>0</v>
      </c>
      <c r="K29" s="283">
        <f t="shared" si="7"/>
        <v>1265471.5202498345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ProForma'!J780+'Allocation ProForma'!J781</f>
        <v>284502.88405735773</v>
      </c>
      <c r="E30" s="231">
        <f>'Allocation ProForma'!J417+'Allocation ProForma'!J474+'Allocation ProForma'!J359+'Allocation ProForma'!J531+'Allocation ProForma'!J589</f>
        <v>204449.79038692135</v>
      </c>
      <c r="F30" s="231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1">
        <f>'Allocation ProForma'!J365+'Allocation ProForma'!J423+'Allocation ProForma'!J480+'Allocation ProForma'!J537+'Allocation ProForma'!J595</f>
        <v>38166.816239449123</v>
      </c>
      <c r="H30" s="231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38891.134013007126</v>
      </c>
      <c r="I30" s="231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2995.1434179801277</v>
      </c>
      <c r="J30" s="231">
        <v>0</v>
      </c>
      <c r="K30" s="283">
        <f t="shared" si="7"/>
        <v>284502.88405735767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ProForma'!J717+'Allocation ProForma'!J718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ProForma'!J801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6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ProForma'!J788+'Allocation ProForma'!J791+'Allocation ProForma'!J792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ProForma'!J799+'Allocation ProForma'!J802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ProForma'!J793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ProForma'!J800+'Allocation ProForma'!J813+'Allocation ProForma'!J976+'Allocation ProForma'!J977-'Allocation ProForma'!J966</f>
        <v>-60632.626063266434</v>
      </c>
      <c r="E36" s="231">
        <f t="shared" ref="E36:J36" si="10">(E14/($D$14)*$D$36)</f>
        <v>-42011.802675943953</v>
      </c>
      <c r="F36" s="231">
        <f t="shared" si="10"/>
        <v>-2005.0532250080375</v>
      </c>
      <c r="G36" s="231">
        <f t="shared" si="10"/>
        <v>-7981.3574655482935</v>
      </c>
      <c r="H36" s="231">
        <f t="shared" si="10"/>
        <v>-7971.1810742550751</v>
      </c>
      <c r="I36" s="231">
        <f t="shared" si="10"/>
        <v>-657.89905956386383</v>
      </c>
      <c r="J36" s="231">
        <f t="shared" si="10"/>
        <v>-5.3325629472031206</v>
      </c>
      <c r="K36" s="283">
        <f t="shared" si="7"/>
        <v>-60632.62606326642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ProForma'!J767-'Allocation ProForma'!J965</f>
        <v>58476.512554133384</v>
      </c>
      <c r="E37" s="231">
        <f>D37</f>
        <v>58476.512554133384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58476.512554133384</v>
      </c>
      <c r="L37" s="206" t="str">
        <f>IF(ABS(K37-D37)&lt;0.01,"ok","err")</f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-2156.1135091330507</v>
      </c>
      <c r="E39" s="360">
        <f t="shared" si="11"/>
        <v>16464.709878189431</v>
      </c>
      <c r="F39" s="360">
        <f t="shared" si="11"/>
        <v>-2005.0532250080375</v>
      </c>
      <c r="G39" s="360">
        <f t="shared" si="11"/>
        <v>-7981.3574655482935</v>
      </c>
      <c r="H39" s="360">
        <f t="shared" si="11"/>
        <v>-7971.1810742550751</v>
      </c>
      <c r="I39" s="360">
        <f t="shared" si="11"/>
        <v>-657.89905956386383</v>
      </c>
      <c r="J39" s="360">
        <f t="shared" si="11"/>
        <v>-5.3325629472031206</v>
      </c>
      <c r="K39" s="283">
        <f t="shared" si="7"/>
        <v>-2156.1135091330425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13250331.655882522</v>
      </c>
      <c r="E41" s="231">
        <f t="shared" si="12"/>
        <v>4632966.0459848121</v>
      </c>
      <c r="F41" s="231">
        <f t="shared" si="12"/>
        <v>6628458.3978168955</v>
      </c>
      <c r="G41" s="231">
        <f t="shared" si="12"/>
        <v>861064.55476547789</v>
      </c>
      <c r="H41" s="231">
        <f t="shared" si="12"/>
        <v>916110.50816462445</v>
      </c>
      <c r="I41" s="231">
        <f t="shared" si="12"/>
        <v>192961.97987790735</v>
      </c>
      <c r="J41" s="231">
        <f t="shared" si="12"/>
        <v>18770.16927280388</v>
      </c>
      <c r="K41" s="283">
        <f>SUM(E41:J41)</f>
        <v>13250331.655882522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ProForma'!J703</f>
        <v>49979.994060545898</v>
      </c>
      <c r="E43" s="311">
        <f>D43</f>
        <v>49979.994060545898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49979.994060545898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ProForma'!J699+'Allocation ProForma'!J700+'Allocation ProForma'!J701+'Allocation ProForma'!J702)</f>
        <v>-601688.19675814186</v>
      </c>
      <c r="E44" s="375">
        <v>0</v>
      </c>
      <c r="F44" s="375">
        <f>D44</f>
        <v>-601688.19675814186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-601688.19675814186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ProForma'!J698+'Allocation ProForma'!J704+'Allocation ProForma'!J705+'Allocation ProForma'!J706+'Allocation ProForma'!J707)</f>
        <v>-146253.45318492834</v>
      </c>
      <c r="E45" s="375">
        <f>-('Allocation ProForma'!J698)-(E14/($D$14)*('Allocation ProForma'!J704+'Allocation ProForma'!J705+'Allocation ProForma'!J706+'Allocation ProForma'!J707))</f>
        <v>-101337.70570104188</v>
      </c>
      <c r="F45" s="375">
        <f>(F14/($D$14)*-('Allocation ProForma'!J704+'Allocation ProForma'!J705+'Allocation ProForma'!J706+'Allocation ProForma'!J707))</f>
        <v>-4836.4383503861172</v>
      </c>
      <c r="G45" s="375">
        <f>(G14/($D$14)*-('Allocation ProForma'!J704+'Allocation ProForma'!J705+'Allocation ProForma'!J706+'Allocation ProForma'!J707))</f>
        <v>-19252.029249429808</v>
      </c>
      <c r="H45" s="375">
        <f>(H14/($D$14)*-('Allocation ProForma'!J704+'Allocation ProForma'!J705+'Allocation ProForma'!J706+'Allocation ProForma'!J707))</f>
        <v>-19227.482524931333</v>
      </c>
      <c r="I45" s="375">
        <f>(I14/($D$14)*-('Allocation ProForma'!J704+'Allocation ProForma'!J705+'Allocation ProForma'!J706+'Allocation ProForma'!J707))</f>
        <v>-1586.9345524954215</v>
      </c>
      <c r="J45" s="375">
        <f>(J14/($D$14)*-('Allocation ProForma'!J704+'Allocation ProForma'!J705+'Allocation ProForma'!J706+'Allocation ProForma'!J707))</f>
        <v>-12.862806643747726</v>
      </c>
      <c r="K45" s="283">
        <f>SUM(E45:J45)</f>
        <v>-146253.45318492831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-697961.65588252433</v>
      </c>
      <c r="E46" s="147">
        <f t="shared" ref="E46:J46" si="13">SUM(E43:E45)</f>
        <v>-51357.711640495982</v>
      </c>
      <c r="F46" s="147">
        <f t="shared" si="13"/>
        <v>-606524.63510852796</v>
      </c>
      <c r="G46" s="147">
        <f t="shared" si="13"/>
        <v>-19252.029249429808</v>
      </c>
      <c r="H46" s="147">
        <f t="shared" si="13"/>
        <v>-19227.482524931333</v>
      </c>
      <c r="I46" s="147">
        <f t="shared" si="13"/>
        <v>-1586.9345524954215</v>
      </c>
      <c r="J46" s="147">
        <f t="shared" si="13"/>
        <v>-12.862806643747726</v>
      </c>
      <c r="K46" s="283">
        <f>SUM(E46:J46)</f>
        <v>-697961.65588252421</v>
      </c>
      <c r="L46" s="206" t="str">
        <f>IF(ABS(K46-D46)&lt;0.01,"ok","err")</f>
        <v>ok</v>
      </c>
    </row>
    <row r="47" spans="1:12">
      <c r="A47" s="211"/>
      <c r="B47" s="204"/>
      <c r="D47" s="403"/>
      <c r="E47" s="277"/>
      <c r="F47" s="277"/>
      <c r="G47" s="277"/>
      <c r="H47" s="277"/>
      <c r="I47" s="277"/>
      <c r="J47" s="277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ProForma'!J968-SUM('Allocation ProForma'!J698:J707)-'Allocation ProForma'!J767-'Allocation ProForma'!J965-'Allocation ProForma'!J966</f>
        <v>12552370</v>
      </c>
      <c r="D48" s="272">
        <f t="shared" ref="D48:J48" si="14">D41+D46</f>
        <v>12552369.999999998</v>
      </c>
      <c r="E48" s="231">
        <f t="shared" si="14"/>
        <v>4581608.3343443163</v>
      </c>
      <c r="F48" s="231">
        <f t="shared" si="14"/>
        <v>6021933.7627083678</v>
      </c>
      <c r="G48" s="231">
        <f t="shared" si="14"/>
        <v>841812.52551604807</v>
      </c>
      <c r="H48" s="231">
        <f t="shared" si="14"/>
        <v>896883.02563969314</v>
      </c>
      <c r="I48" s="231">
        <f t="shared" si="14"/>
        <v>191375.04532541192</v>
      </c>
      <c r="J48" s="231">
        <f t="shared" si="14"/>
        <v>18757.306466160131</v>
      </c>
      <c r="K48" s="283">
        <f>SUM(E48:J48)</f>
        <v>12552369.999999996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386443</v>
      </c>
      <c r="F50" s="277">
        <f>'Allocation ProForma'!J1006</f>
        <v>165297553</v>
      </c>
      <c r="G50" s="277">
        <f>E50</f>
        <v>386443</v>
      </c>
      <c r="H50" s="277">
        <f>E50</f>
        <v>386443</v>
      </c>
      <c r="I50" s="277">
        <f>'Allocation ProForma'!$J$1022*12</f>
        <v>864</v>
      </c>
      <c r="J50" s="277">
        <f>'Allocation ProForma'!$J$1022*12</f>
        <v>864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11.855845064716702</v>
      </c>
      <c r="F52" s="279">
        <f t="shared" si="15"/>
        <v>3.6430870593156132E-2</v>
      </c>
      <c r="G52" s="280">
        <f t="shared" si="15"/>
        <v>2.1783614285057515</v>
      </c>
      <c r="H52" s="280">
        <f t="shared" si="15"/>
        <v>2.3208675681528534</v>
      </c>
      <c r="I52" s="280">
        <f t="shared" si="15"/>
        <v>221.4988950525601</v>
      </c>
      <c r="J52" s="280">
        <f t="shared" si="15"/>
        <v>21.709845446944595</v>
      </c>
      <c r="K52" s="265">
        <f>I52+J52</f>
        <v>243.2087404995047</v>
      </c>
    </row>
    <row r="54" spans="1:12">
      <c r="D54" s="259"/>
      <c r="F54" s="308"/>
      <c r="J54" s="372" t="s">
        <v>1376</v>
      </c>
      <c r="K54" s="221">
        <f>I52+J52</f>
        <v>243.2087404995047</v>
      </c>
    </row>
    <row r="55" spans="1:12">
      <c r="D55" s="259"/>
      <c r="I55" s="20"/>
      <c r="J55" s="372" t="s">
        <v>1394</v>
      </c>
      <c r="K55" s="3">
        <f>E52+G52+H52</f>
        <v>16.355074061375305</v>
      </c>
    </row>
    <row r="56" spans="1:12">
      <c r="J56" s="372" t="s">
        <v>1395</v>
      </c>
      <c r="K56" s="9">
        <f>F52</f>
        <v>3.6430870593156132E-2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16" t="s">
        <v>617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16" t="s">
        <v>1197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229"/>
      <c r="M3" s="229"/>
      <c r="N3" s="229"/>
    </row>
    <row r="4" spans="1:14" ht="15.75">
      <c r="A4" s="416" t="s">
        <v>1372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16" t="s">
        <v>1353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4" t="s">
        <v>721</v>
      </c>
      <c r="F9" s="415"/>
      <c r="G9" s="189" t="s">
        <v>1139</v>
      </c>
      <c r="H9" s="414" t="s">
        <v>947</v>
      </c>
      <c r="I9" s="415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ProForma'!O176</f>
        <v>143715706.90157166</v>
      </c>
      <c r="E14" s="360">
        <f>'Allocation ProForma'!O125+'Allocation ProForma'!O126+'Allocation ProForma'!O127</f>
        <v>100434657.90279192</v>
      </c>
      <c r="F14" s="360">
        <f>'Allocation ProForma'!O128</f>
        <v>3537824.6983978343</v>
      </c>
      <c r="G14" s="360">
        <f>'Allocation ProForma'!O137</f>
        <v>17948343.735034235</v>
      </c>
      <c r="H14" s="360">
        <f>'Allocation ProForma'!O147+'Allocation ProForma'!O149+'Allocation ProForma'!O154+'Allocation ProForma'!O143</f>
        <v>21357682.88864141</v>
      </c>
      <c r="I14" s="360">
        <f>'Allocation ProForma'!O148+'Allocation ProForma'!O150+'Allocation ProForma'!O155+'Allocation ProForma'!O159+'Allocation ProForma'!O162+'Allocation ProForma'!O165</f>
        <v>401945.88030078309</v>
      </c>
      <c r="J14" s="360">
        <f>'Allocation ProForma'!O168+'Allocation ProForma'!O171</f>
        <v>35251.796405507586</v>
      </c>
      <c r="K14" s="282">
        <f>SUM(E14:J14)</f>
        <v>143715706.90157169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ProForma'!O831+'Allocation ProForma'!O832+'Allocation ProForma'!O833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143715706.90157166</v>
      </c>
      <c r="E16" s="360">
        <f t="shared" ref="E16:K16" si="1">E14+E15</f>
        <v>100434657.90279192</v>
      </c>
      <c r="F16" s="360">
        <f t="shared" si="1"/>
        <v>3537824.6983978343</v>
      </c>
      <c r="G16" s="360">
        <f t="shared" si="1"/>
        <v>17948343.735034235</v>
      </c>
      <c r="H16" s="360">
        <f t="shared" si="1"/>
        <v>21357682.88864141</v>
      </c>
      <c r="I16" s="360">
        <f t="shared" si="1"/>
        <v>401945.88030078309</v>
      </c>
      <c r="J16" s="360">
        <f t="shared" si="1"/>
        <v>35251.796405507586</v>
      </c>
      <c r="K16" s="282">
        <f t="shared" si="1"/>
        <v>143715706.90157169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ProForma'!O988</f>
        <v>0.14387521018451521</v>
      </c>
      <c r="E18" s="362">
        <f t="shared" ref="E18:J18" si="2">D18</f>
        <v>0.14387521018451521</v>
      </c>
      <c r="F18" s="362">
        <f t="shared" si="2"/>
        <v>0.14387521018451521</v>
      </c>
      <c r="G18" s="362">
        <f t="shared" si="2"/>
        <v>0.14387521018451521</v>
      </c>
      <c r="H18" s="362">
        <f t="shared" si="2"/>
        <v>0.14387521018451521</v>
      </c>
      <c r="I18" s="362">
        <f t="shared" si="2"/>
        <v>0.14387521018451521</v>
      </c>
      <c r="J18" s="362">
        <f t="shared" si="2"/>
        <v>0.14387521018451521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20677127.537279807</v>
      </c>
      <c r="E20" s="231">
        <f t="shared" ref="E20:J20" si="3">E18*E16</f>
        <v>14450057.51557407</v>
      </c>
      <c r="F20" s="231">
        <f t="shared" si="3"/>
        <v>509005.27207795758</v>
      </c>
      <c r="G20" s="231">
        <f t="shared" si="3"/>
        <v>2582321.7273419774</v>
      </c>
      <c r="H20" s="231">
        <f t="shared" si="3"/>
        <v>3072841.1146575068</v>
      </c>
      <c r="I20" s="231">
        <f t="shared" si="3"/>
        <v>57830.04801107516</v>
      </c>
      <c r="J20" s="231">
        <f t="shared" si="3"/>
        <v>5071.8596172241414</v>
      </c>
      <c r="K20" s="283">
        <f>SUM(E20:J20)</f>
        <v>20677127.537279811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ProForma'!O743</f>
        <v>3743082.0389003134</v>
      </c>
      <c r="E22" s="231">
        <f t="shared" ref="E22:J22" si="4">(E14/$D$14)*$D$22</f>
        <v>2615825.1744641187</v>
      </c>
      <c r="F22" s="231">
        <f t="shared" si="4"/>
        <v>92142.803113512957</v>
      </c>
      <c r="G22" s="231">
        <f t="shared" si="4"/>
        <v>467465.4184363262</v>
      </c>
      <c r="H22" s="231">
        <f t="shared" si="4"/>
        <v>556261.80976693204</v>
      </c>
      <c r="I22" s="231">
        <f t="shared" si="4"/>
        <v>10468.698499282707</v>
      </c>
      <c r="J22" s="231">
        <f t="shared" si="4"/>
        <v>918.13462014139168</v>
      </c>
      <c r="K22" s="283">
        <f>SUM(E22:J22)</f>
        <v>3743082.0389003139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16934045.498379495</v>
      </c>
      <c r="E24" s="231">
        <f t="shared" ref="E24:J24" si="5">E20-E22</f>
        <v>11834232.34110995</v>
      </c>
      <c r="F24" s="231">
        <f t="shared" si="5"/>
        <v>416862.46896444459</v>
      </c>
      <c r="G24" s="231">
        <f t="shared" si="5"/>
        <v>2114856.3089056513</v>
      </c>
      <c r="H24" s="231">
        <f t="shared" si="5"/>
        <v>2516579.3048905749</v>
      </c>
      <c r="I24" s="231">
        <f t="shared" si="5"/>
        <v>47361.349511792454</v>
      </c>
      <c r="J24" s="231">
        <f t="shared" si="5"/>
        <v>4153.7249970827497</v>
      </c>
      <c r="K24" s="283">
        <f>SUM(E24:J24)</f>
        <v>16934045.498379499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ProForma'!O783+'Allocation ProForma'!O979</f>
        <v>12930412.317992752</v>
      </c>
      <c r="E26" s="231">
        <f t="shared" ref="E26:J26" si="6">$D$26*(E24/$K$24)</f>
        <v>9036322.930165723</v>
      </c>
      <c r="F26" s="231">
        <f t="shared" si="6"/>
        <v>318305.72346829588</v>
      </c>
      <c r="G26" s="231">
        <f t="shared" si="6"/>
        <v>1614851.2220588513</v>
      </c>
      <c r="H26" s="231">
        <f t="shared" si="6"/>
        <v>1921596.8237640955</v>
      </c>
      <c r="I26" s="231">
        <f t="shared" si="6"/>
        <v>36163.938332552898</v>
      </c>
      <c r="J26" s="231">
        <f t="shared" si="6"/>
        <v>3171.6802032315854</v>
      </c>
      <c r="K26" s="283">
        <f>SUM(E26:J26)</f>
        <v>12930412.317992749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ProForma'!O774</f>
        <v>43331985.135973454</v>
      </c>
      <c r="E28" s="231">
        <f>'Allocation ProForma'!O182+'Allocation ProForma'!O183+'Allocation ProForma'!O184</f>
        <v>7426070.6639911775</v>
      </c>
      <c r="F28" s="231">
        <f>'Allocation ProForma'!O185</f>
        <v>32064107.730646107</v>
      </c>
      <c r="G28" s="231">
        <f>'Allocation ProForma'!O194</f>
        <v>1578322.6756343157</v>
      </c>
      <c r="H28" s="231">
        <f>'Allocation ProForma'!O200+'Allocation ProForma'!O204+'Allocation ProForma'!O206+'Allocation ProForma'!O211</f>
        <v>1793509.2328816042</v>
      </c>
      <c r="I28" s="231">
        <f>'Allocation ProForma'!O205+'Allocation ProForma'!O207+'Allocation ProForma'!O212+'Allocation ProForma'!O216+'Allocation ProForma'!O219</f>
        <v>115813.91338278999</v>
      </c>
      <c r="J28" s="231">
        <f>'Allocation ProForma'!O225+'Allocation ProForma'!O228</f>
        <v>354160.91943745635</v>
      </c>
      <c r="K28" s="283">
        <f t="shared" ref="K28:K39" si="7">SUM(E28:J28)</f>
        <v>43331985.135973454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ProForma'!O775</f>
        <v>8451739.5999496598</v>
      </c>
      <c r="E29" s="231">
        <f>'Allocation ProForma'!O302</f>
        <v>6355584.5313364463</v>
      </c>
      <c r="F29" s="231">
        <v>0</v>
      </c>
      <c r="G29" s="231">
        <f>'Allocation ProForma'!O308</f>
        <v>838675.62857605307</v>
      </c>
      <c r="H29" s="231">
        <f>'Allocation ProForma'!O314+'Allocation ProForma'!O318+'Allocation ProForma'!O320+'Allocation ProForma'!O325</f>
        <v>1234859.3303256419</v>
      </c>
      <c r="I29" s="231">
        <f>'Allocation ProForma'!O319+'Allocation ProForma'!O321+'Allocation ProForma'!O326+'Allocation ProForma'!O330+'Allocation ProForma'!O333</f>
        <v>22620.109711517984</v>
      </c>
      <c r="J29" s="231">
        <v>0</v>
      </c>
      <c r="K29" s="283">
        <f t="shared" si="7"/>
        <v>8451739.5999496598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ProForma'!O780+'Allocation ProForma'!O781</f>
        <v>1897658.2011799994</v>
      </c>
      <c r="E30" s="231">
        <f>'Allocation ProForma'!O417+'Allocation ProForma'!O474+'Allocation ProForma'!O359+'Allocation ProForma'!O531+'Allocation ProForma'!O589</f>
        <v>1362555.5225844572</v>
      </c>
      <c r="F30" s="231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1">
        <f>'Allocation ProForma'!O365+'Allocation ProForma'!O423+'Allocation ProForma'!O480+'Allocation ProForma'!O537+'Allocation ProForma'!O595</f>
        <v>239270.30379762707</v>
      </c>
      <c r="H30" s="231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290510.80805011193</v>
      </c>
      <c r="I30" s="231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5321.5667478030473</v>
      </c>
      <c r="J30" s="231">
        <v>0</v>
      </c>
      <c r="K30" s="283">
        <f t="shared" si="7"/>
        <v>1897658.2011799992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ProForma'!O717+'Allocation ProForma'!O718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ProForma'!O801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ProForma'!O788+'Allocation ProForma'!O791+'Allocation ProForma'!O792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ProForma'!O799+'Allocation ProForma'!O802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ProForma'!O793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ProForma'!O800+'Allocation ProForma'!O813+'Allocation ProForma'!O976+'Allocation ProForma'!O977-'Allocation ProForma'!O966</f>
        <v>-745803.69636211672</v>
      </c>
      <c r="E36" s="231">
        <f t="shared" ref="E36:J36" si="10">(E14/($D$14)*$D$36)</f>
        <v>-521199.39233968128</v>
      </c>
      <c r="F36" s="231">
        <f t="shared" si="10"/>
        <v>-18359.320592239601</v>
      </c>
      <c r="G36" s="231">
        <f t="shared" si="10"/>
        <v>-93141.810243010987</v>
      </c>
      <c r="H36" s="231">
        <f t="shared" si="10"/>
        <v>-110834.36311514604</v>
      </c>
      <c r="I36" s="231">
        <f t="shared" si="10"/>
        <v>-2085.8730735058625</v>
      </c>
      <c r="J36" s="231">
        <f t="shared" si="10"/>
        <v>-182.93699853307282</v>
      </c>
      <c r="K36" s="283">
        <f t="shared" si="7"/>
        <v>-745803.69636211684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ProForma'!O767-'Allocation ProForma'!O965</f>
        <v>390187.98025359644</v>
      </c>
      <c r="E37" s="231">
        <f>D37</f>
        <v>390187.98025359644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390187.98025359644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-355615.71610852028</v>
      </c>
      <c r="E39" s="360">
        <f t="shared" si="11"/>
        <v>-131011.41208608483</v>
      </c>
      <c r="F39" s="360">
        <f t="shared" si="11"/>
        <v>-18359.320592239601</v>
      </c>
      <c r="G39" s="360">
        <f t="shared" si="11"/>
        <v>-93141.810243010987</v>
      </c>
      <c r="H39" s="360">
        <f t="shared" si="11"/>
        <v>-110834.36311514604</v>
      </c>
      <c r="I39" s="360">
        <f t="shared" si="11"/>
        <v>-2085.8730735058625</v>
      </c>
      <c r="J39" s="360">
        <f t="shared" si="11"/>
        <v>-182.93699853307282</v>
      </c>
      <c r="K39" s="283">
        <f t="shared" si="7"/>
        <v>-355615.71610852046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86933307.076267153</v>
      </c>
      <c r="E41" s="231">
        <f t="shared" si="12"/>
        <v>38499579.751565784</v>
      </c>
      <c r="F41" s="231">
        <f t="shared" si="12"/>
        <v>32873059.405600123</v>
      </c>
      <c r="G41" s="231">
        <f t="shared" si="12"/>
        <v>6760299.747165814</v>
      </c>
      <c r="H41" s="231">
        <f t="shared" si="12"/>
        <v>8202482.9465638148</v>
      </c>
      <c r="I41" s="231">
        <f t="shared" si="12"/>
        <v>235663.70311223323</v>
      </c>
      <c r="J41" s="231">
        <f t="shared" si="12"/>
        <v>362221.52225937898</v>
      </c>
      <c r="K41" s="283">
        <f>SUM(E41:J41)</f>
        <v>86933307.076267153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ProForma'!O703</f>
        <v>333091.6446382993</v>
      </c>
      <c r="E43" s="311">
        <f>D43</f>
        <v>333091.6446382993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333091.6446382993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ProForma'!O699+'Allocation ProForma'!O700+'Allocation ProForma'!O701+'Allocation ProForma'!O702)</f>
        <v>-2959628.1337464256</v>
      </c>
      <c r="E44" s="375">
        <v>0</v>
      </c>
      <c r="F44" s="375">
        <f>D44</f>
        <v>-2959628.1337464256</v>
      </c>
      <c r="G44" s="375">
        <v>0</v>
      </c>
      <c r="H44" s="375">
        <v>0</v>
      </c>
      <c r="I44" s="375">
        <v>0</v>
      </c>
      <c r="J44" s="375">
        <v>0</v>
      </c>
      <c r="K44" s="405">
        <f>SUM(E44:J44)</f>
        <v>-2959628.1337464256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ProForma'!O698+'Allocation ProForma'!O704+'Allocation ProForma'!O705+'Allocation ProForma'!O706+'Allocation ProForma'!O707)</f>
        <v>-979445.58715903806</v>
      </c>
      <c r="E45" s="375">
        <f>-('Allocation ProForma'!O698)-(E14/($D$14)*('Allocation ProForma'!O704+'Allocation ProForma'!O705+'Allocation ProForma'!O706+'Allocation ProForma'!O707))</f>
        <v>-684478.29817299801</v>
      </c>
      <c r="F45" s="375">
        <f>(F14/($D$14)*-('Allocation ProForma'!O704+'Allocation ProForma'!O705+'Allocation ProForma'!O706+'Allocation ProForma'!O707))</f>
        <v>-24110.842605124602</v>
      </c>
      <c r="G45" s="375">
        <f>(G14/($D$14)*-('Allocation ProForma'!O704+'Allocation ProForma'!O705+'Allocation ProForma'!O706+'Allocation ProForma'!O707))</f>
        <v>-122320.84054760059</v>
      </c>
      <c r="H45" s="375">
        <f>(H14/($D$14)*-('Allocation ProForma'!O704+'Allocation ProForma'!O705+'Allocation ProForma'!O706+'Allocation ProForma'!O707))</f>
        <v>-145556.0335624885</v>
      </c>
      <c r="I45" s="375">
        <f>(I14/($D$14)*-('Allocation ProForma'!O704+'Allocation ProForma'!O705+'Allocation ProForma'!O706+'Allocation ProForma'!O707))</f>
        <v>-2739.3256257437761</v>
      </c>
      <c r="J45" s="375">
        <f>(J14/($D$14)*-('Allocation ProForma'!O704+'Allocation ProForma'!O705+'Allocation ProForma'!O706+'Allocation ProForma'!O707))</f>
        <v>-240.24664508278366</v>
      </c>
      <c r="K45" s="405">
        <f>SUM(E45:J45)</f>
        <v>-979445.5871590384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-3605982.0762671642</v>
      </c>
      <c r="E46" s="375">
        <f>SUM(E43:E45)</f>
        <v>-351386.65353469871</v>
      </c>
      <c r="F46" s="375">
        <f t="shared" ref="F46:J46" si="13">SUM(F43:F45)</f>
        <v>-2983738.9763515503</v>
      </c>
      <c r="G46" s="375">
        <f t="shared" si="13"/>
        <v>-122320.84054760059</v>
      </c>
      <c r="H46" s="375">
        <f t="shared" si="13"/>
        <v>-145556.0335624885</v>
      </c>
      <c r="I46" s="375">
        <f t="shared" si="13"/>
        <v>-2739.3256257437761</v>
      </c>
      <c r="J46" s="375">
        <f t="shared" si="13"/>
        <v>-240.24664508278366</v>
      </c>
      <c r="K46" s="405">
        <f>SUM(E46:J46)</f>
        <v>-3605982.0762671647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ProForma'!O968-SUM('Allocation ProForma'!O698:O707)-'Allocation ProForma'!O767-'Allocation ProForma'!O965-'Allocation ProForma'!O966</f>
        <v>83327325</v>
      </c>
      <c r="D48" s="272">
        <f t="shared" ref="D48:J48" si="14">D41+D46</f>
        <v>83327324.999999985</v>
      </c>
      <c r="E48" s="231">
        <f t="shared" si="14"/>
        <v>38148193.098031089</v>
      </c>
      <c r="F48" s="231">
        <f t="shared" si="14"/>
        <v>29889320.429248571</v>
      </c>
      <c r="G48" s="231">
        <f t="shared" si="14"/>
        <v>6637978.9066182133</v>
      </c>
      <c r="H48" s="231">
        <f t="shared" si="14"/>
        <v>8056926.9130013259</v>
      </c>
      <c r="I48" s="231">
        <f t="shared" si="14"/>
        <v>232924.37748648945</v>
      </c>
      <c r="J48" s="231">
        <f t="shared" si="14"/>
        <v>361981.2756142962</v>
      </c>
      <c r="K48" s="283">
        <f>SUM(E48:J48)</f>
        <v>83327324.99999997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2289596.6617190214</v>
      </c>
      <c r="F50" s="277">
        <f>'Allocation ProForma'!O1006</f>
        <v>795801135</v>
      </c>
      <c r="G50" s="277">
        <v>3038571.4966324829</v>
      </c>
      <c r="H50" s="277">
        <f>G50</f>
        <v>3038571.4966324829</v>
      </c>
      <c r="I50" s="277">
        <f>'Allocation ProForma'!$O$1022*12</f>
        <v>3312</v>
      </c>
      <c r="J50" s="277">
        <f>'Allocation ProForma'!$O$1022*12</f>
        <v>3312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16.661534206373954</v>
      </c>
      <c r="F52" s="279">
        <f t="shared" si="15"/>
        <v>3.7558780849500262E-2</v>
      </c>
      <c r="G52" s="280">
        <f t="shared" si="15"/>
        <v>2.1845722287511737</v>
      </c>
      <c r="H52" s="280">
        <f t="shared" si="15"/>
        <v>2.6515508757751691</v>
      </c>
      <c r="I52" s="280">
        <f t="shared" si="15"/>
        <v>70.327408661379664</v>
      </c>
      <c r="J52" s="280">
        <f t="shared" si="15"/>
        <v>109.29386341011359</v>
      </c>
      <c r="K52" s="265">
        <f>I52+J52</f>
        <v>179.62127207149325</v>
      </c>
    </row>
    <row r="54" spans="1:12">
      <c r="D54" s="259"/>
      <c r="F54" s="308"/>
      <c r="J54" s="372" t="s">
        <v>1376</v>
      </c>
      <c r="K54" s="221">
        <f>I52+J52</f>
        <v>179.62127207149325</v>
      </c>
    </row>
    <row r="55" spans="1:12">
      <c r="D55" s="259"/>
      <c r="I55" s="20"/>
      <c r="J55" s="372" t="s">
        <v>1394</v>
      </c>
      <c r="K55" s="3">
        <f>E52+G52+H52</f>
        <v>21.497657310900298</v>
      </c>
    </row>
    <row r="56" spans="1:12">
      <c r="J56" s="372" t="s">
        <v>1395</v>
      </c>
      <c r="K56" s="9">
        <f>F52</f>
        <v>3.7558780849500262E-2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66"/>
    </row>
    <row r="60" spans="1:12">
      <c r="J60" s="365"/>
      <c r="K60" s="3"/>
    </row>
    <row r="68" spans="5:6">
      <c r="E68" s="277"/>
      <c r="F68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111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F86161C-D053-461E-89CA-CB40D620F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08B050-725F-49F1-816A-8A032C670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5DFB7-D51B-4783-A468-1B836C0848F1}">
  <ds:schemaRefs>
    <ds:schemaRef ds:uri="54fcda00-7b58-44a7-b108-8bd10a8a08ba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Functional Assignment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LE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GS!Print_Area</vt:lpstr>
      <vt:lpstr>LE!Print_Area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2017-01-16T17:28:23Z</dcterms:created>
  <dcterms:modified xsi:type="dcterms:W3CDTF">2017-01-21T03:24:16Z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