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filterPrivacy="1" codeName="ThisWorkbook"/>
  <bookViews>
    <workbookView xWindow="0" yWindow="0" windowWidth="24000" windowHeight="8895" tabRatio="601"/>
  </bookViews>
  <sheets>
    <sheet name="Exhibit JFW-2" sheetId="15" r:id="rId1"/>
    <sheet name="Functional Assignment" sheetId="1" r:id="rId2"/>
    <sheet name="Allocation" sheetId="2" r:id="rId3"/>
    <sheet name="Summary of Returns" sheetId="4" r:id="rId4"/>
    <sheet name="Billing Det" sheetId="5" r:id="rId5"/>
    <sheet name="Meters" sheetId="7" r:id="rId6"/>
    <sheet name="RS" sheetId="14" r:id="rId7"/>
    <sheet name="Services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\" localSheetId="0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\C" localSheetId="0">#REF!</definedName>
    <definedName name="\C" localSheetId="6">#REF!</definedName>
    <definedName name="\C">#REF!</definedName>
    <definedName name="\D" localSheetId="0">#REF!</definedName>
    <definedName name="\D">#REF!</definedName>
    <definedName name="\E" localSheetId="0">#REF!</definedName>
    <definedName name="\E" localSheetId="6">#REF!</definedName>
    <definedName name="\E">#REF!</definedName>
    <definedName name="\M" localSheetId="0">#REF!</definedName>
    <definedName name="\M">#REF!</definedName>
    <definedName name="\P" localSheetId="0">[1]dbase!#REF!</definedName>
    <definedName name="\P">[1]dbase!#REF!</definedName>
    <definedName name="\R" localSheetId="0">#REF!</definedName>
    <definedName name="\R" localSheetId="6">#REF!</definedName>
    <definedName name="\R">#REF!</definedName>
    <definedName name="\S" localSheetId="0">[1]dbase!#REF!</definedName>
    <definedName name="\S">[1]dbase!#REF!</definedName>
    <definedName name="\T" localSheetId="0">#REF!</definedName>
    <definedName name="\T">#REF!</definedName>
    <definedName name="\Y" localSheetId="0">[2]d20!#REF!</definedName>
    <definedName name="\Y">[2]d20!#REF!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10NON_UTILITY" localSheetId="0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0">#REF!</definedName>
    <definedName name="_1GAS_FINANCING">#REF!</definedName>
    <definedName name="_xlnm._FilterDatabase" localSheetId="2" hidden="1">Allocation!$D$2:$E$1240</definedName>
    <definedName name="_xlnm._FilterDatabase" localSheetId="1" hidden="1">'Functional Assignment'!$C$2:$D$669</definedName>
    <definedName name="_may1" localSheetId="0">#REF!</definedName>
    <definedName name="_may1">#REF!</definedName>
    <definedName name="_Order1" hidden="1">0</definedName>
    <definedName name="_Order2" hidden="1">0</definedName>
    <definedName name="_P" localSheetId="0">#REF!</definedName>
    <definedName name="_P" localSheetId="6">#REF!</definedName>
    <definedName name="_P">#REF!</definedName>
    <definedName name="_PG1" localSheetId="0">#REF!</definedName>
    <definedName name="_PG1">#REF!</definedName>
    <definedName name="_PG2" localSheetId="0">#REF!</definedName>
    <definedName name="_PG2">#REF!</definedName>
    <definedName name="A" localSheetId="0">#REF!</definedName>
    <definedName name="A">#REF!</definedName>
    <definedName name="ACTUAL">"'Vol_Revs'!R5C3:R5C14"</definedName>
    <definedName name="ADJSUTW3" localSheetId="0">#REF!</definedName>
    <definedName name="ADJSUTW3">#REF!</definedName>
    <definedName name="ADJUSRN" localSheetId="0">#REF!</definedName>
    <definedName name="ADJUSRN">#REF!</definedName>
    <definedName name="Adjust2" localSheetId="0">#REF!</definedName>
    <definedName name="Adjust2">#REF!</definedName>
    <definedName name="ADJUSTA" localSheetId="0">#REF!</definedName>
    <definedName name="ADJUSTA">#REF!</definedName>
    <definedName name="ADJUSTAA" localSheetId="0">#REF!</definedName>
    <definedName name="ADJUSTAA" localSheetId="6">#REF!</definedName>
    <definedName name="ADJUSTAA">#REF!</definedName>
    <definedName name="ADJUSTB" localSheetId="0">#REF!</definedName>
    <definedName name="ADJUSTB">#REF!</definedName>
    <definedName name="ADJUSTC" localSheetId="0">#REF!</definedName>
    <definedName name="ADJUSTC">#REF!</definedName>
    <definedName name="ADJUSTD1" localSheetId="0">#REF!</definedName>
    <definedName name="ADJUSTD1">#REF!</definedName>
    <definedName name="ADJUSTD2" localSheetId="0">#REF!</definedName>
    <definedName name="ADJUSTD2">#REF!</definedName>
    <definedName name="ADJUSTD3" localSheetId="0">#REF!</definedName>
    <definedName name="ADJUSTD3">#REF!</definedName>
    <definedName name="ADJUSTD4" localSheetId="0">#REF!</definedName>
    <definedName name="ADJUSTD4">#REF!</definedName>
    <definedName name="ADJUSTG1" localSheetId="0">#REF!</definedName>
    <definedName name="ADJUSTG1">#REF!</definedName>
    <definedName name="ADJUSTG2" localSheetId="0">#REF!</definedName>
    <definedName name="ADJUSTG2">#REF!</definedName>
    <definedName name="ADJUSTG3" localSheetId="0">#REF!</definedName>
    <definedName name="ADJUSTG3">#REF!</definedName>
    <definedName name="ADJUSTG4" localSheetId="0">#REF!</definedName>
    <definedName name="ADJUSTG4">#REF!</definedName>
    <definedName name="ADJUSTH" localSheetId="0">#REF!</definedName>
    <definedName name="ADJUSTH">#REF!</definedName>
    <definedName name="ADJUSTI" localSheetId="0">#REF!</definedName>
    <definedName name="ADJUSTI">#REF!</definedName>
    <definedName name="ADJUSTK" localSheetId="0">#REF!</definedName>
    <definedName name="ADJUSTK">#REF!</definedName>
    <definedName name="ADJUSTM" localSheetId="0">#REF!</definedName>
    <definedName name="ADJUSTM">#REF!</definedName>
    <definedName name="ADJUSTN" localSheetId="0">#REF!</definedName>
    <definedName name="ADJUSTN">#REF!</definedName>
    <definedName name="ADJUSTO" localSheetId="0">#REF!</definedName>
    <definedName name="ADJUSTO">#REF!</definedName>
    <definedName name="ADJUSTP" localSheetId="0">#REF!</definedName>
    <definedName name="ADJUSTP">#REF!</definedName>
    <definedName name="ADJUSTQ" localSheetId="0">#REF!</definedName>
    <definedName name="ADJUSTQ">#REF!</definedName>
    <definedName name="ADJUSTR" localSheetId="0">#REF!</definedName>
    <definedName name="ADJUSTR">#REF!</definedName>
    <definedName name="ADJUSTS" localSheetId="0">#REF!</definedName>
    <definedName name="ADJUSTS" localSheetId="6">#REF!</definedName>
    <definedName name="ADJUSTS">#REF!</definedName>
    <definedName name="ADJUSTT" localSheetId="0">#REF!</definedName>
    <definedName name="ADJUSTT">#REF!</definedName>
    <definedName name="ADJUSTW1" localSheetId="0">#REF!</definedName>
    <definedName name="ADJUSTW1">#REF!</definedName>
    <definedName name="ADJUSTW2" localSheetId="0">#REF!</definedName>
    <definedName name="ADJUSTW2">#REF!</definedName>
    <definedName name="ADJUSTX" localSheetId="0">#REF!</definedName>
    <definedName name="ADJUSTX">#REF!</definedName>
    <definedName name="ADJUSTY" localSheetId="0">#REF!</definedName>
    <definedName name="ADJUSTY">#REF!</definedName>
    <definedName name="ALERT2" localSheetId="0">#REF!</definedName>
    <definedName name="ALERT2">#REF!</definedName>
    <definedName name="Annual_Sales_KU" localSheetId="0">'[4]LGE Sales'!#REF!</definedName>
    <definedName name="Annual_Sales_KU">'[4]LGE Sales'!#REF!</definedName>
    <definedName name="assets" localSheetId="0">#REF!</definedName>
    <definedName name="assets" localSheetId="6">#REF!</definedName>
    <definedName name="assets">#REF!</definedName>
    <definedName name="B" localSheetId="0">#REF!</definedName>
    <definedName name="B">#REF!</definedName>
    <definedName name="Billed_Revenues_Dollars" localSheetId="0">#REF!</definedName>
    <definedName name="Billed_Revenues_Dollars">#REF!</definedName>
    <definedName name="Billed_Sales__KWh" localSheetId="0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0">#REF!</definedName>
    <definedName name="C_">#REF!</definedName>
    <definedName name="Choices_Wrapper" localSheetId="0">'Exhibit JFW-2'!Choices_Wrapper</definedName>
    <definedName name="Choices_Wrapper" localSheetId="6">RS!Choices_Wrapper</definedName>
    <definedName name="Choices_Wrapper">[0]!Choices_Wrapper</definedName>
    <definedName name="CM" localSheetId="0">#REF!</definedName>
    <definedName name="CM" localSheetId="6">#REF!</definedName>
    <definedName name="CM">#REF!</definedName>
    <definedName name="Coal_Annual_KU" localSheetId="0">'[4]LGE Coal'!#REF!</definedName>
    <definedName name="Coal_Annual_KU">'[4]LGE Coal'!#REF!</definedName>
    <definedName name="coal_hide_ku_01" localSheetId="0">'[4]LGE Coal'!#REF!</definedName>
    <definedName name="coal_hide_ku_01">'[4]LGE Coal'!#REF!</definedName>
    <definedName name="coal_hide_lge_01" localSheetId="0">'[4]LGE Coal'!#REF!</definedName>
    <definedName name="coal_hide_lge_01">'[4]LGE Coal'!#REF!</definedName>
    <definedName name="coal_ku_01" localSheetId="0">'[4]LGE Coal'!#REF!</definedName>
    <definedName name="coal_ku_01">'[4]LGE Coal'!#REF!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mp" localSheetId="0">'Exhibit JFW-2'!Comp</definedName>
    <definedName name="Comp" localSheetId="6">RS!Comp</definedName>
    <definedName name="Comp">[0]!Comp</definedName>
    <definedName name="ConsEarnings" localSheetId="0">#REF!</definedName>
    <definedName name="ConsEarnings">#REF!</definedName>
    <definedName name="CONSOLIDATED" localSheetId="0">#REF!</definedName>
    <definedName name="CONSOLIDATED">#REF!</definedName>
    <definedName name="CORPORATE" localSheetId="0">#REF!</definedName>
    <definedName name="CORPORATE">#REF!</definedName>
    <definedName name="counter" localSheetId="0">#REF!</definedName>
    <definedName name="counter">#REF!</definedName>
    <definedName name="CREDIT" localSheetId="0">#REF!</definedName>
    <definedName name="CREDIT" localSheetId="6">#REF!</definedName>
    <definedName name="CREDIT">#REF!</definedName>
    <definedName name="CurReptgMo">[5]Input!$K$19</definedName>
    <definedName name="CurReptgYr">[5]Input!$K$21</definedName>
    <definedName name="D" localSheetId="0">#REF!</definedName>
    <definedName name="D">#REF!</definedName>
    <definedName name="data" localSheetId="0">#REF!</definedName>
    <definedName name="data">#REF!</definedName>
    <definedName name="data1" localSheetId="0">'[6]1'!#REF!</definedName>
    <definedName name="data1">'[6]1'!#REF!</definedName>
    <definedName name="DateTimeNow">[5]Input!$AE$12</definedName>
    <definedName name="DEBIT" localSheetId="0">#REF!</definedName>
    <definedName name="DEBIT" localSheetId="6">#REF!</definedName>
    <definedName name="DEBIT">#REF!</definedName>
    <definedName name="Detail" localSheetId="0">#REF!</definedName>
    <definedName name="Detail">#REF!</definedName>
    <definedName name="ELEC_NET_OP_INC" localSheetId="0">#REF!</definedName>
    <definedName name="ELEC_NET_OP_INC">#REF!</definedName>
    <definedName name="ELIMS" localSheetId="0">#REF!</definedName>
    <definedName name="ELIMS">#REF!</definedName>
    <definedName name="EXHIB1A" localSheetId="0">'[7]#REF'!#REF!</definedName>
    <definedName name="EXHIB1A">'[7]#REF'!#REF!</definedName>
    <definedName name="EXHIB1B" localSheetId="0">#REF!</definedName>
    <definedName name="EXHIB1B">#REF!</definedName>
    <definedName name="EXHIB1C" localSheetId="0">#REF!</definedName>
    <definedName name="EXHIB1C">#REF!</definedName>
    <definedName name="EXHIB2B" localSheetId="0">'[8]Ex 2'!#REF!</definedName>
    <definedName name="EXHIB2B">'[8]Ex 2'!#REF!</definedName>
    <definedName name="EXHIB3" localSheetId="0">#REF!</definedName>
    <definedName name="EXHIB3" localSheetId="6">#REF!</definedName>
    <definedName name="EXHIB3">#REF!</definedName>
    <definedName name="EXHIB6" localSheetId="0">'[8]not used Ex 4'!#REF!</definedName>
    <definedName name="EXHIB6">'[8]not used Ex 4'!#REF!</definedName>
    <definedName name="F" localSheetId="0">#REF!</definedName>
    <definedName name="F">#REF!</definedName>
    <definedName name="Fac_2000" localSheetId="0">'[4]LGE Base Fuel &amp; FAC'!#REF!</definedName>
    <definedName name="Fac_2000">'[4]LGE Base Fuel &amp; FAC'!#REF!</definedName>
    <definedName name="fac_annual_ku" localSheetId="0">'[4]LGE Base Fuel &amp; FAC'!#REF!</definedName>
    <definedName name="fac_annual_ku">'[4]LGE Base Fuel &amp; FAC'!#REF!</definedName>
    <definedName name="fac_hide_ku_01" localSheetId="0">'[4]LGE Base Fuel &amp; FAC'!#REF!</definedName>
    <definedName name="fac_hide_ku_01">'[4]LGE Base Fuel &amp; FAC'!#REF!</definedName>
    <definedName name="fac_hide_lge_01" localSheetId="0">'[4]LGE Base Fuel &amp; FAC'!#REF!</definedName>
    <definedName name="fac_hide_lge_01">'[4]LGE Base Fuel &amp; FAC'!#REF!</definedName>
    <definedName name="fac_ku_01" localSheetId="0">'[4]LGE Base Fuel &amp; FAC'!#REF!</definedName>
    <definedName name="fac_ku_01">'[4]LGE Base Fuel &amp; FAC'!#REF!</definedName>
    <definedName name="FOOTER" localSheetId="0">#REF!</definedName>
    <definedName name="FOOTER">#REF!</definedName>
    <definedName name="FORECAST">"'IFPSReport'!R5C3:R5C14"</definedName>
    <definedName name="fuelcost" localSheetId="0">#REF!</definedName>
    <definedName name="fuelcost" localSheetId="6">#REF!</definedName>
    <definedName name="fuelcost">#REF!</definedName>
    <definedName name="Gas_Annual_NetRev" localSheetId="0">#REF!</definedName>
    <definedName name="Gas_Annual_NetRev">#REF!</definedName>
    <definedName name="Gas_Annual_Revenue" localSheetId="0">#REF!</definedName>
    <definedName name="Gas_Annual_Revenue">#REF!</definedName>
    <definedName name="gas_data" localSheetId="0">#REF!</definedName>
    <definedName name="gas_data">#REF!</definedName>
    <definedName name="Gas_Monthly_NetRevenue" localSheetId="0">#REF!</definedName>
    <definedName name="Gas_Monthly_NetRevenue">#REF!</definedName>
    <definedName name="GAS_NET_OP_INC" localSheetId="0">#REF!</definedName>
    <definedName name="GAS_NET_OP_INC">#REF!</definedName>
    <definedName name="Gas_Sales_Revenues" localSheetId="0">#REF!</definedName>
    <definedName name="Gas_Sales_Revenues">#REF!</definedName>
    <definedName name="GenEx_Annual_KU" localSheetId="0">'[4]LGE Cost of Sales'!#REF!</definedName>
    <definedName name="GenEx_Annual_KU">'[4]LGE Cost of Sales'!#REF!</definedName>
    <definedName name="genex_hide_ku_01" localSheetId="0">'[4]LGE Cost of Sales'!#REF!</definedName>
    <definedName name="genex_hide_ku_01">'[4]LGE Cost of Sales'!#REF!</definedName>
    <definedName name="genex_hide_lge_01" localSheetId="0">'[4]LGE Cost of Sales'!#REF!</definedName>
    <definedName name="genex_hide_lge_01">'[4]LGE Cost of Sales'!#REF!</definedName>
    <definedName name="genex_ku_01" localSheetId="0">'[4]LGE Cost of Sales'!#REF!</definedName>
    <definedName name="genex_ku_01">'[4]LGE Cost of Sales'!#REF!</definedName>
    <definedName name="H" localSheetId="0">#REF!</definedName>
    <definedName name="H">#REF!</definedName>
    <definedName name="Home_KU" localSheetId="0">#REF!</definedName>
    <definedName name="Home_KU">#REF!</definedName>
    <definedName name="INPUT1" localSheetId="0">#REF!</definedName>
    <definedName name="INPUT1">#REF!</definedName>
    <definedName name="INPUT2" localSheetId="0">#REF!</definedName>
    <definedName name="INPUT2">#REF!</definedName>
    <definedName name="INPUTCOL" localSheetId="0">#REF!</definedName>
    <definedName name="INPUTCOL">#REF!</definedName>
    <definedName name="INPUTROW" localSheetId="0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0">#REF!</definedName>
    <definedName name="KUELIMBAL">#REF!</definedName>
    <definedName name="KUELIMCASH" localSheetId="0">#REF!</definedName>
    <definedName name="KUELIMCASH">#REF!</definedName>
    <definedName name="KUPWRGENIS" localSheetId="0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0">#REF!</definedName>
    <definedName name="LEC">#REF!</definedName>
    <definedName name="LECBAL" localSheetId="0">#REF!</definedName>
    <definedName name="LECBAL">#REF!</definedName>
    <definedName name="LECCASH" localSheetId="0">#REF!</definedName>
    <definedName name="LECCASH">#REF!</definedName>
    <definedName name="LES" localSheetId="0">#REF!</definedName>
    <definedName name="LES">#REF!</definedName>
    <definedName name="LGE" localSheetId="0">#REF!</definedName>
    <definedName name="LGE">#REF!</definedName>
    <definedName name="LNGCL" localSheetId="0">#REF!</definedName>
    <definedName name="LNGCL">#REF!</definedName>
    <definedName name="Losses_by_State" localSheetId="0">#REF!</definedName>
    <definedName name="Losses_by_State">#REF!</definedName>
    <definedName name="LOUPHONECOBAL" localSheetId="0">#REF!</definedName>
    <definedName name="LOUPHONECOBAL">#REF!</definedName>
    <definedName name="LOUPHONECOCASH" localSheetId="0">#REF!</definedName>
    <definedName name="LOUPHONECOCASH">#REF!</definedName>
    <definedName name="LOUPHONECOIS" localSheetId="0">#REF!</definedName>
    <definedName name="LOUPHONECOIS">#REF!</definedName>
    <definedName name="LPI" localSheetId="0">#REF!</definedName>
    <definedName name="LPI">#REF!</definedName>
    <definedName name="MAIN" localSheetId="0">#REF!</definedName>
    <definedName name="MAIN">#REF!</definedName>
    <definedName name="MESG1" localSheetId="0">#REF!</definedName>
    <definedName name="MESG1">#REF!</definedName>
    <definedName name="MESG2" localSheetId="0">#REF!</definedName>
    <definedName name="MESG2">#REF!</definedName>
    <definedName name="MONTH_NAME" localSheetId="0">#REF!</definedName>
    <definedName name="MONTH_NAME">#REF!</definedName>
    <definedName name="MONTHCOUNT" localSheetId="0">#REF!</definedName>
    <definedName name="MONTHCOUNT">#REF!</definedName>
    <definedName name="NATURAL" localSheetId="0">#REF!</definedName>
    <definedName name="NATURAL">#REF!</definedName>
    <definedName name="NET_OP_INC" localSheetId="0">#REF!</definedName>
    <definedName name="NET_OP_INC">#REF!</definedName>
    <definedName name="Net_Revenues" localSheetId="0">#REF!</definedName>
    <definedName name="Net_Revenues">#REF!</definedName>
    <definedName name="Net_Unbilled_KWh" localSheetId="0">#REF!</definedName>
    <definedName name="Net_Unbilled_KWh">#REF!</definedName>
    <definedName name="Net_Unbilled_Revenue_Dollars" localSheetId="0">#REF!</definedName>
    <definedName name="Net_Unbilled_Revenue_Dollars">#REF!</definedName>
    <definedName name="netrev_hide_ku_01" localSheetId="0">'[4]LGE Gross Margin-Inc.Stmt'!#REF!</definedName>
    <definedName name="netrev_hide_ku_01">'[4]LGE Gross Margin-Inc.Stmt'!#REF!</definedName>
    <definedName name="netrev_hide_lge_01" localSheetId="0">'[4]LGE Gross Margin-Inc.Stmt'!#REF!</definedName>
    <definedName name="netrev_hide_lge_01">'[4]LGE Gross Margin-Inc.Stmt'!#REF!</definedName>
    <definedName name="netrev_ku_01" localSheetId="0">'[4]LGE Gross Margin-Inc.Stmt'!#REF!</definedName>
    <definedName name="netrev_ku_01">'[4]LGE Gross Margin-Inc.Stmt'!#REF!</definedName>
    <definedName name="NetRevenue_Annual_KU" localSheetId="0">'[4]LGE Gross Margin-Inc.Stmt'!#REF!</definedName>
    <definedName name="NetRevenue_Annual_KU">'[4]LGE Gross Margin-Inc.Stmt'!#REF!</definedName>
    <definedName name="NetRevenues" localSheetId="0">#REF!</definedName>
    <definedName name="NetRevenues">#REF!</definedName>
    <definedName name="NextReptgMo">[5]Input!$AE$19</definedName>
    <definedName name="NextReptgYr">[5]Input!$AE$21</definedName>
    <definedName name="Operating_Revenue_Dollars" localSheetId="0">#REF!</definedName>
    <definedName name="Operating_Revenue_Dollars">#REF!</definedName>
    <definedName name="Operating_Sales__KWh" localSheetId="0">#REF!</definedName>
    <definedName name="Operating_Sales__KWh">#REF!</definedName>
    <definedName name="PAGE" localSheetId="0">#REF!</definedName>
    <definedName name="PAGE" localSheetId="6">#REF!</definedName>
    <definedName name="PAGE">#REF!</definedName>
    <definedName name="PAGE10" localSheetId="0">#REF!</definedName>
    <definedName name="PAGE10" localSheetId="6">#REF!</definedName>
    <definedName name="PAGE10">#REF!</definedName>
    <definedName name="PAGE1B" localSheetId="0">[2]d20!#REF!</definedName>
    <definedName name="PAGE1B">[2]d20!#REF!</definedName>
    <definedName name="PAGE7" localSheetId="0">#REF!</definedName>
    <definedName name="PAGE7" localSheetId="6">#REF!</definedName>
    <definedName name="PAGE7">#REF!</definedName>
    <definedName name="page8" localSheetId="0">#REF!</definedName>
    <definedName name="page8" localSheetId="6">#REF!</definedName>
    <definedName name="page8">#REF!</definedName>
    <definedName name="PAGE9" localSheetId="0">#REF!</definedName>
    <definedName name="PAGE9" localSheetId="6">#REF!</definedName>
    <definedName name="PAGE9">#REF!</definedName>
    <definedName name="PgFERC_449" localSheetId="0">#REF!</definedName>
    <definedName name="PgFERC_449">#REF!</definedName>
    <definedName name="Plan" localSheetId="0">#REF!</definedName>
    <definedName name="Plan">#REF!</definedName>
    <definedName name="_xlnm.Print_Area" localSheetId="2">Allocation!$A$1:$U$1102</definedName>
    <definedName name="_xlnm.Print_Area" localSheetId="4">'Billing Det'!$A$1:$D$32</definedName>
    <definedName name="_xlnm.Print_Area" localSheetId="0">'Exhibit JFW-2'!$A$1:$K$57</definedName>
    <definedName name="_xlnm.Print_Area" localSheetId="1">'Functional Assignment'!$A$1:$AE$669</definedName>
    <definedName name="_xlnm.Print_Area" localSheetId="6">RS!$A$1:$K$57</definedName>
    <definedName name="_xlnm.Print_Area" localSheetId="3">'Summary of Returns'!$A$1:$G$67</definedName>
    <definedName name="_xlnm.Print_Titles" localSheetId="2">Allocation!$A:$E,Allocation!$2:$4</definedName>
    <definedName name="_xlnm.Print_Titles" localSheetId="4">'Billing Det'!$A:$A,'Billing Det'!$31:$32</definedName>
    <definedName name="_xlnm.Print_Titles" localSheetId="1">'Functional Assignment'!$A:$E,'Functional Assignment'!$2:$4</definedName>
    <definedName name="PRINT1" localSheetId="0">#REF!</definedName>
    <definedName name="PRINT1">#REF!</definedName>
    <definedName name="PWRGENBAL" localSheetId="0">#REF!</definedName>
    <definedName name="PWRGENBAL">#REF!</definedName>
    <definedName name="PWRGENCASH" localSheetId="0">#REF!</definedName>
    <definedName name="PWRGENCASH">#REF!</definedName>
    <definedName name="QtrbyMonth" localSheetId="0">#REF!</definedName>
    <definedName name="QtrbyMonth">#REF!</definedName>
    <definedName name="RangeRptgMo">[10]Main!$K$11</definedName>
    <definedName name="RangeRptgYr">[11]Main!$G$5</definedName>
    <definedName name="REPORT" localSheetId="0">#REF!</definedName>
    <definedName name="REPORT" localSheetId="6">#REF!</definedName>
    <definedName name="REPORT">#REF!</definedName>
    <definedName name="ReportTitle1" localSheetId="0">#REF!</definedName>
    <definedName name="ReportTitle1">#REF!</definedName>
    <definedName name="require_hide_ku_01" localSheetId="0">'[4]LGE Require &amp; Source'!#REF!</definedName>
    <definedName name="require_hide_ku_01">'[4]LGE Require &amp; Source'!#REF!</definedName>
    <definedName name="require_hide_lge_01" localSheetId="0">'[4]LGE Require &amp; Source'!#REF!</definedName>
    <definedName name="require_hide_lge_01">'[4]LGE Require &amp; Source'!#REF!</definedName>
    <definedName name="require_ku_01" localSheetId="0">'[4]LGE Require &amp; Source'!#REF!</definedName>
    <definedName name="require_ku_01">'[4]LGE Require &amp; Source'!#REF!</definedName>
    <definedName name="Requirements_Annual_KU" localSheetId="0">'[4]LGE Require &amp; Source'!#REF!</definedName>
    <definedName name="Requirements_Annual_KU">'[4]LGE Require &amp; Source'!#REF!</definedName>
    <definedName name="Requirements_Data" localSheetId="0">'[4]LGE Require &amp; Source'!#REF!</definedName>
    <definedName name="Requirements_Data">'[4]LGE Require &amp; Source'!#REF!</definedName>
    <definedName name="Requirements_KU" localSheetId="0">'[4]LGE Require &amp; Source'!#REF!</definedName>
    <definedName name="Requirements_KU">'[4]LGE Require &amp; Source'!#REF!</definedName>
    <definedName name="RevCol01" localSheetId="0">#REF!</definedName>
    <definedName name="RevCol01">#REF!</definedName>
    <definedName name="RevCol01A" localSheetId="0">#REF!</definedName>
    <definedName name="RevCol01A">#REF!</definedName>
    <definedName name="RevCol01B" localSheetId="0">#REF!</definedName>
    <definedName name="RevCol01B" localSheetId="6">#REF!</definedName>
    <definedName name="RevCol01B">[12]RevDatabase!#REF!</definedName>
    <definedName name="RevCol02" localSheetId="0">#REF!</definedName>
    <definedName name="RevCol02">#REF!</definedName>
    <definedName name="RevCol02A" localSheetId="0">#REF!</definedName>
    <definedName name="RevCol02A">#REF!</definedName>
    <definedName name="RevCol02B" localSheetId="0">#REF!</definedName>
    <definedName name="RevCol02B" localSheetId="6">#REF!</definedName>
    <definedName name="RevCol02B">[12]RevDatabase!#REF!</definedName>
    <definedName name="RevCol03" localSheetId="0">#REF!</definedName>
    <definedName name="RevCol03">#REF!</definedName>
    <definedName name="RevCol04" localSheetId="0">#REF!</definedName>
    <definedName name="RevCol04">#REF!</definedName>
    <definedName name="RevCol05" localSheetId="0">#REF!</definedName>
    <definedName name="RevCol05">#REF!</definedName>
    <definedName name="RevCol06" localSheetId="0">#REF!</definedName>
    <definedName name="RevCol06">#REF!</definedName>
    <definedName name="RevCol07" localSheetId="0">#REF!</definedName>
    <definedName name="RevCol07">#REF!</definedName>
    <definedName name="RevCol08" localSheetId="0">#REF!</definedName>
    <definedName name="RevCol08">#REF!</definedName>
    <definedName name="RevCol09" localSheetId="0">#REF!</definedName>
    <definedName name="RevCol09">#REF!</definedName>
    <definedName name="RevCol10" localSheetId="0">#REF!</definedName>
    <definedName name="RevCol10">#REF!</definedName>
    <definedName name="RevCol11" localSheetId="0">#REF!</definedName>
    <definedName name="RevCol11">#REF!</definedName>
    <definedName name="RevCol12" localSheetId="0">#REF!</definedName>
    <definedName name="RevCol12">#REF!</definedName>
    <definedName name="RevCol13" localSheetId="0">#REF!</definedName>
    <definedName name="RevCol13">#REF!</definedName>
    <definedName name="RevCol14" localSheetId="0">#REF!</definedName>
    <definedName name="RevCol14">#REF!</definedName>
    <definedName name="RevCol15" localSheetId="0">#REF!</definedName>
    <definedName name="RevCol15">#REF!</definedName>
    <definedName name="RevCol16" localSheetId="0">#REF!</definedName>
    <definedName name="RevCol16">#REF!</definedName>
    <definedName name="RevCol17" localSheetId="0">#REF!</definedName>
    <definedName name="RevCol17">#REF!</definedName>
    <definedName name="RevCol18" localSheetId="0">#REF!</definedName>
    <definedName name="RevCol18">#REF!</definedName>
    <definedName name="RevCol19" localSheetId="0">#REF!</definedName>
    <definedName name="RevCol19">#REF!</definedName>
    <definedName name="RevCol20" localSheetId="0">#REF!</definedName>
    <definedName name="RevCol20">#REF!</definedName>
    <definedName name="RevCol21" localSheetId="0">#REF!</definedName>
    <definedName name="RevCol21">#REF!</definedName>
    <definedName name="RevCol22" localSheetId="0">#REF!</definedName>
    <definedName name="RevCol22">#REF!</definedName>
    <definedName name="RevCol23" localSheetId="0">#REF!</definedName>
    <definedName name="RevCol23">#REF!</definedName>
    <definedName name="RevCol24" localSheetId="0">#REF!</definedName>
    <definedName name="RevCol24">#REF!</definedName>
    <definedName name="RevCol25" localSheetId="0">#REF!</definedName>
    <definedName name="RevCol25">#REF!</definedName>
    <definedName name="RevCol26" localSheetId="0">#REF!</definedName>
    <definedName name="RevCol26">#REF!</definedName>
    <definedName name="RevCol27" localSheetId="0">#REF!</definedName>
    <definedName name="RevCol27">#REF!</definedName>
    <definedName name="RevCol28" localSheetId="0">#REF!</definedName>
    <definedName name="RevCol28">#REF!</definedName>
    <definedName name="RevCol29" localSheetId="0">#REF!</definedName>
    <definedName name="RevCol29">#REF!</definedName>
    <definedName name="RevCol30" localSheetId="0">#REF!</definedName>
    <definedName name="RevCol30">#REF!</definedName>
    <definedName name="RevCol31" localSheetId="0">#REF!</definedName>
    <definedName name="RevCol31">#REF!</definedName>
    <definedName name="RevCol32" localSheetId="0">#REF!</definedName>
    <definedName name="RevCol32">#REF!</definedName>
    <definedName name="RevCol33" localSheetId="0">#REF!</definedName>
    <definedName name="RevCol33">#REF!</definedName>
    <definedName name="RevCol34" localSheetId="0">#REF!</definedName>
    <definedName name="RevCol34">#REF!</definedName>
    <definedName name="RevCol35" localSheetId="0">#REF!</definedName>
    <definedName name="RevCol35">#REF!</definedName>
    <definedName name="RevCol36" localSheetId="0">#REF!</definedName>
    <definedName name="RevCol36">#REF!</definedName>
    <definedName name="RevCol37" localSheetId="0">#REF!</definedName>
    <definedName name="RevCol37">#REF!</definedName>
    <definedName name="RevColTmp" localSheetId="0">#REF!</definedName>
    <definedName name="RevColTmp" localSheetId="6">#REF!</definedName>
    <definedName name="RevColTmp">[12]RevDatabase!#REF!</definedName>
    <definedName name="RevColTmpA" localSheetId="0">#REF!</definedName>
    <definedName name="RevColTmpA" localSheetId="6">#REF!</definedName>
    <definedName name="RevColTmpA">[12]RevDatabase!#REF!</definedName>
    <definedName name="RevColTmpB" localSheetId="0">#REF!</definedName>
    <definedName name="RevColTmpB" localSheetId="6">#REF!</definedName>
    <definedName name="RevColTmpB">[12]RevDatabase!#REF!</definedName>
    <definedName name="revenues_hide_ku_01" localSheetId="0">'[4]KU Other Electric Revenues'!#REF!</definedName>
    <definedName name="revenues_hide_ku_01">'[4]KU Other Electric Revenues'!#REF!</definedName>
    <definedName name="revenues_ku_01" localSheetId="0">'[4]KU Other Electric Revenues'!#REF!</definedName>
    <definedName name="revenues_ku_01">'[4]KU Other Electric Revenues'!#REF!</definedName>
    <definedName name="RowDetails1" localSheetId="0">#REF!</definedName>
    <definedName name="RowDetails1">#REF!</definedName>
    <definedName name="RPTCOL" localSheetId="0">#REF!</definedName>
    <definedName name="RPTCOL">#REF!</definedName>
    <definedName name="RPTROW" localSheetId="0">#REF!</definedName>
    <definedName name="RPTROW">#REF!</definedName>
    <definedName name="Sales" localSheetId="0">'[4]LGE Sales'!#REF!</definedName>
    <definedName name="Sales">'[4]LGE Sales'!#REF!</definedName>
    <definedName name="sales_hide_ku_01" localSheetId="0">'[4]LGE Sales'!#REF!</definedName>
    <definedName name="sales_hide_ku_01">'[4]LGE Sales'!#REF!</definedName>
    <definedName name="sales_ku_01" localSheetId="0">'[4]LGE Sales'!#REF!</definedName>
    <definedName name="sales_ku_01">'[4]LGE Sales'!#REF!</definedName>
    <definedName name="sales_title_ku" localSheetId="0">'[4]LGE Sales'!#REF!</definedName>
    <definedName name="sales_title_ku">'[4]LGE Sales'!#REF!</definedName>
    <definedName name="SCHEDZ" localSheetId="0">#REF!</definedName>
    <definedName name="SCHEDZ" localSheetId="6">#REF!</definedName>
    <definedName name="SCHEDZ">#REF!</definedName>
    <definedName name="shoot" localSheetId="0">#REF!</definedName>
    <definedName name="shoot">#REF!</definedName>
    <definedName name="START" localSheetId="0">#REF!</definedName>
    <definedName name="START">#REF!</definedName>
    <definedName name="START2" localSheetId="0">#REF!</definedName>
    <definedName name="START2">#REF!</definedName>
    <definedName name="START3" localSheetId="0">#REF!</definedName>
    <definedName name="START3">#REF!</definedName>
    <definedName name="Support" localSheetId="0">#REF!</definedName>
    <definedName name="Support" localSheetId="6">#REF!</definedName>
    <definedName name="Support">#REF!</definedName>
    <definedName name="SUPPORT5" localSheetId="0">#REF!</definedName>
    <definedName name="SUPPORT5" localSheetId="6">#REF!</definedName>
    <definedName name="SUPPORT5">#REF!</definedName>
    <definedName name="SUPPORT6" localSheetId="0">#REF!</definedName>
    <definedName name="SUPPORT6" localSheetId="6">#REF!</definedName>
    <definedName name="SUPPORT6">#REF!</definedName>
    <definedName name="TAX_RATE" localSheetId="0">'[7]#REF'!#REF!</definedName>
    <definedName name="TAX_RATE">'[7]#REF'!#REF!</definedName>
    <definedName name="TempReptgMo">[5]Input!$AG$19</definedName>
    <definedName name="TempReptgYr">[5]Input!$AG$21</definedName>
    <definedName name="TenyrNIAC" localSheetId="0">#REF!</definedName>
    <definedName name="TenyrNIAC">#REF!</definedName>
    <definedName name="TenyrRev" localSheetId="0">#REF!</definedName>
    <definedName name="TenyrRev">#REF!</definedName>
    <definedName name="test" localSheetId="0">'Exhibit JFW-2'!test</definedName>
    <definedName name="test" localSheetId="6">RS!test</definedName>
    <definedName name="test">[0]!test</definedName>
    <definedName name="Title" localSheetId="0">#REF!</definedName>
    <definedName name="Title">#REF!</definedName>
    <definedName name="Title_Choice" localSheetId="0">#REF!</definedName>
    <definedName name="Title_Choice">#REF!</definedName>
    <definedName name="Titles" localSheetId="0">#REF!</definedName>
    <definedName name="Titles">#REF!</definedName>
    <definedName name="Titles_KU" localSheetId="0">#REF!</definedName>
    <definedName name="Titles_KU">#REF!</definedName>
    <definedName name="ttt" localSheetId="0">#REF!</definedName>
    <definedName name="ttt" localSheetId="6">#REF!</definedName>
    <definedName name="ttt">#REF!</definedName>
    <definedName name="UpdateDate">[5]Input!$M$12</definedName>
    <definedName name="UpdateTime">[5]Input!$O$12</definedName>
    <definedName name="Variance" localSheetId="0">#REF!</definedName>
    <definedName name="Variance">#REF!</definedName>
    <definedName name="VIEW1" localSheetId="0">#REF!</definedName>
    <definedName name="VIEW1">#REF!</definedName>
    <definedName name="vol_rev_annual_ku" localSheetId="0">'[4]LGE Retail Margin'!#REF!</definedName>
    <definedName name="vol_rev_annual_ku">'[4]LGE Retail Margin'!#REF!</definedName>
    <definedName name="vol_rev_hide_ku_monthly" localSheetId="0">'[4]LGE Retail Margin'!#REF!</definedName>
    <definedName name="vol_rev_hide_ku_monthly">'[4]LGE Retail Margin'!#REF!</definedName>
    <definedName name="vol_rev_hide_lge_01" localSheetId="0">'[4]LGE Retail Margin'!#REF!</definedName>
    <definedName name="vol_rev_hide_lge_01">'[4]LGE Retail Margin'!#REF!</definedName>
    <definedName name="vol_rev_ku_monthly" localSheetId="0">'[4]LGE Retail Margin'!#REF!</definedName>
    <definedName name="vol_rev_ku_monthly">'[4]LGE Retail Margin'!#REF!</definedName>
    <definedName name="volrev_data" localSheetId="0">'[4]LGE Retail Margin'!#REF!</definedName>
    <definedName name="volrev_data">'[4]LGE Retail Margin'!#REF!</definedName>
    <definedName name="YTD" localSheetId="0">#REF!</definedName>
    <definedName name="YTD" localSheetId="6">#REF!</definedName>
    <definedName name="YTD">#REF!</definedName>
  </definedNames>
  <calcPr calcId="171027"/>
</workbook>
</file>

<file path=xl/calcChain.xml><?xml version="1.0" encoding="utf-8"?>
<calcChain xmlns="http://schemas.openxmlformats.org/spreadsheetml/2006/main">
  <c r="K43" i="15" l="1"/>
  <c r="K42" i="15"/>
  <c r="K36" i="15"/>
  <c r="K33" i="15"/>
  <c r="K32" i="15"/>
  <c r="K31" i="15"/>
  <c r="H58" i="15"/>
  <c r="E58" i="15"/>
  <c r="K55" i="15"/>
  <c r="P1102" i="2" l="1"/>
  <c r="P1100" i="2" s="1"/>
  <c r="F1100" i="2" s="1"/>
  <c r="F1102" i="2" l="1"/>
  <c r="K55" i="14"/>
  <c r="E58" i="14" l="1"/>
  <c r="G964" i="2" l="1"/>
  <c r="H58" i="14" l="1"/>
  <c r="G1041" i="2" l="1"/>
  <c r="F846" i="2" l="1"/>
  <c r="E893" i="2"/>
  <c r="E892" i="2"/>
  <c r="E31" i="5" l="1"/>
  <c r="S1070" i="2" l="1"/>
  <c r="H1077" i="2"/>
  <c r="U1077" i="2"/>
  <c r="T1077" i="2"/>
  <c r="S1077" i="2"/>
  <c r="R1077" i="2"/>
  <c r="Q1077" i="2"/>
  <c r="P1077" i="2"/>
  <c r="O1077" i="2"/>
  <c r="N1077" i="2"/>
  <c r="K1077" i="2"/>
  <c r="J1077" i="2"/>
  <c r="F703" i="2"/>
  <c r="F813" i="2" l="1"/>
  <c r="F722" i="2"/>
  <c r="F112" i="1" l="1"/>
  <c r="F103" i="1"/>
  <c r="R1033" i="2" l="1"/>
  <c r="Q1033" i="2"/>
  <c r="P1033" i="2"/>
  <c r="O1033" i="2"/>
  <c r="N1033" i="2"/>
  <c r="K1033" i="2"/>
  <c r="J1033" i="2"/>
  <c r="H1033" i="2"/>
  <c r="G1033" i="2"/>
  <c r="E868" i="2" l="1"/>
  <c r="F577" i="1" l="1"/>
  <c r="F600" i="1" l="1"/>
  <c r="F327" i="1"/>
  <c r="F101" i="1" l="1"/>
  <c r="F104" i="1"/>
  <c r="F102" i="1"/>
  <c r="F64" i="1"/>
  <c r="F65" i="1"/>
  <c r="F77" i="1"/>
  <c r="F62" i="1"/>
  <c r="F60" i="1"/>
  <c r="F40" i="1"/>
  <c r="F39" i="1"/>
  <c r="F38" i="1"/>
  <c r="F30" i="5" l="1"/>
  <c r="F28" i="5"/>
  <c r="F26" i="5"/>
  <c r="F24" i="5"/>
  <c r="F22" i="5"/>
  <c r="F20" i="5"/>
  <c r="F18" i="5"/>
  <c r="F16" i="5"/>
  <c r="F14" i="5"/>
  <c r="F12" i="5"/>
  <c r="F10" i="5"/>
  <c r="D8" i="5"/>
  <c r="F8" i="5" s="1"/>
  <c r="S1025" i="2" l="1"/>
  <c r="B30" i="5"/>
  <c r="B28" i="5"/>
  <c r="B26" i="5"/>
  <c r="B24" i="5"/>
  <c r="B22" i="5"/>
  <c r="B20" i="5"/>
  <c r="B18" i="5"/>
  <c r="B16" i="5"/>
  <c r="B14" i="5"/>
  <c r="B12" i="5"/>
  <c r="B10" i="5"/>
  <c r="B8" i="5"/>
  <c r="C14" i="5"/>
  <c r="C10" i="5"/>
  <c r="C8" i="5"/>
  <c r="H632" i="1" l="1"/>
  <c r="N1097" i="2" l="1"/>
  <c r="G30" i="5"/>
  <c r="U1033" i="2" s="1"/>
  <c r="G28" i="5"/>
  <c r="T1033" i="2" s="1"/>
  <c r="G26" i="5"/>
  <c r="S1033" i="2" s="1"/>
  <c r="G1036" i="2"/>
  <c r="N1034" i="2"/>
  <c r="N1010" i="2"/>
  <c r="N1006" i="2"/>
  <c r="N1005" i="2"/>
  <c r="C24" i="7"/>
  <c r="H1006" i="2"/>
  <c r="H1005" i="2"/>
  <c r="H1010" i="2"/>
  <c r="H1034" i="2"/>
  <c r="H1035" i="2"/>
  <c r="H1036" i="2"/>
  <c r="H30" i="5"/>
  <c r="H28" i="5"/>
  <c r="H26" i="5"/>
  <c r="H24" i="5"/>
  <c r="H22" i="5"/>
  <c r="H20" i="5"/>
  <c r="H18" i="5"/>
  <c r="H16" i="5"/>
  <c r="H14" i="5"/>
  <c r="H12" i="5"/>
  <c r="H10" i="5"/>
  <c r="H8" i="5"/>
  <c r="H1007" i="2" l="1"/>
  <c r="AA1033" i="2"/>
  <c r="AB1033" i="2" s="1"/>
  <c r="F465" i="1"/>
  <c r="W619" i="1" l="1"/>
  <c r="V619" i="1"/>
  <c r="U619" i="1"/>
  <c r="T619" i="1"/>
  <c r="W617" i="1"/>
  <c r="V617" i="1"/>
  <c r="U617" i="1"/>
  <c r="T617" i="1"/>
  <c r="F255" i="1" l="1"/>
  <c r="F254" i="1"/>
  <c r="F238" i="1"/>
  <c r="F236" i="1"/>
  <c r="F232" i="1"/>
  <c r="F235" i="1"/>
  <c r="F231" i="1"/>
  <c r="F229" i="1"/>
  <c r="F228" i="1"/>
  <c r="F227" i="1"/>
  <c r="F107" i="1" l="1"/>
  <c r="F48" i="1"/>
  <c r="F35" i="1"/>
  <c r="F29" i="1"/>
  <c r="F50" i="1" l="1"/>
  <c r="F116" i="1" l="1"/>
  <c r="N1051" i="2" l="1"/>
  <c r="E935" i="2"/>
  <c r="U1035" i="2"/>
  <c r="T1035" i="2"/>
  <c r="S1035" i="2"/>
  <c r="K1035" i="2"/>
  <c r="G1035" i="2"/>
  <c r="J1030" i="2"/>
  <c r="L1030" i="2"/>
  <c r="M1030" i="2"/>
  <c r="N1030" i="2"/>
  <c r="P1030" i="2"/>
  <c r="Q1030" i="2"/>
  <c r="R1030" i="2"/>
  <c r="A42" i="4"/>
  <c r="A65" i="4" s="1"/>
  <c r="A43" i="4"/>
  <c r="A66" i="4" s="1"/>
  <c r="A33" i="4"/>
  <c r="A56" i="4" s="1"/>
  <c r="A34" i="4"/>
  <c r="A57" i="4" s="1"/>
  <c r="A35" i="4"/>
  <c r="A58" i="4" s="1"/>
  <c r="A36" i="4"/>
  <c r="A59" i="4" s="1"/>
  <c r="A37" i="4"/>
  <c r="A60" i="4" s="1"/>
  <c r="A38" i="4"/>
  <c r="A61" i="4" s="1"/>
  <c r="A39" i="4"/>
  <c r="A62" i="4" s="1"/>
  <c r="A40" i="4"/>
  <c r="A63" i="4" s="1"/>
  <c r="A41" i="4"/>
  <c r="A64" i="4" s="1"/>
  <c r="A32" i="4"/>
  <c r="A55" i="4" s="1"/>
  <c r="AA768" i="2"/>
  <c r="AB768" i="2" s="1"/>
  <c r="T1005" i="2"/>
  <c r="S1005" i="2"/>
  <c r="R1005" i="2"/>
  <c r="P1005" i="2"/>
  <c r="O1005" i="2"/>
  <c r="V618" i="1"/>
  <c r="U618" i="1"/>
  <c r="Q1005" i="2"/>
  <c r="S1010" i="2"/>
  <c r="S1011" i="2" s="1"/>
  <c r="S1014" i="2" s="1"/>
  <c r="AA1014" i="2" s="1"/>
  <c r="AB1014" i="2" s="1"/>
  <c r="D30" i="8"/>
  <c r="E30" i="8" s="1"/>
  <c r="Q1010" i="2"/>
  <c r="Q1011" i="2" s="1"/>
  <c r="D22" i="8"/>
  <c r="E22" i="8" s="1"/>
  <c r="D20" i="8"/>
  <c r="E20" i="8" s="1"/>
  <c r="O1035" i="2"/>
  <c r="O1044" i="2"/>
  <c r="L1011" i="2"/>
  <c r="L1012" i="2" s="1"/>
  <c r="L1013" i="2" s="1"/>
  <c r="J1005" i="2"/>
  <c r="D14" i="7"/>
  <c r="E14" i="7" s="1"/>
  <c r="K1010" i="2"/>
  <c r="I1011" i="2"/>
  <c r="I1022" i="2" s="1"/>
  <c r="I1029" i="2" s="1"/>
  <c r="U1005" i="2"/>
  <c r="G1010" i="2"/>
  <c r="G1011" i="2" s="1"/>
  <c r="G1022" i="2" s="1"/>
  <c r="T1044" i="2"/>
  <c r="N1044" i="2"/>
  <c r="L1044" i="2"/>
  <c r="T1051" i="2"/>
  <c r="I1051" i="2"/>
  <c r="H1051" i="2"/>
  <c r="G1044" i="2"/>
  <c r="G1051" i="2"/>
  <c r="T1036" i="2"/>
  <c r="T1034" i="2"/>
  <c r="K1034" i="2"/>
  <c r="J1034" i="2"/>
  <c r="G1034" i="2"/>
  <c r="J1044" i="2"/>
  <c r="J1051" i="2"/>
  <c r="V954" i="2"/>
  <c r="Z866" i="2"/>
  <c r="Y866" i="2"/>
  <c r="X866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M784" i="2"/>
  <c r="V1007" i="2"/>
  <c r="V1058" i="2" s="1"/>
  <c r="W1007" i="2"/>
  <c r="W1058" i="2" s="1"/>
  <c r="M1044" i="2"/>
  <c r="M1051" i="2"/>
  <c r="O1006" i="2"/>
  <c r="C32" i="7"/>
  <c r="C30" i="7"/>
  <c r="F130" i="1"/>
  <c r="U1044" i="2"/>
  <c r="S1044" i="2"/>
  <c r="R1044" i="2"/>
  <c r="Q1044" i="2"/>
  <c r="P1044" i="2"/>
  <c r="U1051" i="2"/>
  <c r="S1051" i="2"/>
  <c r="R1051" i="2"/>
  <c r="Q1051" i="2"/>
  <c r="P1051" i="2"/>
  <c r="U1036" i="2"/>
  <c r="S1036" i="2"/>
  <c r="U1034" i="2"/>
  <c r="S1034" i="2"/>
  <c r="R1034" i="2"/>
  <c r="Q1034" i="2"/>
  <c r="V1080" i="2"/>
  <c r="W1080" i="2"/>
  <c r="X1080" i="2"/>
  <c r="Y1080" i="2"/>
  <c r="Z1080" i="2"/>
  <c r="E37" i="7"/>
  <c r="D30" i="7"/>
  <c r="D18" i="7"/>
  <c r="E18" i="7" s="1"/>
  <c r="D16" i="7"/>
  <c r="E16" i="7" s="1"/>
  <c r="D10" i="7"/>
  <c r="E10" i="7" s="1"/>
  <c r="D18" i="8"/>
  <c r="E18" i="8" s="1"/>
  <c r="D16" i="8"/>
  <c r="E16" i="8" s="1"/>
  <c r="D10" i="8"/>
  <c r="E10" i="8" s="1"/>
  <c r="E37" i="8"/>
  <c r="F783" i="2"/>
  <c r="I632" i="1"/>
  <c r="J632" i="1"/>
  <c r="F643" i="1"/>
  <c r="W618" i="1"/>
  <c r="AF617" i="1"/>
  <c r="AG617" i="1" s="1"/>
  <c r="O1051" i="2"/>
  <c r="O1034" i="2"/>
  <c r="O784" i="2"/>
  <c r="E2" i="2"/>
  <c r="F2" i="2" s="1"/>
  <c r="G2" i="2" s="1"/>
  <c r="F778" i="2"/>
  <c r="F779" i="2"/>
  <c r="G784" i="2"/>
  <c r="H784" i="2"/>
  <c r="I784" i="2"/>
  <c r="J784" i="2"/>
  <c r="K784" i="2"/>
  <c r="L784" i="2"/>
  <c r="N784" i="2"/>
  <c r="Q784" i="2"/>
  <c r="R784" i="2"/>
  <c r="S784" i="2"/>
  <c r="T784" i="2"/>
  <c r="U784" i="2"/>
  <c r="V784" i="2"/>
  <c r="W784" i="2"/>
  <c r="X784" i="2"/>
  <c r="Y784" i="2"/>
  <c r="Z784" i="2"/>
  <c r="F819" i="2"/>
  <c r="F902" i="2" s="1"/>
  <c r="AA891" i="2"/>
  <c r="AB891" i="2" s="1"/>
  <c r="Z948" i="2"/>
  <c r="G1006" i="2"/>
  <c r="J1006" i="2"/>
  <c r="K1006" i="2"/>
  <c r="L1007" i="2"/>
  <c r="L1058" i="2" s="1"/>
  <c r="P1006" i="2"/>
  <c r="Q1006" i="2"/>
  <c r="Q1007" i="2" s="1"/>
  <c r="R1006" i="2"/>
  <c r="R1007" i="2" s="1"/>
  <c r="S1006" i="2"/>
  <c r="T1006" i="2"/>
  <c r="U1006" i="2"/>
  <c r="U1007" i="2" s="1"/>
  <c r="V1011" i="2"/>
  <c r="V1012" i="2" s="1"/>
  <c r="V1013" i="2" s="1"/>
  <c r="W1011" i="2"/>
  <c r="W1012" i="2" s="1"/>
  <c r="W1015" i="2" s="1"/>
  <c r="X1011" i="2"/>
  <c r="X1012" i="2" s="1"/>
  <c r="X1013" i="2" s="1"/>
  <c r="X1015" i="2" s="1"/>
  <c r="Y1011" i="2"/>
  <c r="Y1012" i="2" s="1"/>
  <c r="Y1013" i="2" s="1"/>
  <c r="Y1015" i="2" s="1"/>
  <c r="Z1011" i="2"/>
  <c r="Z1012" i="2" s="1"/>
  <c r="Z1013" i="2" s="1"/>
  <c r="Z1015" i="2" s="1"/>
  <c r="X1018" i="2"/>
  <c r="Y1018" i="2"/>
  <c r="Z1018" i="2"/>
  <c r="V1023" i="2"/>
  <c r="V1024" i="2" s="1"/>
  <c r="W1023" i="2"/>
  <c r="W1024" i="2" s="1"/>
  <c r="X1023" i="2"/>
  <c r="X1024" i="2" s="1"/>
  <c r="X1026" i="2" s="1"/>
  <c r="Y1023" i="2"/>
  <c r="Y1024" i="2" s="1"/>
  <c r="Y1026" i="2" s="1"/>
  <c r="Z1023" i="2"/>
  <c r="Z1024" i="2" s="1"/>
  <c r="Z1026" i="2" s="1"/>
  <c r="V1029" i="2"/>
  <c r="W1029" i="2"/>
  <c r="X1029" i="2"/>
  <c r="Y1029" i="2"/>
  <c r="Z1029" i="2"/>
  <c r="F1044" i="2"/>
  <c r="V1044" i="2"/>
  <c r="W1044" i="2"/>
  <c r="X1044" i="2"/>
  <c r="Y1044" i="2"/>
  <c r="Z1044" i="2"/>
  <c r="AA1046" i="2"/>
  <c r="AB1046" i="2" s="1"/>
  <c r="F1051" i="2"/>
  <c r="V1051" i="2"/>
  <c r="W1051" i="2"/>
  <c r="X1051" i="2"/>
  <c r="Y1051" i="2"/>
  <c r="Z1051" i="2"/>
  <c r="AA1053" i="2"/>
  <c r="AB1053" i="2" s="1"/>
  <c r="F1058" i="2"/>
  <c r="X1058" i="2"/>
  <c r="Y1058" i="2"/>
  <c r="Z1058" i="2"/>
  <c r="AA1060" i="2"/>
  <c r="AB1060" i="2" s="1"/>
  <c r="F1084" i="2"/>
  <c r="H1097" i="2"/>
  <c r="P1097" i="2"/>
  <c r="Q1097" i="2"/>
  <c r="R1097" i="2"/>
  <c r="U1097" i="2"/>
  <c r="F1071" i="2"/>
  <c r="AA1073" i="2"/>
  <c r="AB1073" i="2" s="1"/>
  <c r="AA1074" i="2"/>
  <c r="AB1074" i="2" s="1"/>
  <c r="AA1075" i="2"/>
  <c r="AB1075" i="2" s="1"/>
  <c r="AA1078" i="2"/>
  <c r="AB1078" i="2" s="1"/>
  <c r="D2" i="1"/>
  <c r="E2" i="1" s="1"/>
  <c r="F2" i="1" s="1"/>
  <c r="G2" i="1" s="1"/>
  <c r="H2" i="1" s="1"/>
  <c r="G15" i="1"/>
  <c r="F79" i="1"/>
  <c r="F96" i="1" s="1"/>
  <c r="F122" i="1"/>
  <c r="F138" i="1"/>
  <c r="F155" i="1"/>
  <c r="F164" i="1"/>
  <c r="F176" i="1"/>
  <c r="F185" i="1"/>
  <c r="F196" i="1"/>
  <c r="F206" i="1"/>
  <c r="F221" i="1"/>
  <c r="F241" i="1"/>
  <c r="G241" i="1"/>
  <c r="F259" i="1"/>
  <c r="G259" i="1"/>
  <c r="F273" i="1"/>
  <c r="G273" i="1"/>
  <c r="F291" i="1"/>
  <c r="G291" i="1"/>
  <c r="F306" i="1"/>
  <c r="G306" i="1"/>
  <c r="F331" i="1"/>
  <c r="G331" i="1"/>
  <c r="G335" i="1"/>
  <c r="F372" i="1"/>
  <c r="F381" i="1"/>
  <c r="F393" i="1"/>
  <c r="F402" i="1"/>
  <c r="F415" i="1"/>
  <c r="F423" i="1"/>
  <c r="F425" i="1" s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AA1079" i="2"/>
  <c r="AB1079" i="2" s="1"/>
  <c r="AA1076" i="2"/>
  <c r="AB1076" i="2" s="1"/>
  <c r="AA1069" i="2"/>
  <c r="AB1069" i="2" s="1"/>
  <c r="G31" i="5"/>
  <c r="K31" i="5"/>
  <c r="J31" i="5"/>
  <c r="F15" i="1"/>
  <c r="AA1072" i="2"/>
  <c r="AB1072" i="2" s="1"/>
  <c r="B31" i="5"/>
  <c r="M1011" i="2"/>
  <c r="M1012" i="2" s="1"/>
  <c r="T618" i="1"/>
  <c r="F1088" i="2"/>
  <c r="F1089" i="2" s="1"/>
  <c r="M1007" i="2"/>
  <c r="M1058" i="2" s="1"/>
  <c r="G792" i="2"/>
  <c r="G790" i="2"/>
  <c r="G766" i="2"/>
  <c r="G764" i="2"/>
  <c r="G763" i="2"/>
  <c r="G793" i="2"/>
  <c r="G794" i="2"/>
  <c r="H790" i="2"/>
  <c r="H766" i="2"/>
  <c r="H764" i="2"/>
  <c r="H792" i="2"/>
  <c r="H763" i="2"/>
  <c r="H794" i="2"/>
  <c r="H793" i="2"/>
  <c r="I794" i="2"/>
  <c r="I764" i="2"/>
  <c r="I763" i="2"/>
  <c r="I793" i="2"/>
  <c r="I766" i="2"/>
  <c r="I790" i="2"/>
  <c r="I792" i="2"/>
  <c r="J763" i="2"/>
  <c r="J792" i="2"/>
  <c r="J793" i="2"/>
  <c r="J790" i="2"/>
  <c r="J764" i="2"/>
  <c r="J766" i="2"/>
  <c r="J794" i="2"/>
  <c r="K792" i="2"/>
  <c r="K764" i="2"/>
  <c r="K790" i="2"/>
  <c r="K793" i="2"/>
  <c r="K766" i="2"/>
  <c r="K763" i="2"/>
  <c r="K794" i="2"/>
  <c r="L790" i="2"/>
  <c r="L766" i="2"/>
  <c r="L763" i="2"/>
  <c r="L792" i="2"/>
  <c r="L793" i="2"/>
  <c r="L764" i="2"/>
  <c r="L794" i="2"/>
  <c r="M792" i="2"/>
  <c r="M763" i="2"/>
  <c r="M764" i="2"/>
  <c r="M793" i="2"/>
  <c r="M790" i="2"/>
  <c r="M766" i="2"/>
  <c r="M794" i="2"/>
  <c r="N763" i="2"/>
  <c r="N764" i="2"/>
  <c r="N793" i="2"/>
  <c r="N790" i="2"/>
  <c r="N766" i="2"/>
  <c r="N792" i="2"/>
  <c r="N794" i="2"/>
  <c r="O792" i="2"/>
  <c r="O764" i="2"/>
  <c r="O766" i="2"/>
  <c r="O763" i="2"/>
  <c r="O790" i="2"/>
  <c r="O793" i="2"/>
  <c r="O794" i="2"/>
  <c r="P793" i="2"/>
  <c r="P792" i="2"/>
  <c r="P766" i="2"/>
  <c r="P763" i="2"/>
  <c r="P764" i="2"/>
  <c r="P790" i="2"/>
  <c r="P794" i="2"/>
  <c r="Q764" i="2"/>
  <c r="Q793" i="2"/>
  <c r="Q763" i="2"/>
  <c r="Q790" i="2"/>
  <c r="Q792" i="2"/>
  <c r="Q766" i="2"/>
  <c r="Q794" i="2"/>
  <c r="R792" i="2"/>
  <c r="R766" i="2"/>
  <c r="R793" i="2"/>
  <c r="R790" i="2"/>
  <c r="R763" i="2"/>
  <c r="R764" i="2"/>
  <c r="R794" i="2"/>
  <c r="S793" i="2"/>
  <c r="S792" i="2"/>
  <c r="S763" i="2"/>
  <c r="S766" i="2"/>
  <c r="S790" i="2"/>
  <c r="S764" i="2"/>
  <c r="S794" i="2"/>
  <c r="T766" i="2"/>
  <c r="T794" i="2"/>
  <c r="T764" i="2"/>
  <c r="T763" i="2"/>
  <c r="T792" i="2"/>
  <c r="T790" i="2"/>
  <c r="T793" i="2"/>
  <c r="U793" i="2"/>
  <c r="U792" i="2"/>
  <c r="U766" i="2"/>
  <c r="U794" i="2"/>
  <c r="U790" i="2"/>
  <c r="U764" i="2"/>
  <c r="U763" i="2"/>
  <c r="V793" i="2"/>
  <c r="V790" i="2"/>
  <c r="V764" i="2"/>
  <c r="V766" i="2"/>
  <c r="V763" i="2"/>
  <c r="V794" i="2"/>
  <c r="V792" i="2"/>
  <c r="W763" i="2"/>
  <c r="W790" i="2"/>
  <c r="W764" i="2"/>
  <c r="W766" i="2"/>
  <c r="W794" i="2"/>
  <c r="W793" i="2"/>
  <c r="W792" i="2"/>
  <c r="X793" i="2"/>
  <c r="X792" i="2"/>
  <c r="X764" i="2"/>
  <c r="X790" i="2"/>
  <c r="X794" i="2"/>
  <c r="X763" i="2"/>
  <c r="X766" i="2"/>
  <c r="Y793" i="2"/>
  <c r="Y763" i="2"/>
  <c r="Y766" i="2"/>
  <c r="Y790" i="2"/>
  <c r="Y794" i="2"/>
  <c r="Y764" i="2"/>
  <c r="Y792" i="2"/>
  <c r="Z766" i="2"/>
  <c r="Z790" i="2"/>
  <c r="Z792" i="2"/>
  <c r="Z763" i="2"/>
  <c r="Z793" i="2"/>
  <c r="Z794" i="2"/>
  <c r="Z764" i="2"/>
  <c r="H1011" i="2"/>
  <c r="H1012" i="2" s="1"/>
  <c r="D26" i="8"/>
  <c r="E26" i="8" s="1"/>
  <c r="R1010" i="2"/>
  <c r="R1011" i="2" s="1"/>
  <c r="R1022" i="2" s="1"/>
  <c r="R1029" i="2" s="1"/>
  <c r="U1010" i="2"/>
  <c r="U1011" i="2" s="1"/>
  <c r="U1022" i="2" s="1"/>
  <c r="D32" i="7"/>
  <c r="E32" i="7" s="1"/>
  <c r="P1010" i="2"/>
  <c r="D26" i="7"/>
  <c r="D32" i="8"/>
  <c r="E32" i="8" s="1"/>
  <c r="D31" i="5"/>
  <c r="H1044" i="2"/>
  <c r="D28" i="7"/>
  <c r="E28" i="7" s="1"/>
  <c r="D22" i="7"/>
  <c r="E22" i="7" s="1"/>
  <c r="C26" i="7"/>
  <c r="D28" i="8"/>
  <c r="E28" i="8" s="1"/>
  <c r="G1097" i="2"/>
  <c r="O1010" i="2"/>
  <c r="T1010" i="2"/>
  <c r="T1011" i="2" s="1"/>
  <c r="G1005" i="2"/>
  <c r="L1051" i="2"/>
  <c r="I1007" i="2"/>
  <c r="I1058" i="2" s="1"/>
  <c r="I1044" i="2"/>
  <c r="E49" i="15" l="1"/>
  <c r="F49" i="15"/>
  <c r="H49" i="15"/>
  <c r="G49" i="15"/>
  <c r="V1015" i="2"/>
  <c r="V1016" i="2" s="1"/>
  <c r="D34" i="14"/>
  <c r="D34" i="15"/>
  <c r="J49" i="15"/>
  <c r="I49" i="15"/>
  <c r="T1007" i="2"/>
  <c r="P1011" i="2"/>
  <c r="P1022" i="2" s="1"/>
  <c r="P1070" i="2"/>
  <c r="K1011" i="2"/>
  <c r="K1012" i="2" s="1"/>
  <c r="O1011" i="2"/>
  <c r="O1022" i="2" s="1"/>
  <c r="O1023" i="2" s="1"/>
  <c r="O1070" i="2"/>
  <c r="N1070" i="2"/>
  <c r="G1001" i="2"/>
  <c r="AA1080" i="2"/>
  <c r="AB1080" i="2" s="1"/>
  <c r="G767" i="2"/>
  <c r="W1018" i="2"/>
  <c r="W1016" i="2"/>
  <c r="W1017" i="2" s="1"/>
  <c r="L1022" i="2"/>
  <c r="L1023" i="2" s="1"/>
  <c r="L1026" i="2" s="1"/>
  <c r="W1026" i="2"/>
  <c r="W1027" i="2" s="1"/>
  <c r="W1028" i="2" s="1"/>
  <c r="W1013" i="2"/>
  <c r="F608" i="1"/>
  <c r="G275" i="1"/>
  <c r="G277" i="1" s="1"/>
  <c r="G308" i="1" s="1"/>
  <c r="AA1077" i="2"/>
  <c r="AB1077" i="2" s="1"/>
  <c r="G705" i="2"/>
  <c r="AA866" i="2"/>
  <c r="AB866" i="2" s="1"/>
  <c r="G704" i="2"/>
  <c r="L1016" i="2"/>
  <c r="G765" i="2"/>
  <c r="F1091" i="2"/>
  <c r="H2" i="2"/>
  <c r="H791" i="2" s="1"/>
  <c r="AA784" i="2"/>
  <c r="G789" i="2"/>
  <c r="L1015" i="2"/>
  <c r="L1018" i="2" s="1"/>
  <c r="G977" i="2"/>
  <c r="J1007" i="2"/>
  <c r="Q1058" i="2"/>
  <c r="U1058" i="2"/>
  <c r="T1058" i="2"/>
  <c r="G1007" i="2"/>
  <c r="R1058" i="2"/>
  <c r="G49" i="14"/>
  <c r="AF632" i="1"/>
  <c r="AG632" i="1" s="1"/>
  <c r="AA1036" i="2"/>
  <c r="AB1036" i="2" s="1"/>
  <c r="I1012" i="2"/>
  <c r="I1016" i="2" s="1"/>
  <c r="I1017" i="2" s="1"/>
  <c r="AA1034" i="2"/>
  <c r="AB1034" i="2" s="1"/>
  <c r="E26" i="7"/>
  <c r="E30" i="7"/>
  <c r="S1022" i="2"/>
  <c r="H31" i="5"/>
  <c r="S1007" i="2"/>
  <c r="R1012" i="2"/>
  <c r="R1015" i="2" s="1"/>
  <c r="R1016" i="2" s="1"/>
  <c r="E49" i="14"/>
  <c r="S1012" i="2"/>
  <c r="S1015" i="2" s="1"/>
  <c r="S1018" i="2" s="1"/>
  <c r="S1019" i="2" s="1"/>
  <c r="S1030" i="2" s="1"/>
  <c r="K1007" i="2"/>
  <c r="N1007" i="2"/>
  <c r="AA1006" i="2"/>
  <c r="AB1006" i="2" s="1"/>
  <c r="G1012" i="2"/>
  <c r="G1013" i="2" s="1"/>
  <c r="G1002" i="2" s="1"/>
  <c r="F49" i="14"/>
  <c r="H1022" i="2"/>
  <c r="H49" i="14"/>
  <c r="G760" i="2"/>
  <c r="F486" i="1"/>
  <c r="F488" i="1" s="1"/>
  <c r="F69" i="1"/>
  <c r="F95" i="1" s="1"/>
  <c r="F98" i="1" s="1"/>
  <c r="U668" i="1"/>
  <c r="AA668" i="1"/>
  <c r="V668" i="1"/>
  <c r="W668" i="1"/>
  <c r="Z668" i="1"/>
  <c r="AA766" i="2"/>
  <c r="AB766" i="2" s="1"/>
  <c r="R668" i="1"/>
  <c r="AA764" i="2"/>
  <c r="AB764" i="2" s="1"/>
  <c r="AA790" i="2"/>
  <c r="AB790" i="2" s="1"/>
  <c r="AA794" i="2"/>
  <c r="AB794" i="2" s="1"/>
  <c r="AA792" i="2"/>
  <c r="AB792" i="2" s="1"/>
  <c r="AA763" i="2"/>
  <c r="AB763" i="2" s="1"/>
  <c r="AA793" i="2"/>
  <c r="AB793" i="2" s="1"/>
  <c r="H378" i="1"/>
  <c r="H180" i="1"/>
  <c r="H193" i="1"/>
  <c r="H460" i="1"/>
  <c r="H300" i="1"/>
  <c r="H115" i="1"/>
  <c r="H40" i="1"/>
  <c r="H478" i="1" s="1"/>
  <c r="H219" i="1"/>
  <c r="H160" i="1"/>
  <c r="H413" i="1"/>
  <c r="H159" i="1"/>
  <c r="H387" i="1"/>
  <c r="H289" i="1"/>
  <c r="H133" i="1"/>
  <c r="H583" i="1"/>
  <c r="H296" i="1"/>
  <c r="H494" i="1"/>
  <c r="H511" i="1"/>
  <c r="H304" i="1"/>
  <c r="H365" i="1"/>
  <c r="H44" i="1"/>
  <c r="H461" i="1" s="1"/>
  <c r="H409" i="1"/>
  <c r="H285" i="1"/>
  <c r="H151" i="1"/>
  <c r="H398" i="1"/>
  <c r="H173" i="1"/>
  <c r="H420" i="1"/>
  <c r="H65" i="1"/>
  <c r="H506" i="1"/>
  <c r="H39" i="1"/>
  <c r="H456" i="1" s="1"/>
  <c r="H41" i="1"/>
  <c r="H268" i="1" s="1"/>
  <c r="H217" i="1"/>
  <c r="H391" i="1"/>
  <c r="H288" i="1"/>
  <c r="H150" i="1"/>
  <c r="H181" i="1"/>
  <c r="H152" i="1"/>
  <c r="H183" i="1"/>
  <c r="H147" i="1"/>
  <c r="H503" i="1"/>
  <c r="H202" i="1"/>
  <c r="H510" i="1"/>
  <c r="H299" i="1"/>
  <c r="H493" i="1"/>
  <c r="H201" i="1"/>
  <c r="H431" i="1"/>
  <c r="H172" i="1"/>
  <c r="H502" i="1"/>
  <c r="H75" i="1"/>
  <c r="H497" i="1"/>
  <c r="H45" i="1"/>
  <c r="H251" i="1" s="1"/>
  <c r="H412" i="1"/>
  <c r="H295" i="1"/>
  <c r="H162" i="1"/>
  <c r="H253" i="1"/>
  <c r="H369" i="1"/>
  <c r="H192" i="1"/>
  <c r="H43" i="1"/>
  <c r="H459" i="1" s="1"/>
  <c r="H370" i="1"/>
  <c r="H419" i="1"/>
  <c r="H171" i="1"/>
  <c r="H377" i="1"/>
  <c r="H194" i="1"/>
  <c r="H642" i="1"/>
  <c r="H303" i="1"/>
  <c r="H390" i="1"/>
  <c r="H74" i="1"/>
  <c r="K1051" i="2"/>
  <c r="AA1051" i="2" s="1"/>
  <c r="AB1051" i="2" s="1"/>
  <c r="H705" i="2"/>
  <c r="G761" i="2"/>
  <c r="F404" i="1"/>
  <c r="S1097" i="2"/>
  <c r="V1018" i="2"/>
  <c r="G708" i="2"/>
  <c r="V1026" i="2"/>
  <c r="V1027" i="2" s="1"/>
  <c r="F933" i="2"/>
  <c r="F975" i="2"/>
  <c r="P1023" i="2"/>
  <c r="T1022" i="2"/>
  <c r="T1012" i="2"/>
  <c r="R1023" i="2"/>
  <c r="I1023" i="2"/>
  <c r="M1022" i="2"/>
  <c r="AA1025" i="2"/>
  <c r="AB1025" i="2" s="1"/>
  <c r="F187" i="1"/>
  <c r="F166" i="1"/>
  <c r="M1016" i="2"/>
  <c r="M1013" i="2"/>
  <c r="M1015" i="2"/>
  <c r="M1018" i="2" s="1"/>
  <c r="Q1012" i="2"/>
  <c r="Q1015" i="2" s="1"/>
  <c r="Q1016" i="2" s="1"/>
  <c r="Q1022" i="2"/>
  <c r="F784" i="2"/>
  <c r="F785" i="2"/>
  <c r="K1097" i="2"/>
  <c r="K1005" i="2"/>
  <c r="F31" i="5"/>
  <c r="F383" i="1"/>
  <c r="F275" i="1"/>
  <c r="F277" i="1" s="1"/>
  <c r="D24" i="8"/>
  <c r="E24" i="8" s="1"/>
  <c r="AF626" i="1"/>
  <c r="AG626" i="1" s="1"/>
  <c r="AF618" i="1"/>
  <c r="AG618" i="1" s="1"/>
  <c r="AF619" i="1"/>
  <c r="AG619" i="1" s="1"/>
  <c r="G486" i="1"/>
  <c r="G488" i="1" s="1"/>
  <c r="G490" i="1" s="1"/>
  <c r="F208" i="1"/>
  <c r="N1011" i="2"/>
  <c r="D20" i="7"/>
  <c r="E20" i="7" s="1"/>
  <c r="D24" i="7"/>
  <c r="E24" i="7" s="1"/>
  <c r="K1044" i="2"/>
  <c r="AA1044" i="2" s="1"/>
  <c r="AB1044" i="2" s="1"/>
  <c r="G279" i="1"/>
  <c r="H507" i="1"/>
  <c r="H301" i="1"/>
  <c r="H400" i="1"/>
  <c r="H495" i="1"/>
  <c r="H38" i="1"/>
  <c r="H265" i="1" s="1"/>
  <c r="H42" i="1"/>
  <c r="H148" i="1"/>
  <c r="H174" i="1"/>
  <c r="H218" i="1"/>
  <c r="H302" i="1"/>
  <c r="H397" i="1"/>
  <c r="H505" i="1"/>
  <c r="H149" i="1"/>
  <c r="I2" i="1"/>
  <c r="H297" i="1"/>
  <c r="H366" i="1"/>
  <c r="H410" i="1"/>
  <c r="H504" i="1"/>
  <c r="H46" i="1"/>
  <c r="H153" i="1"/>
  <c r="H182" i="1"/>
  <c r="H287" i="1"/>
  <c r="H368" i="1"/>
  <c r="H411" i="1"/>
  <c r="H509" i="1"/>
  <c r="H367" i="1"/>
  <c r="H399" i="1"/>
  <c r="H203" i="1"/>
  <c r="H379" i="1"/>
  <c r="H421" i="1"/>
  <c r="H508" i="1"/>
  <c r="H66" i="1"/>
  <c r="H161" i="1"/>
  <c r="H191" i="1"/>
  <c r="H294" i="1"/>
  <c r="H376" i="1"/>
  <c r="H418" i="1"/>
  <c r="H591" i="1"/>
  <c r="H19" i="1"/>
  <c r="H33" i="1"/>
  <c r="H35" i="1" s="1"/>
  <c r="H23" i="1"/>
  <c r="H286" i="1"/>
  <c r="H388" i="1"/>
  <c r="H432" i="1"/>
  <c r="H512" i="1"/>
  <c r="H101" i="1"/>
  <c r="H170" i="1"/>
  <c r="H204" i="1"/>
  <c r="H298" i="1"/>
  <c r="H389" i="1"/>
  <c r="H496" i="1"/>
  <c r="H641" i="1"/>
  <c r="H27" i="1"/>
  <c r="J1010" i="2"/>
  <c r="J1070" i="2" s="1"/>
  <c r="I31" i="5"/>
  <c r="T1097" i="2"/>
  <c r="J1097" i="2"/>
  <c r="P1007" i="2"/>
  <c r="C31" i="5"/>
  <c r="D12" i="8"/>
  <c r="E12" i="8" s="1"/>
  <c r="D14" i="8"/>
  <c r="E14" i="8" s="1"/>
  <c r="D12" i="7"/>
  <c r="E12" i="7" s="1"/>
  <c r="O1097" i="2"/>
  <c r="O1007" i="2"/>
  <c r="AA1035" i="2"/>
  <c r="AB1035" i="2" s="1"/>
  <c r="U1029" i="2"/>
  <c r="U1023" i="2"/>
  <c r="U1024" i="2" s="1"/>
  <c r="G1023" i="2"/>
  <c r="J49" i="14"/>
  <c r="G1026" i="2"/>
  <c r="I49" i="14"/>
  <c r="U1012" i="2"/>
  <c r="H1016" i="2"/>
  <c r="H1015" i="2"/>
  <c r="H1018" i="2" s="1"/>
  <c r="H1013" i="2"/>
  <c r="L1027" i="2" l="1"/>
  <c r="O1029" i="2"/>
  <c r="O1012" i="2"/>
  <c r="K1022" i="2"/>
  <c r="P1012" i="2"/>
  <c r="H1029" i="2"/>
  <c r="K1070" i="2"/>
  <c r="AA1070" i="2" s="1"/>
  <c r="AB1070" i="2" s="1"/>
  <c r="H765" i="2"/>
  <c r="L1024" i="2"/>
  <c r="L1029" i="2"/>
  <c r="H1001" i="2"/>
  <c r="G701" i="2"/>
  <c r="AB784" i="2"/>
  <c r="H789" i="2"/>
  <c r="H767" i="2"/>
  <c r="I2" i="2"/>
  <c r="I1013" i="2"/>
  <c r="I1015" i="2"/>
  <c r="I1018" i="2" s="1"/>
  <c r="I1019" i="2" s="1"/>
  <c r="I1030" i="2" s="1"/>
  <c r="H704" i="2"/>
  <c r="H700" i="2"/>
  <c r="N1058" i="2"/>
  <c r="S1058" i="2"/>
  <c r="K1058" i="2"/>
  <c r="S1023" i="2"/>
  <c r="S1024" i="2" s="1"/>
  <c r="S1029" i="2"/>
  <c r="R1018" i="2"/>
  <c r="R1013" i="2"/>
  <c r="S1016" i="2"/>
  <c r="S1017" i="2"/>
  <c r="G1087" i="2"/>
  <c r="F427" i="1"/>
  <c r="F490" i="1" s="1"/>
  <c r="F540" i="1" s="1"/>
  <c r="F542" i="1" s="1"/>
  <c r="F109" i="1"/>
  <c r="F140" i="1" s="1"/>
  <c r="H442" i="1"/>
  <c r="H480" i="1"/>
  <c r="S1026" i="2"/>
  <c r="G1024" i="2"/>
  <c r="S1013" i="2"/>
  <c r="Q1013" i="2"/>
  <c r="Q1018" i="2"/>
  <c r="G700" i="2"/>
  <c r="G1016" i="2"/>
  <c r="G1003" i="2" s="1"/>
  <c r="G1058" i="2"/>
  <c r="H701" i="2"/>
  <c r="H788" i="2"/>
  <c r="H762" i="2"/>
  <c r="H995" i="2"/>
  <c r="H698" i="2" s="1"/>
  <c r="H702" i="2"/>
  <c r="H1058" i="2"/>
  <c r="H1087" i="2"/>
  <c r="G788" i="2"/>
  <c r="G1015" i="2"/>
  <c r="G976" i="2" s="1"/>
  <c r="G762" i="2"/>
  <c r="H1023" i="2"/>
  <c r="G702" i="2"/>
  <c r="G995" i="2"/>
  <c r="G698" i="2" s="1"/>
  <c r="G791" i="2"/>
  <c r="H477" i="1"/>
  <c r="H481" i="1"/>
  <c r="H249" i="1"/>
  <c r="H574" i="1"/>
  <c r="H269" i="1"/>
  <c r="H443" i="1"/>
  <c r="H264" i="1"/>
  <c r="H476" i="1"/>
  <c r="H455" i="1"/>
  <c r="H134" i="1"/>
  <c r="H252" i="1"/>
  <c r="H440" i="1"/>
  <c r="H231" i="1"/>
  <c r="F81" i="1"/>
  <c r="H444" i="1"/>
  <c r="H479" i="1"/>
  <c r="H445" i="1"/>
  <c r="H270" i="1"/>
  <c r="H267" i="1"/>
  <c r="H458" i="1"/>
  <c r="H250" i="1"/>
  <c r="H457" i="1"/>
  <c r="F210" i="1"/>
  <c r="F223" i="1" s="1"/>
  <c r="F279" i="1" s="1"/>
  <c r="F333" i="1" s="1"/>
  <c r="F610" i="1" s="1"/>
  <c r="H247" i="1"/>
  <c r="E34" i="7"/>
  <c r="F18" i="7" s="1"/>
  <c r="N1000" i="2" s="1"/>
  <c r="E34" i="8"/>
  <c r="F14" i="8" s="1"/>
  <c r="J999" i="2" s="1"/>
  <c r="H640" i="1"/>
  <c r="H123" i="1" s="1"/>
  <c r="H266" i="1"/>
  <c r="R1024" i="2"/>
  <c r="R1026" i="2"/>
  <c r="R1027" i="2" s="1"/>
  <c r="T1015" i="2"/>
  <c r="T1013" i="2"/>
  <c r="P1024" i="2"/>
  <c r="P1026" i="2"/>
  <c r="P1027" i="2" s="1"/>
  <c r="I1027" i="2"/>
  <c r="I1028" i="2" s="1"/>
  <c r="I1026" i="2"/>
  <c r="I1024" i="2"/>
  <c r="O1015" i="2"/>
  <c r="O1013" i="2"/>
  <c r="M1023" i="2"/>
  <c r="M1029" i="2"/>
  <c r="P1013" i="2"/>
  <c r="P1015" i="2"/>
  <c r="P1016" i="2" s="1"/>
  <c r="T1029" i="2"/>
  <c r="T1023" i="2"/>
  <c r="T1024" i="2" s="1"/>
  <c r="Q1023" i="2"/>
  <c r="Q1029" i="2"/>
  <c r="H232" i="1"/>
  <c r="H441" i="1"/>
  <c r="F697" i="2"/>
  <c r="H697" i="2" s="1"/>
  <c r="H575" i="1"/>
  <c r="AA1005" i="2"/>
  <c r="H760" i="2"/>
  <c r="H761" i="2"/>
  <c r="H708" i="2"/>
  <c r="O1058" i="2"/>
  <c r="AA1007" i="2"/>
  <c r="P1058" i="2"/>
  <c r="J1011" i="2"/>
  <c r="AA1010" i="2"/>
  <c r="AB1010" i="2" s="1"/>
  <c r="H634" i="1"/>
  <c r="H29" i="1"/>
  <c r="H423" i="1"/>
  <c r="H306" i="1"/>
  <c r="H206" i="1"/>
  <c r="H514" i="1"/>
  <c r="H631" i="1"/>
  <c r="H635" i="1"/>
  <c r="H248" i="1"/>
  <c r="H454" i="1"/>
  <c r="H475" i="1"/>
  <c r="H48" i="1"/>
  <c r="D34" i="8"/>
  <c r="H643" i="1"/>
  <c r="H291" i="1"/>
  <c r="H653" i="1"/>
  <c r="H238" i="1"/>
  <c r="H446" i="1"/>
  <c r="H448" i="1"/>
  <c r="H633" i="1"/>
  <c r="H415" i="1"/>
  <c r="I33" i="1"/>
  <c r="I35" i="1" s="1"/>
  <c r="I39" i="1"/>
  <c r="I266" i="1" s="1"/>
  <c r="I43" i="1"/>
  <c r="I270" i="1" s="1"/>
  <c r="I101" i="1"/>
  <c r="I191" i="1"/>
  <c r="I217" i="1"/>
  <c r="I40" i="1"/>
  <c r="I250" i="1" s="1"/>
  <c r="I66" i="1"/>
  <c r="I161" i="1"/>
  <c r="I182" i="1"/>
  <c r="I41" i="1"/>
  <c r="I268" i="1" s="1"/>
  <c r="I74" i="1"/>
  <c r="I193" i="1"/>
  <c r="I149" i="1"/>
  <c r="I151" i="1"/>
  <c r="I201" i="1"/>
  <c r="I303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0" i="1"/>
  <c r="I181" i="1"/>
  <c r="I23" i="1"/>
  <c r="I153" i="1"/>
  <c r="I203" i="1"/>
  <c r="I27" i="1"/>
  <c r="I162" i="1"/>
  <c r="I183" i="1"/>
  <c r="I38" i="1"/>
  <c r="I454" i="1" s="1"/>
  <c r="I42" i="1"/>
  <c r="I159" i="1"/>
  <c r="I180" i="1"/>
  <c r="I387" i="1"/>
  <c r="I377" i="1"/>
  <c r="I591" i="1"/>
  <c r="I505" i="1"/>
  <c r="I287" i="1"/>
  <c r="I388" i="1"/>
  <c r="I378" i="1"/>
  <c r="I502" i="1"/>
  <c r="I294" i="1"/>
  <c r="I301" i="1"/>
  <c r="I510" i="1"/>
  <c r="I219" i="1"/>
  <c r="I302" i="1"/>
  <c r="I397" i="1"/>
  <c r="I460" i="1"/>
  <c r="I511" i="1"/>
  <c r="I379" i="1"/>
  <c r="I512" i="1"/>
  <c r="I285" i="1"/>
  <c r="I410" i="1"/>
  <c r="I376" i="1"/>
  <c r="I420" i="1"/>
  <c r="I497" i="1"/>
  <c r="I584" i="1"/>
  <c r="I249" i="1"/>
  <c r="I152" i="1"/>
  <c r="I202" i="1"/>
  <c r="J2" i="1"/>
  <c r="I44" i="1"/>
  <c r="I148" i="1"/>
  <c r="I173" i="1"/>
  <c r="I367" i="1"/>
  <c r="I45" i="1"/>
  <c r="I251" i="1" s="1"/>
  <c r="I115" i="1"/>
  <c r="I204" i="1"/>
  <c r="I46" i="1"/>
  <c r="I171" i="1"/>
  <c r="I286" i="1"/>
  <c r="I391" i="1"/>
  <c r="I413" i="1"/>
  <c r="I494" i="1"/>
  <c r="I297" i="1"/>
  <c r="I412" i="1"/>
  <c r="I506" i="1"/>
  <c r="I253" i="1"/>
  <c r="I365" i="1"/>
  <c r="I431" i="1"/>
  <c r="I496" i="1"/>
  <c r="I19" i="1"/>
  <c r="I147" i="1"/>
  <c r="I172" i="1"/>
  <c r="I295" i="1"/>
  <c r="I133" i="1"/>
  <c r="I192" i="1"/>
  <c r="I296" i="1"/>
  <c r="I150" i="1"/>
  <c r="I174" i="1"/>
  <c r="I218" i="1"/>
  <c r="I75" i="1"/>
  <c r="I194" i="1"/>
  <c r="I299" i="1"/>
  <c r="I368" i="1"/>
  <c r="I411" i="1"/>
  <c r="I641" i="1"/>
  <c r="I300" i="1"/>
  <c r="I369" i="1"/>
  <c r="I418" i="1"/>
  <c r="I508" i="1"/>
  <c r="I288" i="1"/>
  <c r="I370" i="1"/>
  <c r="I507" i="1"/>
  <c r="I289" i="1"/>
  <c r="I390" i="1"/>
  <c r="I583" i="1"/>
  <c r="I389" i="1"/>
  <c r="I493" i="1"/>
  <c r="I170" i="1"/>
  <c r="I298" i="1"/>
  <c r="I366" i="1"/>
  <c r="I432" i="1"/>
  <c r="I504" i="1"/>
  <c r="H499" i="1"/>
  <c r="N1012" i="2"/>
  <c r="N1022" i="2"/>
  <c r="AA1097" i="2"/>
  <c r="AB1097" i="2" s="1"/>
  <c r="H102" i="1"/>
  <c r="H447" i="1"/>
  <c r="H584" i="1"/>
  <c r="H592" i="1"/>
  <c r="D34" i="7"/>
  <c r="H977" i="2"/>
  <c r="K1029" i="2"/>
  <c r="K1023" i="2"/>
  <c r="K1015" i="2"/>
  <c r="K1013" i="2"/>
  <c r="K1016" i="2"/>
  <c r="U1013" i="2"/>
  <c r="U1015" i="2"/>
  <c r="G1027" i="2"/>
  <c r="U1026" i="2"/>
  <c r="O1024" i="2"/>
  <c r="O1026" i="2"/>
  <c r="O1027" i="2" s="1"/>
  <c r="O1028" i="2" s="1"/>
  <c r="H1002" i="2"/>
  <c r="H1017" i="2"/>
  <c r="H1003" i="2"/>
  <c r="H976" i="2"/>
  <c r="H1019" i="2"/>
  <c r="H998" i="2"/>
  <c r="D32" i="15" l="1"/>
  <c r="I977" i="2"/>
  <c r="I701" i="2"/>
  <c r="I1001" i="2"/>
  <c r="I767" i="2"/>
  <c r="I700" i="2"/>
  <c r="I789" i="2"/>
  <c r="I705" i="2"/>
  <c r="I704" i="2"/>
  <c r="I791" i="2"/>
  <c r="J2" i="2"/>
  <c r="J1087" i="2" s="1"/>
  <c r="I1087" i="2"/>
  <c r="I702" i="2"/>
  <c r="I765" i="2"/>
  <c r="I995" i="2"/>
  <c r="I698" i="2" s="1"/>
  <c r="I788" i="2"/>
  <c r="I760" i="2"/>
  <c r="I708" i="2"/>
  <c r="I1002" i="2"/>
  <c r="I976" i="2"/>
  <c r="I1003" i="2"/>
  <c r="I762" i="2"/>
  <c r="I761" i="2"/>
  <c r="I998" i="2"/>
  <c r="K2" i="2"/>
  <c r="K1087" i="2" s="1"/>
  <c r="J701" i="2"/>
  <c r="S1027" i="2"/>
  <c r="S1028" i="2" s="1"/>
  <c r="G1018" i="2"/>
  <c r="G1019" i="2" s="1"/>
  <c r="G1030" i="2" s="1"/>
  <c r="F516" i="1"/>
  <c r="F308" i="1"/>
  <c r="H50" i="1"/>
  <c r="I653" i="1"/>
  <c r="F12" i="7"/>
  <c r="H1000" i="2" s="1"/>
  <c r="F26" i="7"/>
  <c r="R1000" i="2" s="1"/>
  <c r="G1017" i="2"/>
  <c r="F14" i="7"/>
  <c r="J1000" i="2" s="1"/>
  <c r="F32" i="7"/>
  <c r="U1000" i="2" s="1"/>
  <c r="D32" i="14"/>
  <c r="F32" i="14" s="1"/>
  <c r="F28" i="7"/>
  <c r="S1000" i="2" s="1"/>
  <c r="F22" i="7"/>
  <c r="P1000" i="2" s="1"/>
  <c r="H1024" i="2"/>
  <c r="H1027" i="2"/>
  <c r="H1028" i="2" s="1"/>
  <c r="H1026" i="2"/>
  <c r="F24" i="7"/>
  <c r="Q1000" i="2" s="1"/>
  <c r="F18" i="8"/>
  <c r="N999" i="2" s="1"/>
  <c r="F10" i="7"/>
  <c r="F20" i="7"/>
  <c r="O1000" i="2" s="1"/>
  <c r="F30" i="7"/>
  <c r="T1000" i="2" s="1"/>
  <c r="F16" i="7"/>
  <c r="K1000" i="2" s="1"/>
  <c r="I231" i="1"/>
  <c r="I592" i="1"/>
  <c r="I447" i="1"/>
  <c r="I102" i="1"/>
  <c r="I443" i="1"/>
  <c r="I441" i="1"/>
  <c r="I238" i="1"/>
  <c r="I575" i="1"/>
  <c r="I444" i="1"/>
  <c r="I445" i="1"/>
  <c r="I134" i="1"/>
  <c r="I440" i="1"/>
  <c r="I448" i="1"/>
  <c r="I446" i="1"/>
  <c r="I442" i="1"/>
  <c r="I574" i="1"/>
  <c r="I232" i="1"/>
  <c r="I456" i="1"/>
  <c r="I459" i="1"/>
  <c r="I479" i="1"/>
  <c r="I477" i="1"/>
  <c r="I29" i="1"/>
  <c r="I252" i="1"/>
  <c r="I423" i="1"/>
  <c r="I481" i="1"/>
  <c r="I476" i="1"/>
  <c r="I635" i="1"/>
  <c r="I396" i="1" s="1"/>
  <c r="I402" i="1" s="1"/>
  <c r="I179" i="1" s="1"/>
  <c r="I185" i="1" s="1"/>
  <c r="I247" i="1"/>
  <c r="I478" i="1"/>
  <c r="F12" i="8"/>
  <c r="H999" i="2" s="1"/>
  <c r="F20" i="8"/>
  <c r="O999" i="2" s="1"/>
  <c r="F24" i="8"/>
  <c r="Q999" i="2" s="1"/>
  <c r="I267" i="1"/>
  <c r="I455" i="1"/>
  <c r="I643" i="1"/>
  <c r="F32" i="8"/>
  <c r="U999" i="2" s="1"/>
  <c r="F16" i="8"/>
  <c r="K999" i="2" s="1"/>
  <c r="I457" i="1"/>
  <c r="I264" i="1"/>
  <c r="F10" i="8"/>
  <c r="I248" i="1"/>
  <c r="I475" i="1"/>
  <c r="F30" i="8"/>
  <c r="T999" i="2" s="1"/>
  <c r="F26" i="8"/>
  <c r="R999" i="2" s="1"/>
  <c r="F22" i="8"/>
  <c r="P999" i="2" s="1"/>
  <c r="I265" i="1"/>
  <c r="I269" i="1"/>
  <c r="F28" i="8"/>
  <c r="S999" i="2" s="1"/>
  <c r="T1016" i="2"/>
  <c r="T1018" i="2"/>
  <c r="T1019" i="2" s="1"/>
  <c r="T1030" i="2" s="1"/>
  <c r="T1017" i="2"/>
  <c r="T1026" i="2"/>
  <c r="T1027" i="2" s="1"/>
  <c r="M1024" i="2"/>
  <c r="M1027" i="2"/>
  <c r="M1026" i="2"/>
  <c r="O1018" i="2"/>
  <c r="O1019" i="2" s="1"/>
  <c r="O1030" i="2" s="1"/>
  <c r="O1016" i="2"/>
  <c r="L2" i="2"/>
  <c r="K705" i="2"/>
  <c r="I633" i="1"/>
  <c r="I375" i="1" s="1"/>
  <c r="I381" i="1" s="1"/>
  <c r="G697" i="2"/>
  <c r="F710" i="2"/>
  <c r="I697" i="2"/>
  <c r="J697" i="2"/>
  <c r="Q1026" i="2"/>
  <c r="Q1027" i="2" s="1"/>
  <c r="Q1024" i="2"/>
  <c r="I458" i="1"/>
  <c r="N1013" i="2"/>
  <c r="N1016" i="2"/>
  <c r="N1015" i="2"/>
  <c r="I499" i="1"/>
  <c r="J288" i="1"/>
  <c r="K2" i="1"/>
  <c r="J301" i="1"/>
  <c r="J65" i="1"/>
  <c r="J298" i="1"/>
  <c r="J192" i="1"/>
  <c r="J27" i="1"/>
  <c r="J378" i="1"/>
  <c r="J42" i="1"/>
  <c r="J409" i="1"/>
  <c r="J162" i="1"/>
  <c r="J370" i="1"/>
  <c r="J171" i="1"/>
  <c r="J504" i="1"/>
  <c r="J147" i="1"/>
  <c r="J418" i="1"/>
  <c r="J253" i="1"/>
  <c r="J494" i="1"/>
  <c r="J366" i="1"/>
  <c r="J376" i="1"/>
  <c r="J38" i="1"/>
  <c r="J476" i="1" s="1"/>
  <c r="J41" i="1"/>
  <c r="J479" i="1" s="1"/>
  <c r="J150" i="1"/>
  <c r="J420" i="1"/>
  <c r="J201" i="1"/>
  <c r="J512" i="1"/>
  <c r="J181" i="1"/>
  <c r="J583" i="1"/>
  <c r="J299" i="1"/>
  <c r="J204" i="1"/>
  <c r="J507" i="1"/>
  <c r="J180" i="1"/>
  <c r="J149" i="1"/>
  <c r="J219" i="1"/>
  <c r="J511" i="1"/>
  <c r="J389" i="1"/>
  <c r="J43" i="1"/>
  <c r="J270" i="1" s="1"/>
  <c r="J286" i="1"/>
  <c r="J193" i="1"/>
  <c r="J400" i="1"/>
  <c r="J152" i="1"/>
  <c r="J182" i="1"/>
  <c r="J431" i="1"/>
  <c r="J505" i="1"/>
  <c r="J591" i="1"/>
  <c r="J497" i="1"/>
  <c r="J287" i="1"/>
  <c r="J302" i="1"/>
  <c r="J303" i="1"/>
  <c r="J388" i="1"/>
  <c r="J151" i="1"/>
  <c r="J397" i="1"/>
  <c r="J297" i="1"/>
  <c r="J642" i="1"/>
  <c r="J369" i="1"/>
  <c r="J295" i="1"/>
  <c r="J641" i="1"/>
  <c r="J285" i="1"/>
  <c r="J74" i="1"/>
  <c r="J300" i="1"/>
  <c r="J33" i="1"/>
  <c r="J35" i="1" s="1"/>
  <c r="J46" i="1"/>
  <c r="J421" i="1"/>
  <c r="J410" i="1"/>
  <c r="J217" i="1"/>
  <c r="J460" i="1"/>
  <c r="J379" i="1"/>
  <c r="J202" i="1"/>
  <c r="J509" i="1"/>
  <c r="J294" i="1"/>
  <c r="J412" i="1"/>
  <c r="J367" i="1"/>
  <c r="J40" i="1"/>
  <c r="J250" i="1" s="1"/>
  <c r="J173" i="1"/>
  <c r="J101" i="1"/>
  <c r="J419" i="1"/>
  <c r="J493" i="1"/>
  <c r="J510" i="1"/>
  <c r="J194" i="1"/>
  <c r="J413" i="1"/>
  <c r="J66" i="1"/>
  <c r="J377" i="1"/>
  <c r="J191" i="1"/>
  <c r="J153" i="1"/>
  <c r="J399" i="1"/>
  <c r="J496" i="1"/>
  <c r="J506" i="1"/>
  <c r="J23" i="1"/>
  <c r="J174" i="1"/>
  <c r="J503" i="1"/>
  <c r="J296" i="1"/>
  <c r="J19" i="1"/>
  <c r="J160" i="1"/>
  <c r="J368" i="1"/>
  <c r="J218" i="1"/>
  <c r="J45" i="1"/>
  <c r="J251" i="1" s="1"/>
  <c r="J115" i="1"/>
  <c r="J365" i="1"/>
  <c r="J159" i="1"/>
  <c r="J411" i="1"/>
  <c r="J183" i="1"/>
  <c r="J432" i="1"/>
  <c r="J289" i="1"/>
  <c r="J495" i="1"/>
  <c r="J172" i="1"/>
  <c r="J39" i="1"/>
  <c r="J170" i="1"/>
  <c r="J304" i="1"/>
  <c r="J75" i="1"/>
  <c r="J508" i="1"/>
  <c r="J390" i="1"/>
  <c r="J161" i="1"/>
  <c r="J391" i="1"/>
  <c r="J398" i="1"/>
  <c r="J387" i="1"/>
  <c r="J502" i="1"/>
  <c r="J44" i="1"/>
  <c r="J461" i="1" s="1"/>
  <c r="J203" i="1"/>
  <c r="J133" i="1"/>
  <c r="J148" i="1"/>
  <c r="I291" i="1"/>
  <c r="I634" i="1"/>
  <c r="I386" i="1" s="1"/>
  <c r="I393" i="1" s="1"/>
  <c r="I206" i="1"/>
  <c r="I640" i="1"/>
  <c r="H425" i="1"/>
  <c r="H662" i="1"/>
  <c r="H190" i="1"/>
  <c r="H216" i="1"/>
  <c r="H430" i="1"/>
  <c r="H215" i="1"/>
  <c r="H213" i="1"/>
  <c r="H214" i="1"/>
  <c r="H396" i="1"/>
  <c r="H364" i="1"/>
  <c r="H668" i="1"/>
  <c r="H571" i="1"/>
  <c r="H573" i="1"/>
  <c r="H572" i="1"/>
  <c r="H386" i="1"/>
  <c r="F335" i="1"/>
  <c r="AB1007" i="2"/>
  <c r="AC1007" i="2"/>
  <c r="H800" i="2"/>
  <c r="I306" i="1"/>
  <c r="I48" i="1"/>
  <c r="H450" i="1"/>
  <c r="N1029" i="2"/>
  <c r="N1023" i="2"/>
  <c r="I631" i="1"/>
  <c r="I364" i="1" s="1"/>
  <c r="I372" i="1" s="1"/>
  <c r="I514" i="1"/>
  <c r="I415" i="1"/>
  <c r="H375" i="1"/>
  <c r="H103" i="1"/>
  <c r="H271" i="1"/>
  <c r="H462" i="1"/>
  <c r="H64" i="1"/>
  <c r="H593" i="1"/>
  <c r="H585" i="1"/>
  <c r="H482" i="1"/>
  <c r="H637" i="1" s="1"/>
  <c r="H652" i="1"/>
  <c r="H463" i="1"/>
  <c r="H257" i="1"/>
  <c r="H255" i="1"/>
  <c r="H256" i="1"/>
  <c r="H135" i="1"/>
  <c r="H576" i="1"/>
  <c r="H76" i="1"/>
  <c r="H67" i="1"/>
  <c r="H254" i="1"/>
  <c r="J1022" i="2"/>
  <c r="J1012" i="2"/>
  <c r="AA1011" i="2"/>
  <c r="AB1011" i="2" s="1"/>
  <c r="J1058" i="2"/>
  <c r="AC1005" i="2"/>
  <c r="AB1005" i="2"/>
  <c r="I480" i="1"/>
  <c r="I461" i="1"/>
  <c r="U1027" i="2"/>
  <c r="U1028" i="2"/>
  <c r="G1028" i="2"/>
  <c r="G1029" i="2"/>
  <c r="K1018" i="2"/>
  <c r="K1026" i="2"/>
  <c r="K1027" i="2"/>
  <c r="K1028" i="2" s="1"/>
  <c r="K1024" i="2"/>
  <c r="U1018" i="2"/>
  <c r="U1016" i="2"/>
  <c r="U1017" i="2"/>
  <c r="H1030" i="2"/>
  <c r="F32" i="15" l="1"/>
  <c r="L32" i="15"/>
  <c r="K32" i="14"/>
  <c r="L32" i="14" s="1"/>
  <c r="K1003" i="2"/>
  <c r="L697" i="2"/>
  <c r="L800" i="2" s="1"/>
  <c r="K791" i="2"/>
  <c r="J977" i="2"/>
  <c r="J761" i="2"/>
  <c r="J791" i="2"/>
  <c r="J704" i="2"/>
  <c r="K1001" i="2"/>
  <c r="J760" i="2"/>
  <c r="J762" i="2"/>
  <c r="K995" i="2"/>
  <c r="K698" i="2" s="1"/>
  <c r="J700" i="2"/>
  <c r="K976" i="2"/>
  <c r="K700" i="2"/>
  <c r="K788" i="2"/>
  <c r="K704" i="2"/>
  <c r="J995" i="2"/>
  <c r="J698" i="2" s="1"/>
  <c r="J788" i="2"/>
  <c r="J789" i="2"/>
  <c r="K767" i="2"/>
  <c r="K789" i="2"/>
  <c r="K765" i="2"/>
  <c r="J767" i="2"/>
  <c r="J708" i="2"/>
  <c r="J765" i="2"/>
  <c r="K762" i="2"/>
  <c r="K702" i="2"/>
  <c r="K697" i="2"/>
  <c r="K800" i="2" s="1"/>
  <c r="K977" i="2"/>
  <c r="K701" i="2"/>
  <c r="J702" i="2"/>
  <c r="J705" i="2"/>
  <c r="J1001" i="2"/>
  <c r="G998" i="2"/>
  <c r="K761" i="2"/>
  <c r="K708" i="2"/>
  <c r="K760" i="2"/>
  <c r="K1002" i="2"/>
  <c r="I573" i="1"/>
  <c r="I50" i="1"/>
  <c r="J574" i="1"/>
  <c r="AA1017" i="2"/>
  <c r="AB1017" i="2" s="1"/>
  <c r="F34" i="7"/>
  <c r="G1000" i="2"/>
  <c r="AA1000" i="2" s="1"/>
  <c r="AB1000" i="2" s="1"/>
  <c r="I450" i="1"/>
  <c r="I236" i="1" s="1"/>
  <c r="J459" i="1"/>
  <c r="I572" i="1"/>
  <c r="J102" i="1"/>
  <c r="I571" i="1"/>
  <c r="J134" i="1"/>
  <c r="I668" i="1"/>
  <c r="I661" i="1"/>
  <c r="J268" i="1"/>
  <c r="J478" i="1"/>
  <c r="J457" i="1"/>
  <c r="J640" i="1"/>
  <c r="J123" i="1" s="1"/>
  <c r="J446" i="1"/>
  <c r="J481" i="1"/>
  <c r="J252" i="1"/>
  <c r="J267" i="1"/>
  <c r="J238" i="1"/>
  <c r="J264" i="1"/>
  <c r="J248" i="1"/>
  <c r="J247" i="1"/>
  <c r="J455" i="1"/>
  <c r="J448" i="1"/>
  <c r="J447" i="1"/>
  <c r="J231" i="1"/>
  <c r="J444" i="1"/>
  <c r="J475" i="1"/>
  <c r="J265" i="1"/>
  <c r="J454" i="1"/>
  <c r="J443" i="1"/>
  <c r="J266" i="1"/>
  <c r="J445" i="1"/>
  <c r="J575" i="1"/>
  <c r="J442" i="1"/>
  <c r="J584" i="1"/>
  <c r="J634" i="1"/>
  <c r="J386" i="1" s="1"/>
  <c r="J393" i="1" s="1"/>
  <c r="J169" i="1" s="1"/>
  <c r="J176" i="1" s="1"/>
  <c r="J29" i="1"/>
  <c r="I430" i="1"/>
  <c r="I434" i="1" s="1"/>
  <c r="I216" i="1"/>
  <c r="I214" i="1"/>
  <c r="I215" i="1"/>
  <c r="I213" i="1"/>
  <c r="J458" i="1"/>
  <c r="J232" i="1"/>
  <c r="J440" i="1"/>
  <c r="F34" i="8"/>
  <c r="G999" i="2"/>
  <c r="AA999" i="2" s="1"/>
  <c r="AB999" i="2" s="1"/>
  <c r="J480" i="1"/>
  <c r="J592" i="1"/>
  <c r="J441" i="1"/>
  <c r="J631" i="1"/>
  <c r="J364" i="1" s="1"/>
  <c r="J372" i="1" s="1"/>
  <c r="J146" i="1" s="1"/>
  <c r="J155" i="1" s="1"/>
  <c r="J514" i="1"/>
  <c r="J269" i="1"/>
  <c r="J477" i="1"/>
  <c r="L977" i="2"/>
  <c r="L761" i="2"/>
  <c r="L789" i="2"/>
  <c r="L788" i="2"/>
  <c r="L995" i="2"/>
  <c r="L698" i="2" s="1"/>
  <c r="L791" i="2"/>
  <c r="L1001" i="2"/>
  <c r="M2" i="2"/>
  <c r="L760" i="2"/>
  <c r="L1087" i="2"/>
  <c r="L702" i="2"/>
  <c r="L998" i="2"/>
  <c r="L765" i="2"/>
  <c r="L705" i="2"/>
  <c r="L708" i="2"/>
  <c r="L701" i="2"/>
  <c r="L700" i="2"/>
  <c r="L1003" i="2"/>
  <c r="L762" i="2"/>
  <c r="L1002" i="2"/>
  <c r="L767" i="2"/>
  <c r="L704" i="2"/>
  <c r="L976" i="2"/>
  <c r="T1028" i="2"/>
  <c r="AA1028" i="2" s="1"/>
  <c r="AB1028" i="2" s="1"/>
  <c r="I659" i="1"/>
  <c r="I158" i="1"/>
  <c r="I164" i="1" s="1"/>
  <c r="H636" i="1"/>
  <c r="H453" i="1" s="1"/>
  <c r="J800" i="2"/>
  <c r="F757" i="2"/>
  <c r="F770" i="2" s="1"/>
  <c r="F739" i="2"/>
  <c r="I800" i="2"/>
  <c r="G800" i="2"/>
  <c r="J643" i="1"/>
  <c r="H474" i="1"/>
  <c r="AA1058" i="2"/>
  <c r="AB1058" i="2" s="1"/>
  <c r="J1016" i="2"/>
  <c r="J1003" i="2" s="1"/>
  <c r="J1013" i="2"/>
  <c r="J1015" i="2"/>
  <c r="AA1012" i="2"/>
  <c r="AB1012" i="2" s="1"/>
  <c r="N1026" i="2"/>
  <c r="N1027" i="2"/>
  <c r="N1024" i="2"/>
  <c r="H393" i="1"/>
  <c r="H372" i="1"/>
  <c r="H402" i="1"/>
  <c r="H196" i="1"/>
  <c r="I123" i="1"/>
  <c r="I404" i="1"/>
  <c r="I660" i="1"/>
  <c r="I169" i="1"/>
  <c r="I176" i="1" s="1"/>
  <c r="I187" i="1" s="1"/>
  <c r="J653" i="1"/>
  <c r="N1018" i="2"/>
  <c r="J635" i="1"/>
  <c r="J206" i="1"/>
  <c r="J48" i="1"/>
  <c r="J1029" i="2"/>
  <c r="AA1029" i="2" s="1"/>
  <c r="AB1029" i="2" s="1"/>
  <c r="J1023" i="2"/>
  <c r="AA1022" i="2"/>
  <c r="AB1022" i="2" s="1"/>
  <c r="H381" i="1"/>
  <c r="I662" i="1"/>
  <c r="I425" i="1"/>
  <c r="I190" i="1"/>
  <c r="I196" i="1" s="1"/>
  <c r="I208" i="1" s="1"/>
  <c r="I658" i="1"/>
  <c r="I383" i="1"/>
  <c r="I146" i="1"/>
  <c r="I155" i="1" s="1"/>
  <c r="H234" i="1"/>
  <c r="H228" i="1"/>
  <c r="H237" i="1"/>
  <c r="H663" i="1"/>
  <c r="H233" i="1"/>
  <c r="H226" i="1"/>
  <c r="H229" i="1"/>
  <c r="H230" i="1"/>
  <c r="H227" i="1"/>
  <c r="H239" i="1"/>
  <c r="H236" i="1"/>
  <c r="H235" i="1"/>
  <c r="I652" i="1"/>
  <c r="I76" i="1"/>
  <c r="I462" i="1"/>
  <c r="I271" i="1"/>
  <c r="I67" i="1"/>
  <c r="I576" i="1"/>
  <c r="I585" i="1"/>
  <c r="I256" i="1"/>
  <c r="I64" i="1"/>
  <c r="I482" i="1"/>
  <c r="I637" i="1" s="1"/>
  <c r="I135" i="1"/>
  <c r="I103" i="1"/>
  <c r="I254" i="1"/>
  <c r="I463" i="1"/>
  <c r="I257" i="1"/>
  <c r="I593" i="1"/>
  <c r="I255" i="1"/>
  <c r="H62" i="1"/>
  <c r="H60" i="1"/>
  <c r="H136" i="1"/>
  <c r="H104" i="1"/>
  <c r="H63" i="1"/>
  <c r="H651" i="1"/>
  <c r="H13" i="1"/>
  <c r="H105" i="1"/>
  <c r="H12" i="1"/>
  <c r="H77" i="1"/>
  <c r="H79" i="1" s="1"/>
  <c r="H10" i="1"/>
  <c r="H9" i="1"/>
  <c r="H11" i="1"/>
  <c r="H221" i="1"/>
  <c r="H434" i="1"/>
  <c r="K366" i="1"/>
  <c r="K202" i="1"/>
  <c r="K192" i="1"/>
  <c r="K160" i="1"/>
  <c r="K378" i="1"/>
  <c r="K418" i="1"/>
  <c r="K503" i="1"/>
  <c r="K161" i="1"/>
  <c r="K303" i="1"/>
  <c r="K46" i="1"/>
  <c r="K400" i="1"/>
  <c r="K365" i="1"/>
  <c r="K302" i="1"/>
  <c r="K497" i="1"/>
  <c r="K367" i="1"/>
  <c r="K389" i="1"/>
  <c r="K296" i="1"/>
  <c r="K23" i="1"/>
  <c r="K388" i="1"/>
  <c r="K432" i="1"/>
  <c r="K66" i="1"/>
  <c r="K377" i="1"/>
  <c r="K288" i="1"/>
  <c r="K297" i="1"/>
  <c r="K370" i="1"/>
  <c r="K431" i="1"/>
  <c r="K460" i="1"/>
  <c r="K504" i="1"/>
  <c r="K218" i="1"/>
  <c r="K151" i="1"/>
  <c r="K133" i="1"/>
  <c r="K43" i="1"/>
  <c r="K459" i="1" s="1"/>
  <c r="K183" i="1"/>
  <c r="K411" i="1"/>
  <c r="K506" i="1"/>
  <c r="K387" i="1"/>
  <c r="K217" i="1"/>
  <c r="K39" i="1"/>
  <c r="K456" i="1" s="1"/>
  <c r="K181" i="1"/>
  <c r="K147" i="1"/>
  <c r="K170" i="1"/>
  <c r="K301" i="1"/>
  <c r="K510" i="1"/>
  <c r="K412" i="1"/>
  <c r="K44" i="1"/>
  <c r="K461" i="1" s="1"/>
  <c r="K171" i="1"/>
  <c r="K41" i="1"/>
  <c r="K268" i="1" s="1"/>
  <c r="K115" i="1"/>
  <c r="K75" i="1"/>
  <c r="K65" i="1"/>
  <c r="K505" i="1"/>
  <c r="K410" i="1"/>
  <c r="K150" i="1"/>
  <c r="K149" i="1"/>
  <c r="K368" i="1"/>
  <c r="L2" i="1"/>
  <c r="K413" i="1"/>
  <c r="K502" i="1"/>
  <c r="K493" i="1"/>
  <c r="K494" i="1"/>
  <c r="K180" i="1"/>
  <c r="K33" i="1"/>
  <c r="K35" i="1" s="1"/>
  <c r="K74" i="1"/>
  <c r="K42" i="1"/>
  <c r="K369" i="1"/>
  <c r="K294" i="1"/>
  <c r="K583" i="1"/>
  <c r="K304" i="1"/>
  <c r="K508" i="1"/>
  <c r="K287" i="1"/>
  <c r="K219" i="1"/>
  <c r="K173" i="1"/>
  <c r="K193" i="1"/>
  <c r="K421" i="1"/>
  <c r="K391" i="1"/>
  <c r="K409" i="1"/>
  <c r="K194" i="1"/>
  <c r="K191" i="1"/>
  <c r="K152" i="1"/>
  <c r="K148" i="1"/>
  <c r="K495" i="1"/>
  <c r="K511" i="1"/>
  <c r="K201" i="1"/>
  <c r="K45" i="1"/>
  <c r="K480" i="1" s="1"/>
  <c r="K162" i="1"/>
  <c r="K159" i="1"/>
  <c r="K38" i="1"/>
  <c r="K247" i="1" s="1"/>
  <c r="K153" i="1"/>
  <c r="K509" i="1"/>
  <c r="K496" i="1"/>
  <c r="K300" i="1"/>
  <c r="K40" i="1"/>
  <c r="K478" i="1" s="1"/>
  <c r="K101" i="1"/>
  <c r="K299" i="1"/>
  <c r="K399" i="1"/>
  <c r="K285" i="1"/>
  <c r="K376" i="1"/>
  <c r="K379" i="1"/>
  <c r="K419" i="1"/>
  <c r="K641" i="1"/>
  <c r="K397" i="1"/>
  <c r="K266" i="1"/>
  <c r="K19" i="1"/>
  <c r="K289" i="1"/>
  <c r="K286" i="1"/>
  <c r="K591" i="1"/>
  <c r="K507" i="1"/>
  <c r="K512" i="1"/>
  <c r="K398" i="1"/>
  <c r="K253" i="1"/>
  <c r="K203" i="1"/>
  <c r="K174" i="1"/>
  <c r="K390" i="1"/>
  <c r="K27" i="1"/>
  <c r="K295" i="1"/>
  <c r="K172" i="1"/>
  <c r="K182" i="1"/>
  <c r="K204" i="1"/>
  <c r="K642" i="1"/>
  <c r="K298" i="1"/>
  <c r="K420" i="1"/>
  <c r="J456" i="1"/>
  <c r="J499" i="1"/>
  <c r="J306" i="1"/>
  <c r="J249" i="1"/>
  <c r="J291" i="1"/>
  <c r="J633" i="1"/>
  <c r="J423" i="1"/>
  <c r="J415" i="1"/>
  <c r="U1019" i="2"/>
  <c r="K1019" i="2"/>
  <c r="K998" i="2"/>
  <c r="J668" i="1" l="1"/>
  <c r="J50" i="1"/>
  <c r="J13" i="1" s="1"/>
  <c r="K653" i="1"/>
  <c r="K479" i="1"/>
  <c r="AA1016" i="2"/>
  <c r="AB1016" i="2" s="1"/>
  <c r="I228" i="1"/>
  <c r="I234" i="1"/>
  <c r="I230" i="1"/>
  <c r="I663" i="1"/>
  <c r="I237" i="1"/>
  <c r="I226" i="1"/>
  <c r="I235" i="1"/>
  <c r="I233" i="1"/>
  <c r="I239" i="1"/>
  <c r="I229" i="1"/>
  <c r="I227" i="1"/>
  <c r="J658" i="1"/>
  <c r="K475" i="1"/>
  <c r="K440" i="1"/>
  <c r="J450" i="1"/>
  <c r="J228" i="1" s="1"/>
  <c r="I166" i="1"/>
  <c r="I210" i="1" s="1"/>
  <c r="I636" i="1"/>
  <c r="I453" i="1" s="1"/>
  <c r="I465" i="1" s="1"/>
  <c r="I664" i="1" s="1"/>
  <c r="K250" i="1"/>
  <c r="K458" i="1"/>
  <c r="K251" i="1"/>
  <c r="K442" i="1"/>
  <c r="K477" i="1"/>
  <c r="K592" i="1"/>
  <c r="K269" i="1"/>
  <c r="K476" i="1"/>
  <c r="K264" i="1"/>
  <c r="K481" i="1"/>
  <c r="K267" i="1"/>
  <c r="K454" i="1"/>
  <c r="K575" i="1"/>
  <c r="J571" i="1"/>
  <c r="J572" i="1"/>
  <c r="J573" i="1"/>
  <c r="K270" i="1"/>
  <c r="K447" i="1"/>
  <c r="K249" i="1"/>
  <c r="K248" i="1"/>
  <c r="K252" i="1"/>
  <c r="K448" i="1"/>
  <c r="J660" i="1"/>
  <c r="I221" i="1"/>
  <c r="K441" i="1"/>
  <c r="K265" i="1"/>
  <c r="K457" i="1"/>
  <c r="K444" i="1"/>
  <c r="K445" i="1"/>
  <c r="K134" i="1"/>
  <c r="M700" i="2"/>
  <c r="M767" i="2"/>
  <c r="M761" i="2"/>
  <c r="M708" i="2"/>
  <c r="M995" i="2"/>
  <c r="M698" i="2" s="1"/>
  <c r="M762" i="2"/>
  <c r="M704" i="2"/>
  <c r="M1001" i="2"/>
  <c r="M705" i="2"/>
  <c r="M788" i="2"/>
  <c r="N2" i="2"/>
  <c r="M791" i="2"/>
  <c r="M760" i="2"/>
  <c r="M701" i="2"/>
  <c r="M789" i="2"/>
  <c r="M765" i="2"/>
  <c r="M702" i="2"/>
  <c r="M1087" i="2"/>
  <c r="M976" i="2"/>
  <c r="M977" i="2"/>
  <c r="M998" i="2"/>
  <c r="M1003" i="2"/>
  <c r="M1002" i="2"/>
  <c r="M697" i="2"/>
  <c r="M800" i="2" s="1"/>
  <c r="J214" i="1"/>
  <c r="J213" i="1"/>
  <c r="J215" i="1"/>
  <c r="J430" i="1"/>
  <c r="J434" i="1" s="1"/>
  <c r="J216" i="1"/>
  <c r="F888" i="2"/>
  <c r="F840" i="2"/>
  <c r="F855" i="2"/>
  <c r="I474" i="1"/>
  <c r="I484" i="1" s="1"/>
  <c r="H96" i="1"/>
  <c r="I651" i="1"/>
  <c r="I11" i="1"/>
  <c r="I63" i="1"/>
  <c r="I9" i="1"/>
  <c r="I104" i="1"/>
  <c r="I77" i="1"/>
  <c r="I79" i="1" s="1"/>
  <c r="I96" i="1" s="1"/>
  <c r="I60" i="1"/>
  <c r="I136" i="1"/>
  <c r="I138" i="1" s="1"/>
  <c r="I12" i="1"/>
  <c r="I105" i="1"/>
  <c r="I10" i="1"/>
  <c r="I62" i="1"/>
  <c r="I13" i="1"/>
  <c r="K643" i="1"/>
  <c r="K48" i="1"/>
  <c r="K206" i="1"/>
  <c r="K514" i="1"/>
  <c r="L288" i="1"/>
  <c r="M2" i="1"/>
  <c r="L400" i="1"/>
  <c r="L150" i="1"/>
  <c r="L504" i="1"/>
  <c r="L191" i="1"/>
  <c r="L149" i="1"/>
  <c r="L387" i="1"/>
  <c r="L33" i="1"/>
  <c r="L75" i="1"/>
  <c r="L413" i="1"/>
  <c r="L181" i="1"/>
  <c r="L493" i="1"/>
  <c r="L287" i="1"/>
  <c r="L505" i="1"/>
  <c r="L219" i="1"/>
  <c r="L39" i="1"/>
  <c r="L456" i="1" s="1"/>
  <c r="L148" i="1"/>
  <c r="L300" i="1"/>
  <c r="L161" i="1"/>
  <c r="L419" i="1"/>
  <c r="L202" i="1"/>
  <c r="L420" i="1"/>
  <c r="L45" i="1"/>
  <c r="L251" i="1" s="1"/>
  <c r="L159" i="1"/>
  <c r="L303" i="1"/>
  <c r="L153" i="1"/>
  <c r="L304" i="1"/>
  <c r="L170" i="1"/>
  <c r="L409" i="1"/>
  <c r="L377" i="1"/>
  <c r="L192" i="1"/>
  <c r="L502" i="1"/>
  <c r="L289" i="1"/>
  <c r="L641" i="1"/>
  <c r="L431" i="1"/>
  <c r="L162" i="1"/>
  <c r="L432" i="1"/>
  <c r="L295" i="1"/>
  <c r="L506" i="1"/>
  <c r="L379" i="1"/>
  <c r="L43" i="1"/>
  <c r="L459" i="1" s="1"/>
  <c r="L101" i="1"/>
  <c r="L297" i="1"/>
  <c r="L41" i="1"/>
  <c r="L268" i="1" s="1"/>
  <c r="L172" i="1"/>
  <c r="L460" i="1"/>
  <c r="L203" i="1"/>
  <c r="L510" i="1"/>
  <c r="L365" i="1"/>
  <c r="L65" i="1"/>
  <c r="L301" i="1"/>
  <c r="L38" i="1"/>
  <c r="L455" i="1" s="1"/>
  <c r="L44" i="1"/>
  <c r="L461" i="1" s="1"/>
  <c r="L151" i="1"/>
  <c r="L410" i="1"/>
  <c r="L183" i="1"/>
  <c r="L495" i="1"/>
  <c r="L180" i="1"/>
  <c r="L418" i="1"/>
  <c r="L194" i="1"/>
  <c r="L115" i="1"/>
  <c r="L583" i="1"/>
  <c r="L133" i="1"/>
  <c r="L411" i="1"/>
  <c r="L171" i="1"/>
  <c r="L496" i="1"/>
  <c r="L376" i="1"/>
  <c r="L66" i="1"/>
  <c r="L298" i="1"/>
  <c r="L173" i="1"/>
  <c r="L421" i="1"/>
  <c r="L388" i="1"/>
  <c r="L591" i="1"/>
  <c r="L389" i="1"/>
  <c r="L23" i="1"/>
  <c r="L302" i="1"/>
  <c r="L152" i="1"/>
  <c r="L299" i="1"/>
  <c r="L296" i="1"/>
  <c r="L19" i="1"/>
  <c r="L366" i="1"/>
  <c r="L512" i="1"/>
  <c r="L398" i="1"/>
  <c r="L509" i="1"/>
  <c r="L253" i="1"/>
  <c r="L642" i="1"/>
  <c r="L285" i="1"/>
  <c r="L511" i="1"/>
  <c r="L286" i="1"/>
  <c r="L182" i="1"/>
  <c r="L74" i="1"/>
  <c r="L399" i="1"/>
  <c r="L160" i="1"/>
  <c r="L412" i="1"/>
  <c r="L201" i="1"/>
  <c r="L367" i="1"/>
  <c r="L390" i="1"/>
  <c r="L147" i="1"/>
  <c r="L378" i="1"/>
  <c r="L193" i="1"/>
  <c r="L503" i="1"/>
  <c r="L204" i="1"/>
  <c r="L508" i="1"/>
  <c r="L368" i="1"/>
  <c r="L27" i="1"/>
  <c r="L391" i="1"/>
  <c r="L174" i="1"/>
  <c r="L507" i="1"/>
  <c r="L217" i="1"/>
  <c r="L497" i="1"/>
  <c r="L294" i="1"/>
  <c r="L494" i="1"/>
  <c r="L369" i="1"/>
  <c r="L42" i="1"/>
  <c r="L370" i="1"/>
  <c r="L40" i="1"/>
  <c r="L457" i="1" s="1"/>
  <c r="L46" i="1"/>
  <c r="L397" i="1"/>
  <c r="L218" i="1"/>
  <c r="K640" i="1"/>
  <c r="K634" i="1"/>
  <c r="H158" i="1"/>
  <c r="H659" i="1"/>
  <c r="H465" i="1"/>
  <c r="J652" i="1"/>
  <c r="J257" i="1"/>
  <c r="J76" i="1"/>
  <c r="J67" i="1"/>
  <c r="J103" i="1"/>
  <c r="J482" i="1"/>
  <c r="J462" i="1"/>
  <c r="J254" i="1"/>
  <c r="J593" i="1"/>
  <c r="J64" i="1"/>
  <c r="J271" i="1"/>
  <c r="J255" i="1"/>
  <c r="J256" i="1"/>
  <c r="J463" i="1"/>
  <c r="J585" i="1"/>
  <c r="J576" i="1"/>
  <c r="J135" i="1"/>
  <c r="H208" i="1"/>
  <c r="H179" i="1"/>
  <c r="H661" i="1"/>
  <c r="H146" i="1"/>
  <c r="H658" i="1"/>
  <c r="H383" i="1"/>
  <c r="H660" i="1"/>
  <c r="H404" i="1"/>
  <c r="H169" i="1"/>
  <c r="J1002" i="2"/>
  <c r="AA1013" i="2"/>
  <c r="AB1013" i="2" s="1"/>
  <c r="H484" i="1"/>
  <c r="K446" i="1"/>
  <c r="K238" i="1"/>
  <c r="K102" i="1"/>
  <c r="K232" i="1"/>
  <c r="I427" i="1"/>
  <c r="J425" i="1"/>
  <c r="J662" i="1"/>
  <c r="J190" i="1"/>
  <c r="J196" i="1" s="1"/>
  <c r="J208" i="1" s="1"/>
  <c r="J375" i="1"/>
  <c r="K29" i="1"/>
  <c r="K635" i="1"/>
  <c r="K396" i="1" s="1"/>
  <c r="K402" i="1" s="1"/>
  <c r="K633" i="1"/>
  <c r="K375" i="1" s="1"/>
  <c r="K381" i="1" s="1"/>
  <c r="K291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1" i="1"/>
  <c r="J1024" i="2"/>
  <c r="AA1024" i="2" s="1"/>
  <c r="AB1024" i="2" s="1"/>
  <c r="J1026" i="2"/>
  <c r="AA1026" i="2" s="1"/>
  <c r="AB1026" i="2" s="1"/>
  <c r="J1027" i="2"/>
  <c r="AA1027" i="2" s="1"/>
  <c r="AB1027" i="2" s="1"/>
  <c r="AA1023" i="2"/>
  <c r="AB1023" i="2" s="1"/>
  <c r="J396" i="1"/>
  <c r="J976" i="2"/>
  <c r="J1018" i="2"/>
  <c r="AA1015" i="2"/>
  <c r="AB1015" i="2" s="1"/>
  <c r="K574" i="1"/>
  <c r="K584" i="1"/>
  <c r="K231" i="1"/>
  <c r="K443" i="1"/>
  <c r="K499" i="1"/>
  <c r="K455" i="1"/>
  <c r="H138" i="1"/>
  <c r="H107" i="1"/>
  <c r="K1030" i="2"/>
  <c r="AA1019" i="2"/>
  <c r="AB1019" i="2" s="1"/>
  <c r="U1030" i="2"/>
  <c r="N998" i="2" l="1"/>
  <c r="J663" i="1"/>
  <c r="K50" i="1"/>
  <c r="L653" i="1"/>
  <c r="L35" i="1"/>
  <c r="J239" i="1"/>
  <c r="J226" i="1"/>
  <c r="J234" i="1"/>
  <c r="J230" i="1"/>
  <c r="I241" i="1"/>
  <c r="J227" i="1"/>
  <c r="J237" i="1"/>
  <c r="J104" i="1"/>
  <c r="J136" i="1"/>
  <c r="J138" i="1" s="1"/>
  <c r="J9" i="1"/>
  <c r="J233" i="1"/>
  <c r="J229" i="1"/>
  <c r="J12" i="1"/>
  <c r="J235" i="1"/>
  <c r="J11" i="1"/>
  <c r="L480" i="1"/>
  <c r="L247" i="1"/>
  <c r="J651" i="1"/>
  <c r="L475" i="1"/>
  <c r="L476" i="1"/>
  <c r="I246" i="1"/>
  <c r="I259" i="1" s="1"/>
  <c r="L265" i="1"/>
  <c r="J105" i="1"/>
  <c r="J60" i="1"/>
  <c r="J536" i="1" s="1"/>
  <c r="J236" i="1"/>
  <c r="L248" i="1"/>
  <c r="L454" i="1"/>
  <c r="L479" i="1"/>
  <c r="L264" i="1"/>
  <c r="J10" i="1"/>
  <c r="J77" i="1"/>
  <c r="J79" i="1" s="1"/>
  <c r="J96" i="1" s="1"/>
  <c r="I107" i="1"/>
  <c r="J63" i="1"/>
  <c r="J62" i="1"/>
  <c r="L266" i="1"/>
  <c r="L232" i="1"/>
  <c r="L231" i="1"/>
  <c r="L458" i="1"/>
  <c r="L584" i="1"/>
  <c r="L574" i="1"/>
  <c r="L477" i="1"/>
  <c r="L252" i="1"/>
  <c r="L444" i="1"/>
  <c r="L249" i="1"/>
  <c r="L269" i="1"/>
  <c r="L270" i="1"/>
  <c r="L442" i="1"/>
  <c r="L440" i="1"/>
  <c r="L575" i="1"/>
  <c r="I223" i="1"/>
  <c r="L447" i="1"/>
  <c r="L592" i="1"/>
  <c r="L448" i="1"/>
  <c r="L238" i="1"/>
  <c r="L102" i="1"/>
  <c r="L446" i="1"/>
  <c r="L478" i="1"/>
  <c r="L481" i="1"/>
  <c r="L441" i="1"/>
  <c r="L134" i="1"/>
  <c r="L635" i="1"/>
  <c r="L396" i="1" s="1"/>
  <c r="L402" i="1" s="1"/>
  <c r="L661" i="1" s="1"/>
  <c r="L306" i="1"/>
  <c r="L445" i="1"/>
  <c r="L443" i="1"/>
  <c r="N789" i="2"/>
  <c r="N704" i="2"/>
  <c r="N701" i="2"/>
  <c r="N791" i="2"/>
  <c r="N767" i="2"/>
  <c r="N702" i="2"/>
  <c r="N762" i="2"/>
  <c r="N700" i="2"/>
  <c r="N788" i="2"/>
  <c r="N1001" i="2"/>
  <c r="N705" i="2"/>
  <c r="N995" i="2"/>
  <c r="N698" i="2" s="1"/>
  <c r="O2" i="2"/>
  <c r="N765" i="2"/>
  <c r="N1087" i="2"/>
  <c r="N760" i="2"/>
  <c r="N761" i="2"/>
  <c r="N708" i="2"/>
  <c r="N977" i="2"/>
  <c r="N697" i="2"/>
  <c r="N800" i="2" s="1"/>
  <c r="N976" i="2"/>
  <c r="N1003" i="2"/>
  <c r="N1002" i="2"/>
  <c r="F961" i="2"/>
  <c r="E970" i="2" s="1"/>
  <c r="J221" i="1"/>
  <c r="L267" i="1"/>
  <c r="L250" i="1"/>
  <c r="J402" i="1"/>
  <c r="H596" i="1"/>
  <c r="H578" i="1"/>
  <c r="H580" i="1" s="1"/>
  <c r="H669" i="1"/>
  <c r="H69" i="1"/>
  <c r="H665" i="1"/>
  <c r="H486" i="1"/>
  <c r="H263" i="1"/>
  <c r="H176" i="1"/>
  <c r="H427" i="1"/>
  <c r="H155" i="1"/>
  <c r="J636" i="1"/>
  <c r="H246" i="1"/>
  <c r="H664" i="1"/>
  <c r="K652" i="1"/>
  <c r="K64" i="1"/>
  <c r="K271" i="1"/>
  <c r="K256" i="1"/>
  <c r="K67" i="1"/>
  <c r="K462" i="1"/>
  <c r="K257" i="1"/>
  <c r="K482" i="1"/>
  <c r="K637" i="1" s="1"/>
  <c r="K474" i="1" s="1"/>
  <c r="K484" i="1" s="1"/>
  <c r="K585" i="1"/>
  <c r="K254" i="1"/>
  <c r="K576" i="1"/>
  <c r="K463" i="1"/>
  <c r="K103" i="1"/>
  <c r="K135" i="1"/>
  <c r="K593" i="1"/>
  <c r="K255" i="1"/>
  <c r="K76" i="1"/>
  <c r="K430" i="1"/>
  <c r="K215" i="1"/>
  <c r="K214" i="1"/>
  <c r="K213" i="1"/>
  <c r="K216" i="1"/>
  <c r="I486" i="1"/>
  <c r="I488" i="1" s="1"/>
  <c r="I490" i="1" s="1"/>
  <c r="I665" i="1"/>
  <c r="I263" i="1"/>
  <c r="I273" i="1" s="1"/>
  <c r="L48" i="1"/>
  <c r="L643" i="1"/>
  <c r="L514" i="1"/>
  <c r="L640" i="1"/>
  <c r="L123" i="1" s="1"/>
  <c r="L499" i="1"/>
  <c r="I15" i="1"/>
  <c r="J998" i="2"/>
  <c r="AA1018" i="2"/>
  <c r="AB1018" i="2" s="1"/>
  <c r="H588" i="1"/>
  <c r="K364" i="1"/>
  <c r="K425" i="1"/>
  <c r="K662" i="1"/>
  <c r="K190" i="1"/>
  <c r="K659" i="1"/>
  <c r="K158" i="1"/>
  <c r="K164" i="1" s="1"/>
  <c r="K661" i="1"/>
  <c r="K179" i="1"/>
  <c r="K185" i="1" s="1"/>
  <c r="K668" i="1"/>
  <c r="K573" i="1"/>
  <c r="K572" i="1"/>
  <c r="K571" i="1"/>
  <c r="J381" i="1"/>
  <c r="H185" i="1"/>
  <c r="J637" i="1"/>
  <c r="H164" i="1"/>
  <c r="K386" i="1"/>
  <c r="K123" i="1"/>
  <c r="M23" i="1"/>
  <c r="M390" i="1"/>
  <c r="M151" i="1"/>
  <c r="M583" i="1"/>
  <c r="M300" i="1"/>
  <c r="M509" i="1"/>
  <c r="M295" i="1"/>
  <c r="M420" i="1"/>
  <c r="M74" i="1"/>
  <c r="M368" i="1"/>
  <c r="M287" i="1"/>
  <c r="M508" i="1"/>
  <c r="M304" i="1"/>
  <c r="M66" i="1"/>
  <c r="M301" i="1"/>
  <c r="M193" i="1"/>
  <c r="M510" i="1"/>
  <c r="M369" i="1"/>
  <c r="M160" i="1"/>
  <c r="M503" i="1"/>
  <c r="M409" i="1"/>
  <c r="M19" i="1"/>
  <c r="M410" i="1"/>
  <c r="M75" i="1"/>
  <c r="M399" i="1"/>
  <c r="M191" i="1"/>
  <c r="M493" i="1"/>
  <c r="M289" i="1"/>
  <c r="M591" i="1"/>
  <c r="M286" i="1"/>
  <c r="M27" i="1"/>
  <c r="M379" i="1"/>
  <c r="M294" i="1"/>
  <c r="M497" i="1"/>
  <c r="M203" i="1"/>
  <c r="M412" i="1"/>
  <c r="M42" i="1"/>
  <c r="M298" i="1"/>
  <c r="M180" i="1"/>
  <c r="M496" i="1"/>
  <c r="M218" i="1"/>
  <c r="M39" i="1"/>
  <c r="M477" i="1" s="1"/>
  <c r="M161" i="1"/>
  <c r="M204" i="1"/>
  <c r="M495" i="1"/>
  <c r="M387" i="1"/>
  <c r="M172" i="1"/>
  <c r="M419" i="1"/>
  <c r="M153" i="1"/>
  <c r="M366" i="1"/>
  <c r="M506" i="1"/>
  <c r="M183" i="1"/>
  <c r="M159" i="1"/>
  <c r="M413" i="1"/>
  <c r="M202" i="1"/>
  <c r="M512" i="1"/>
  <c r="M182" i="1"/>
  <c r="M641" i="1"/>
  <c r="M398" i="1"/>
  <c r="M171" i="1"/>
  <c r="M367" i="1"/>
  <c r="M253" i="1"/>
  <c r="M192" i="1"/>
  <c r="N2" i="1"/>
  <c r="M174" i="1"/>
  <c r="M421" i="1"/>
  <c r="M217" i="1"/>
  <c r="M507" i="1"/>
  <c r="M365" i="1"/>
  <c r="M43" i="1"/>
  <c r="M459" i="1" s="1"/>
  <c r="M148" i="1"/>
  <c r="M377" i="1"/>
  <c r="M40" i="1"/>
  <c r="M267" i="1" s="1"/>
  <c r="M115" i="1"/>
  <c r="M411" i="1"/>
  <c r="M201" i="1"/>
  <c r="M147" i="1"/>
  <c r="M370" i="1"/>
  <c r="M149" i="1"/>
  <c r="M297" i="1"/>
  <c r="M494" i="1"/>
  <c r="M162" i="1"/>
  <c r="M505" i="1"/>
  <c r="M391" i="1"/>
  <c r="M41" i="1"/>
  <c r="M268" i="1" s="1"/>
  <c r="M152" i="1"/>
  <c r="M376" i="1"/>
  <c r="M219" i="1"/>
  <c r="M133" i="1"/>
  <c r="M170" i="1"/>
  <c r="M181" i="1"/>
  <c r="M296" i="1"/>
  <c r="M38" i="1"/>
  <c r="M475" i="1" s="1"/>
  <c r="M288" i="1"/>
  <c r="M173" i="1"/>
  <c r="M45" i="1"/>
  <c r="M251" i="1" s="1"/>
  <c r="M302" i="1"/>
  <c r="M397" i="1"/>
  <c r="M502" i="1"/>
  <c r="M285" i="1"/>
  <c r="M303" i="1"/>
  <c r="M511" i="1"/>
  <c r="M299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0" i="1"/>
  <c r="M194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6" i="1"/>
  <c r="L291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1030" i="2"/>
  <c r="AB1030" i="2" s="1"/>
  <c r="M448" i="1" l="1"/>
  <c r="M35" i="1"/>
  <c r="J667" i="1"/>
  <c r="J107" i="1"/>
  <c r="J241" i="1"/>
  <c r="J577" i="1"/>
  <c r="J15" i="1"/>
  <c r="J578" i="1" s="1"/>
  <c r="J328" i="1"/>
  <c r="J594" i="1"/>
  <c r="J596" i="1" s="1"/>
  <c r="F413" i="2" s="1"/>
  <c r="I275" i="1"/>
  <c r="I277" i="1" s="1"/>
  <c r="L179" i="1"/>
  <c r="L185" i="1" s="1"/>
  <c r="J586" i="1"/>
  <c r="J588" i="1" s="1"/>
  <c r="F355" i="2" s="1"/>
  <c r="J329" i="1"/>
  <c r="J535" i="1"/>
  <c r="M247" i="1"/>
  <c r="M479" i="1"/>
  <c r="M481" i="1"/>
  <c r="M270" i="1"/>
  <c r="M457" i="1"/>
  <c r="M447" i="1"/>
  <c r="L450" i="1"/>
  <c r="L237" i="1" s="1"/>
  <c r="M250" i="1"/>
  <c r="M478" i="1"/>
  <c r="M584" i="1"/>
  <c r="M575" i="1"/>
  <c r="M458" i="1"/>
  <c r="M456" i="1"/>
  <c r="M441" i="1"/>
  <c r="M269" i="1"/>
  <c r="M249" i="1"/>
  <c r="M480" i="1"/>
  <c r="M266" i="1"/>
  <c r="M102" i="1"/>
  <c r="M134" i="1"/>
  <c r="M440" i="1"/>
  <c r="O705" i="2"/>
  <c r="O760" i="2"/>
  <c r="O761" i="2"/>
  <c r="P2" i="2"/>
  <c r="O765" i="2"/>
  <c r="O789" i="2"/>
  <c r="O998" i="2"/>
  <c r="O708" i="2"/>
  <c r="O767" i="2"/>
  <c r="O704" i="2"/>
  <c r="O1001" i="2"/>
  <c r="O1002" i="2"/>
  <c r="O1003" i="2"/>
  <c r="O976" i="2"/>
  <c r="O977" i="2"/>
  <c r="O700" i="2"/>
  <c r="O762" i="2"/>
  <c r="O791" i="2"/>
  <c r="O702" i="2"/>
  <c r="O701" i="2"/>
  <c r="O788" i="2"/>
  <c r="O1087" i="2"/>
  <c r="O995" i="2"/>
  <c r="O698" i="2" s="1"/>
  <c r="O697" i="2"/>
  <c r="O800" i="2" s="1"/>
  <c r="M265" i="1"/>
  <c r="M248" i="1"/>
  <c r="M455" i="1"/>
  <c r="M476" i="1"/>
  <c r="L660" i="1"/>
  <c r="L404" i="1"/>
  <c r="L169" i="1"/>
  <c r="L176" i="1" s="1"/>
  <c r="L383" i="1"/>
  <c r="L658" i="1"/>
  <c r="L146" i="1"/>
  <c r="L155" i="1" s="1"/>
  <c r="N150" i="1"/>
  <c r="N502" i="1"/>
  <c r="N183" i="1"/>
  <c r="N641" i="1"/>
  <c r="N40" i="1"/>
  <c r="N478" i="1" s="1"/>
  <c r="N161" i="1"/>
  <c r="N505" i="1"/>
  <c r="N289" i="1"/>
  <c r="N297" i="1"/>
  <c r="N201" i="1"/>
  <c r="N191" i="1"/>
  <c r="N512" i="1"/>
  <c r="N432" i="1"/>
  <c r="N397" i="1"/>
  <c r="N218" i="1"/>
  <c r="N43" i="1"/>
  <c r="N481" i="1" s="1"/>
  <c r="N148" i="1"/>
  <c r="N504" i="1"/>
  <c r="N66" i="1"/>
  <c r="N370" i="1"/>
  <c r="N286" i="1"/>
  <c r="N507" i="1"/>
  <c r="N410" i="1"/>
  <c r="N295" i="1"/>
  <c r="N510" i="1"/>
  <c r="N173" i="1"/>
  <c r="N376" i="1"/>
  <c r="N147" i="1"/>
  <c r="N399" i="1"/>
  <c r="N203" i="1"/>
  <c r="N193" i="1"/>
  <c r="N152" i="1"/>
  <c r="N23" i="1"/>
  <c r="N497" i="1"/>
  <c r="N44" i="1"/>
  <c r="N461" i="1" s="1"/>
  <c r="N162" i="1"/>
  <c r="N151" i="1"/>
  <c r="N495" i="1"/>
  <c r="N302" i="1"/>
  <c r="N172" i="1"/>
  <c r="N493" i="1"/>
  <c r="N192" i="1"/>
  <c r="N460" i="1"/>
  <c r="N409" i="1"/>
  <c r="N39" i="1"/>
  <c r="N266" i="1" s="1"/>
  <c r="N287" i="1"/>
  <c r="N101" i="1"/>
  <c r="N378" i="1"/>
  <c r="N303" i="1"/>
  <c r="N160" i="1"/>
  <c r="N182" i="1"/>
  <c r="N133" i="1"/>
  <c r="N74" i="1"/>
  <c r="N194" i="1"/>
  <c r="N33" i="1"/>
  <c r="N35" i="1" s="1"/>
  <c r="N27" i="1"/>
  <c r="N298" i="1"/>
  <c r="N388" i="1"/>
  <c r="N65" i="1"/>
  <c r="N304" i="1"/>
  <c r="N285" i="1"/>
  <c r="N38" i="1"/>
  <c r="N248" i="1" s="1"/>
  <c r="N400" i="1"/>
  <c r="N389" i="1"/>
  <c r="N377" i="1"/>
  <c r="N219" i="1"/>
  <c r="N41" i="1"/>
  <c r="N268" i="1" s="1"/>
  <c r="N115" i="1"/>
  <c r="N506" i="1"/>
  <c r="N19" i="1"/>
  <c r="N368" i="1"/>
  <c r="N509" i="1"/>
  <c r="N379" i="1"/>
  <c r="N174" i="1"/>
  <c r="N46" i="1"/>
  <c r="N398" i="1"/>
  <c r="N288" i="1"/>
  <c r="N583" i="1"/>
  <c r="N296" i="1"/>
  <c r="N45" i="1"/>
  <c r="N251" i="1" s="1"/>
  <c r="N159" i="1"/>
  <c r="N418" i="1"/>
  <c r="N170" i="1"/>
  <c r="N153" i="1"/>
  <c r="N431" i="1"/>
  <c r="N413" i="1"/>
  <c r="O2" i="1"/>
  <c r="N511" i="1"/>
  <c r="N390" i="1"/>
  <c r="N181" i="1"/>
  <c r="N642" i="1"/>
  <c r="N421" i="1"/>
  <c r="N591" i="1"/>
  <c r="N294" i="1"/>
  <c r="N253" i="1"/>
  <c r="N420" i="1"/>
  <c r="N365" i="1"/>
  <c r="N301" i="1"/>
  <c r="N180" i="1"/>
  <c r="N367" i="1"/>
  <c r="N369" i="1"/>
  <c r="N149" i="1"/>
  <c r="N300" i="1"/>
  <c r="N204" i="1"/>
  <c r="N412" i="1"/>
  <c r="N75" i="1"/>
  <c r="N419" i="1"/>
  <c r="N202" i="1"/>
  <c r="N496" i="1"/>
  <c r="N494" i="1"/>
  <c r="N217" i="1"/>
  <c r="N508" i="1"/>
  <c r="N42" i="1"/>
  <c r="N391" i="1"/>
  <c r="N171" i="1"/>
  <c r="N503" i="1"/>
  <c r="N299" i="1"/>
  <c r="N366" i="1"/>
  <c r="N387" i="1"/>
  <c r="N411" i="1"/>
  <c r="M634" i="1"/>
  <c r="M386" i="1" s="1"/>
  <c r="M393" i="1" s="1"/>
  <c r="M640" i="1"/>
  <c r="M306" i="1"/>
  <c r="M415" i="1"/>
  <c r="J659" i="1"/>
  <c r="J158" i="1"/>
  <c r="J383" i="1"/>
  <c r="F353" i="2"/>
  <c r="F296" i="2"/>
  <c r="I516" i="1"/>
  <c r="K221" i="1"/>
  <c r="K665" i="1"/>
  <c r="K263" i="1"/>
  <c r="K273" i="1" s="1"/>
  <c r="H259" i="1"/>
  <c r="J453" i="1"/>
  <c r="H187" i="1"/>
  <c r="H273" i="1"/>
  <c r="H127" i="1"/>
  <c r="H113" i="1"/>
  <c r="H125" i="1"/>
  <c r="H655" i="1"/>
  <c r="H95" i="1"/>
  <c r="H81" i="1"/>
  <c r="H114" i="1"/>
  <c r="H126" i="1"/>
  <c r="H128" i="1"/>
  <c r="F9" i="2"/>
  <c r="J661" i="1"/>
  <c r="J179" i="1"/>
  <c r="J404" i="1"/>
  <c r="M232" i="1"/>
  <c r="M574" i="1"/>
  <c r="M231" i="1"/>
  <c r="M444" i="1"/>
  <c r="M238" i="1"/>
  <c r="M442" i="1"/>
  <c r="M454" i="1"/>
  <c r="M264" i="1"/>
  <c r="M592" i="1"/>
  <c r="M445" i="1"/>
  <c r="M514" i="1"/>
  <c r="M206" i="1"/>
  <c r="M643" i="1"/>
  <c r="M499" i="1"/>
  <c r="H166" i="1"/>
  <c r="K636" i="1"/>
  <c r="K453" i="1" s="1"/>
  <c r="K465" i="1" s="1"/>
  <c r="K486" i="1" s="1"/>
  <c r="K488" i="1" s="1"/>
  <c r="L662" i="1"/>
  <c r="L425" i="1"/>
  <c r="L190" i="1"/>
  <c r="L196" i="1" s="1"/>
  <c r="L208" i="1" s="1"/>
  <c r="L659" i="1"/>
  <c r="L158" i="1"/>
  <c r="L164" i="1" s="1"/>
  <c r="L50" i="1"/>
  <c r="L668" i="1"/>
  <c r="L573" i="1"/>
  <c r="L571" i="1"/>
  <c r="L572" i="1"/>
  <c r="K663" i="1"/>
  <c r="K233" i="1"/>
  <c r="K234" i="1"/>
  <c r="K236" i="1"/>
  <c r="K228" i="1"/>
  <c r="K239" i="1"/>
  <c r="K227" i="1"/>
  <c r="K226" i="1"/>
  <c r="K237" i="1"/>
  <c r="K235" i="1"/>
  <c r="K229" i="1"/>
  <c r="K230" i="1"/>
  <c r="M653" i="1"/>
  <c r="M423" i="1"/>
  <c r="M291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6" i="1"/>
  <c r="K77" i="1"/>
  <c r="K79" i="1" s="1"/>
  <c r="K105" i="1"/>
  <c r="K11" i="1"/>
  <c r="K12" i="1"/>
  <c r="K104" i="1"/>
  <c r="K13" i="1"/>
  <c r="K63" i="1"/>
  <c r="K62" i="1"/>
  <c r="K10" i="1"/>
  <c r="K60" i="1"/>
  <c r="K9" i="1"/>
  <c r="K196" i="1"/>
  <c r="K372" i="1"/>
  <c r="I69" i="1"/>
  <c r="I669" i="1"/>
  <c r="I578" i="1"/>
  <c r="I580" i="1" s="1"/>
  <c r="L214" i="1"/>
  <c r="L430" i="1"/>
  <c r="L434" i="1" s="1"/>
  <c r="L213" i="1"/>
  <c r="L216" i="1"/>
  <c r="L215" i="1"/>
  <c r="L652" i="1"/>
  <c r="L482" i="1"/>
  <c r="L463" i="1"/>
  <c r="L271" i="1"/>
  <c r="L257" i="1"/>
  <c r="L76" i="1"/>
  <c r="L462" i="1"/>
  <c r="L103" i="1"/>
  <c r="L67" i="1"/>
  <c r="L576" i="1"/>
  <c r="L593" i="1"/>
  <c r="L135" i="1"/>
  <c r="L254" i="1"/>
  <c r="L64" i="1"/>
  <c r="L256" i="1"/>
  <c r="L585" i="1"/>
  <c r="L255" i="1"/>
  <c r="K434" i="1"/>
  <c r="H488" i="1"/>
  <c r="F411" i="2"/>
  <c r="M443" i="1"/>
  <c r="M48" i="1"/>
  <c r="M446" i="1"/>
  <c r="M252" i="1"/>
  <c r="N653" i="1" l="1"/>
  <c r="J669" i="1"/>
  <c r="L228" i="1"/>
  <c r="J69" i="1"/>
  <c r="J125" i="1" s="1"/>
  <c r="L227" i="1"/>
  <c r="L239" i="1"/>
  <c r="L236" i="1"/>
  <c r="I279" i="1"/>
  <c r="I308" i="1" s="1"/>
  <c r="L663" i="1"/>
  <c r="J580" i="1"/>
  <c r="F298" i="2" s="1"/>
  <c r="L235" i="1"/>
  <c r="L187" i="1"/>
  <c r="L229" i="1"/>
  <c r="L226" i="1"/>
  <c r="L234" i="1"/>
  <c r="L233" i="1"/>
  <c r="L230" i="1"/>
  <c r="N476" i="1"/>
  <c r="N454" i="1"/>
  <c r="N440" i="1"/>
  <c r="L636" i="1"/>
  <c r="L453" i="1" s="1"/>
  <c r="L465" i="1" s="1"/>
  <c r="L664" i="1" s="1"/>
  <c r="N447" i="1"/>
  <c r="N584" i="1"/>
  <c r="N247" i="1"/>
  <c r="N448" i="1"/>
  <c r="N252" i="1"/>
  <c r="N459" i="1"/>
  <c r="N231" i="1"/>
  <c r="N270" i="1"/>
  <c r="N102" i="1"/>
  <c r="N479" i="1"/>
  <c r="N269" i="1"/>
  <c r="N458" i="1"/>
  <c r="N29" i="1"/>
  <c r="N456" i="1"/>
  <c r="N477" i="1"/>
  <c r="N249" i="1"/>
  <c r="N480" i="1"/>
  <c r="N457" i="1"/>
  <c r="N574" i="1"/>
  <c r="N475" i="1"/>
  <c r="N265" i="1"/>
  <c r="N267" i="1"/>
  <c r="N238" i="1"/>
  <c r="N442" i="1"/>
  <c r="N446" i="1"/>
  <c r="N250" i="1"/>
  <c r="N634" i="1"/>
  <c r="N386" i="1" s="1"/>
  <c r="N393" i="1" s="1"/>
  <c r="N169" i="1" s="1"/>
  <c r="N176" i="1" s="1"/>
  <c r="N134" i="1"/>
  <c r="N232" i="1"/>
  <c r="N443" i="1"/>
  <c r="N444" i="1"/>
  <c r="N441" i="1"/>
  <c r="N455" i="1"/>
  <c r="N575" i="1"/>
  <c r="N445" i="1"/>
  <c r="N640" i="1"/>
  <c r="N123" i="1" s="1"/>
  <c r="P705" i="2"/>
  <c r="P1001" i="2"/>
  <c r="P765" i="2"/>
  <c r="P760" i="2"/>
  <c r="P704" i="2"/>
  <c r="Q2" i="2"/>
  <c r="P789" i="2"/>
  <c r="P761" i="2"/>
  <c r="P708" i="2"/>
  <c r="P998" i="2"/>
  <c r="P767" i="2"/>
  <c r="P977" i="2"/>
  <c r="P1003" i="2"/>
  <c r="P976" i="2"/>
  <c r="P762" i="2"/>
  <c r="P788" i="2"/>
  <c r="P791" i="2"/>
  <c r="P700" i="2"/>
  <c r="P701" i="2"/>
  <c r="P995" i="2"/>
  <c r="P698" i="2" s="1"/>
  <c r="P1087" i="2"/>
  <c r="P702" i="2"/>
  <c r="P697" i="2"/>
  <c r="P800" i="2" s="1"/>
  <c r="P1002" i="2"/>
  <c r="N592" i="1"/>
  <c r="M450" i="1"/>
  <c r="M663" i="1" s="1"/>
  <c r="M652" i="1"/>
  <c r="M76" i="1"/>
  <c r="M135" i="1"/>
  <c r="M482" i="1"/>
  <c r="M637" i="1" s="1"/>
  <c r="M474" i="1" s="1"/>
  <c r="M484" i="1" s="1"/>
  <c r="M593" i="1"/>
  <c r="M463" i="1"/>
  <c r="M271" i="1"/>
  <c r="M255" i="1"/>
  <c r="M462" i="1"/>
  <c r="M64" i="1"/>
  <c r="M256" i="1"/>
  <c r="M254" i="1"/>
  <c r="M576" i="1"/>
  <c r="M103" i="1"/>
  <c r="M257" i="1"/>
  <c r="M67" i="1"/>
  <c r="M585" i="1"/>
  <c r="L637" i="1"/>
  <c r="K667" i="1"/>
  <c r="K328" i="1"/>
  <c r="K586" i="1"/>
  <c r="K535" i="1"/>
  <c r="K329" i="1"/>
  <c r="K594" i="1"/>
  <c r="K536" i="1"/>
  <c r="K577" i="1"/>
  <c r="H210" i="1"/>
  <c r="J185" i="1"/>
  <c r="H98" i="1"/>
  <c r="H130" i="1"/>
  <c r="J465" i="1"/>
  <c r="H275" i="1"/>
  <c r="J427" i="1"/>
  <c r="M662" i="1"/>
  <c r="M425" i="1"/>
  <c r="M190" i="1"/>
  <c r="M123" i="1"/>
  <c r="M660" i="1"/>
  <c r="M169" i="1"/>
  <c r="M176" i="1" s="1"/>
  <c r="N48" i="1"/>
  <c r="N206" i="1"/>
  <c r="N514" i="1"/>
  <c r="L221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I81" i="1"/>
  <c r="I655" i="1"/>
  <c r="I114" i="1"/>
  <c r="I128" i="1"/>
  <c r="I127" i="1"/>
  <c r="I126" i="1"/>
  <c r="F10" i="2"/>
  <c r="I125" i="1"/>
  <c r="I113" i="1"/>
  <c r="K658" i="1"/>
  <c r="K383" i="1"/>
  <c r="K146" i="1"/>
  <c r="K208" i="1"/>
  <c r="K15" i="1"/>
  <c r="K107" i="1"/>
  <c r="J484" i="1"/>
  <c r="K660" i="1"/>
  <c r="K404" i="1"/>
  <c r="K169" i="1"/>
  <c r="M668" i="1"/>
  <c r="M50" i="1"/>
  <c r="M572" i="1"/>
  <c r="M571" i="1"/>
  <c r="M573" i="1"/>
  <c r="M383" i="1"/>
  <c r="M658" i="1"/>
  <c r="M146" i="1"/>
  <c r="M155" i="1" s="1"/>
  <c r="M659" i="1"/>
  <c r="M158" i="1"/>
  <c r="M164" i="1" s="1"/>
  <c r="M396" i="1"/>
  <c r="K241" i="1"/>
  <c r="L651" i="1"/>
  <c r="L105" i="1"/>
  <c r="L104" i="1"/>
  <c r="L9" i="1"/>
  <c r="L11" i="1"/>
  <c r="L62" i="1"/>
  <c r="L13" i="1"/>
  <c r="L136" i="1"/>
  <c r="L138" i="1" s="1"/>
  <c r="L60" i="1"/>
  <c r="L77" i="1"/>
  <c r="L79" i="1" s="1"/>
  <c r="L10" i="1"/>
  <c r="L63" i="1"/>
  <c r="L12" i="1"/>
  <c r="K664" i="1"/>
  <c r="K246" i="1"/>
  <c r="K259" i="1" s="1"/>
  <c r="K275" i="1" s="1"/>
  <c r="M214" i="1"/>
  <c r="M215" i="1"/>
  <c r="M213" i="1"/>
  <c r="M430" i="1"/>
  <c r="M434" i="1" s="1"/>
  <c r="M216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4" i="1"/>
  <c r="O218" i="1"/>
  <c r="O493" i="1"/>
  <c r="O397" i="1"/>
  <c r="O510" i="1"/>
  <c r="O285" i="1"/>
  <c r="O43" i="1"/>
  <c r="O270" i="1" s="1"/>
  <c r="O160" i="1"/>
  <c r="O508" i="1"/>
  <c r="O365" i="1"/>
  <c r="O497" i="1"/>
  <c r="O298" i="1"/>
  <c r="O147" i="1"/>
  <c r="O303" i="1"/>
  <c r="O193" i="1"/>
  <c r="O512" i="1"/>
  <c r="O387" i="1"/>
  <c r="O41" i="1"/>
  <c r="O268" i="1" s="1"/>
  <c r="O162" i="1"/>
  <c r="O302" i="1"/>
  <c r="O46" i="1"/>
  <c r="O389" i="1"/>
  <c r="O66" i="1"/>
  <c r="O300" i="1"/>
  <c r="O201" i="1"/>
  <c r="O149" i="1"/>
  <c r="O366" i="1"/>
  <c r="O19" i="1"/>
  <c r="O411" i="1"/>
  <c r="O204" i="1"/>
  <c r="O504" i="1"/>
  <c r="O294" i="1"/>
  <c r="O33" i="1"/>
  <c r="O75" i="1"/>
  <c r="O376" i="1"/>
  <c r="O42" i="1"/>
  <c r="O296" i="1"/>
  <c r="O183" i="1"/>
  <c r="O40" i="1"/>
  <c r="O457" i="1" s="1"/>
  <c r="O161" i="1"/>
  <c r="O301" i="1"/>
  <c r="O115" i="1"/>
  <c r="O432" i="1"/>
  <c r="O173" i="1"/>
  <c r="O503" i="1"/>
  <c r="O286" i="1"/>
  <c r="O44" i="1"/>
  <c r="O461" i="1" s="1"/>
  <c r="O170" i="1"/>
  <c r="O410" i="1"/>
  <c r="O191" i="1"/>
  <c r="O460" i="1"/>
  <c r="O152" i="1"/>
  <c r="O421" i="1"/>
  <c r="O148" i="1"/>
  <c r="O367" i="1"/>
  <c r="O400" i="1"/>
  <c r="O45" i="1"/>
  <c r="O480" i="1" s="1"/>
  <c r="O171" i="1"/>
  <c r="O388" i="1"/>
  <c r="O159" i="1"/>
  <c r="O511" i="1"/>
  <c r="O369" i="1"/>
  <c r="O496" i="1"/>
  <c r="O27" i="1"/>
  <c r="O379" i="1"/>
  <c r="O151" i="1"/>
  <c r="O409" i="1"/>
  <c r="O101" i="1"/>
  <c r="O299" i="1"/>
  <c r="O399" i="1"/>
  <c r="O217" i="1"/>
  <c r="O419" i="1"/>
  <c r="O181" i="1"/>
  <c r="O494" i="1"/>
  <c r="O289" i="1"/>
  <c r="O495" i="1"/>
  <c r="O378" i="1"/>
  <c r="O194" i="1"/>
  <c r="O509" i="1"/>
  <c r="O253" i="1"/>
  <c r="O502" i="1"/>
  <c r="O203" i="1"/>
  <c r="O507" i="1"/>
  <c r="O174" i="1"/>
  <c r="O74" i="1"/>
  <c r="O391" i="1"/>
  <c r="O172" i="1"/>
  <c r="O420" i="1"/>
  <c r="O182" i="1"/>
  <c r="P2" i="1"/>
  <c r="O304" i="1"/>
  <c r="O39" i="1"/>
  <c r="O477" i="1" s="1"/>
  <c r="O180" i="1"/>
  <c r="O431" i="1"/>
  <c r="O202" i="1"/>
  <c r="O412" i="1"/>
  <c r="O192" i="1"/>
  <c r="O591" i="1"/>
  <c r="O390" i="1"/>
  <c r="O287" i="1"/>
  <c r="O505" i="1"/>
  <c r="O219" i="1"/>
  <c r="O65" i="1"/>
  <c r="O368" i="1"/>
  <c r="O133" i="1"/>
  <c r="O413" i="1"/>
  <c r="O370" i="1"/>
  <c r="O642" i="1"/>
  <c r="O295" i="1"/>
  <c r="O641" i="1"/>
  <c r="O398" i="1"/>
  <c r="O23" i="1"/>
  <c r="O297" i="1"/>
  <c r="O150" i="1"/>
  <c r="O583" i="1"/>
  <c r="O288" i="1"/>
  <c r="O506" i="1"/>
  <c r="O377" i="1"/>
  <c r="O38" i="1"/>
  <c r="O475" i="1" s="1"/>
  <c r="O153" i="1"/>
  <c r="O418" i="1"/>
  <c r="N643" i="1"/>
  <c r="K138" i="1"/>
  <c r="N291" i="1"/>
  <c r="N499" i="1"/>
  <c r="N264" i="1"/>
  <c r="L166" i="1"/>
  <c r="L427" i="1"/>
  <c r="O35" i="1" l="1"/>
  <c r="J81" i="1"/>
  <c r="N668" i="1"/>
  <c r="N50" i="1"/>
  <c r="J113" i="1"/>
  <c r="O134" i="1"/>
  <c r="J95" i="1"/>
  <c r="J98" i="1" s="1"/>
  <c r="J532" i="1" s="1"/>
  <c r="J655" i="1"/>
  <c r="F11" i="2"/>
  <c r="F1095" i="2" s="1"/>
  <c r="J114" i="1"/>
  <c r="J128" i="1"/>
  <c r="J127" i="1"/>
  <c r="J126" i="1"/>
  <c r="N404" i="1"/>
  <c r="L210" i="1"/>
  <c r="L223" i="1" s="1"/>
  <c r="L246" i="1"/>
  <c r="L259" i="1" s="1"/>
  <c r="L241" i="1"/>
  <c r="N572" i="1"/>
  <c r="N660" i="1"/>
  <c r="N136" i="1"/>
  <c r="O478" i="1"/>
  <c r="O231" i="1"/>
  <c r="M636" i="1"/>
  <c r="M453" i="1" s="1"/>
  <c r="M465" i="1" s="1"/>
  <c r="M486" i="1" s="1"/>
  <c r="M488" i="1" s="1"/>
  <c r="O479" i="1"/>
  <c r="O267" i="1"/>
  <c r="O232" i="1"/>
  <c r="O458" i="1"/>
  <c r="O459" i="1"/>
  <c r="O592" i="1"/>
  <c r="O584" i="1"/>
  <c r="O102" i="1"/>
  <c r="M226" i="1"/>
  <c r="N450" i="1"/>
  <c r="N228" i="1" s="1"/>
  <c r="O265" i="1"/>
  <c r="O252" i="1"/>
  <c r="O250" i="1"/>
  <c r="O444" i="1"/>
  <c r="O249" i="1"/>
  <c r="N573" i="1"/>
  <c r="N571" i="1"/>
  <c r="O481" i="1"/>
  <c r="O266" i="1"/>
  <c r="M235" i="1"/>
  <c r="O445" i="1"/>
  <c r="M237" i="1"/>
  <c r="O446" i="1"/>
  <c r="O441" i="1"/>
  <c r="O269" i="1"/>
  <c r="O575" i="1"/>
  <c r="M229" i="1"/>
  <c r="O443" i="1"/>
  <c r="O574" i="1"/>
  <c r="O238" i="1"/>
  <c r="O251" i="1"/>
  <c r="O48" i="1"/>
  <c r="O256" i="1" s="1"/>
  <c r="M233" i="1"/>
  <c r="M230" i="1"/>
  <c r="M236" i="1"/>
  <c r="K277" i="1"/>
  <c r="O442" i="1"/>
  <c r="O440" i="1"/>
  <c r="O447" i="1"/>
  <c r="O448" i="1"/>
  <c r="M228" i="1"/>
  <c r="M227" i="1"/>
  <c r="O456" i="1"/>
  <c r="O643" i="1"/>
  <c r="L107" i="1"/>
  <c r="M234" i="1"/>
  <c r="M239" i="1"/>
  <c r="Q705" i="2"/>
  <c r="Q765" i="2"/>
  <c r="Q791" i="2"/>
  <c r="Q995" i="2"/>
  <c r="Q1087" i="2"/>
  <c r="Q702" i="2"/>
  <c r="Q708" i="2"/>
  <c r="Q789" i="2"/>
  <c r="R2" i="2"/>
  <c r="Q760" i="2"/>
  <c r="Q761" i="2"/>
  <c r="Q767" i="2"/>
  <c r="Q976" i="2"/>
  <c r="Q700" i="2"/>
  <c r="Q788" i="2"/>
  <c r="Q762" i="2"/>
  <c r="Q701" i="2"/>
  <c r="Q977" i="2"/>
  <c r="Q1001" i="2"/>
  <c r="Q704" i="2"/>
  <c r="Q1003" i="2"/>
  <c r="Q1002" i="2"/>
  <c r="Q998" i="2"/>
  <c r="Q697" i="2"/>
  <c r="Q800" i="2" s="1"/>
  <c r="O476" i="1"/>
  <c r="O248" i="1"/>
  <c r="O264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1" i="1"/>
  <c r="O635" i="1"/>
  <c r="J166" i="1"/>
  <c r="M402" i="1"/>
  <c r="M651" i="1"/>
  <c r="M10" i="1"/>
  <c r="M77" i="1"/>
  <c r="M79" i="1" s="1"/>
  <c r="M96" i="1" s="1"/>
  <c r="M60" i="1"/>
  <c r="M63" i="1"/>
  <c r="M105" i="1"/>
  <c r="M13" i="1"/>
  <c r="M11" i="1"/>
  <c r="M62" i="1"/>
  <c r="M136" i="1"/>
  <c r="M138" i="1" s="1"/>
  <c r="M12" i="1"/>
  <c r="M9" i="1"/>
  <c r="M104" i="1"/>
  <c r="N381" i="1"/>
  <c r="N383" i="1" s="1"/>
  <c r="N658" i="1"/>
  <c r="N146" i="1"/>
  <c r="N155" i="1" s="1"/>
  <c r="K588" i="1"/>
  <c r="M665" i="1"/>
  <c r="M263" i="1"/>
  <c r="M273" i="1" s="1"/>
  <c r="O514" i="1"/>
  <c r="O247" i="1"/>
  <c r="M221" i="1"/>
  <c r="M166" i="1"/>
  <c r="K427" i="1"/>
  <c r="K490" i="1" s="1"/>
  <c r="I657" i="1"/>
  <c r="I120" i="1"/>
  <c r="N214" i="1"/>
  <c r="N215" i="1"/>
  <c r="N216" i="1"/>
  <c r="N213" i="1"/>
  <c r="N430" i="1"/>
  <c r="N434" i="1" s="1"/>
  <c r="O423" i="1"/>
  <c r="O640" i="1"/>
  <c r="P173" i="1"/>
  <c r="P495" i="1"/>
  <c r="P218" i="1"/>
  <c r="P512" i="1"/>
  <c r="P399" i="1"/>
  <c r="P583" i="1"/>
  <c r="P400" i="1"/>
  <c r="P27" i="1"/>
  <c r="P397" i="1"/>
  <c r="P183" i="1"/>
  <c r="P641" i="1"/>
  <c r="P387" i="1"/>
  <c r="P388" i="1"/>
  <c r="P494" i="1"/>
  <c r="P182" i="1"/>
  <c r="P507" i="1"/>
  <c r="P376" i="1"/>
  <c r="P74" i="1"/>
  <c r="P391" i="1"/>
  <c r="P75" i="1"/>
  <c r="P300" i="1"/>
  <c r="P389" i="1"/>
  <c r="P39" i="1"/>
  <c r="P249" i="1" s="1"/>
  <c r="P174" i="1"/>
  <c r="P508" i="1"/>
  <c r="P369" i="1"/>
  <c r="P23" i="1"/>
  <c r="P370" i="1"/>
  <c r="P642" i="1"/>
  <c r="P296" i="1"/>
  <c r="Q2" i="1"/>
  <c r="P368" i="1"/>
  <c r="P40" i="1"/>
  <c r="P250" i="1" s="1"/>
  <c r="P153" i="1"/>
  <c r="P411" i="1"/>
  <c r="P38" i="1"/>
  <c r="P248" i="1" s="1"/>
  <c r="P45" i="1"/>
  <c r="P458" i="1" s="1"/>
  <c r="P115" i="1"/>
  <c r="P412" i="1"/>
  <c r="P151" i="1"/>
  <c r="P409" i="1"/>
  <c r="P287" i="1"/>
  <c r="P44" i="1"/>
  <c r="P461" i="1" s="1"/>
  <c r="P161" i="1"/>
  <c r="P377" i="1"/>
  <c r="P378" i="1"/>
  <c r="P510" i="1"/>
  <c r="P204" i="1"/>
  <c r="P66" i="1"/>
  <c r="P432" i="1"/>
  <c r="P170" i="1"/>
  <c r="P299" i="1"/>
  <c r="P172" i="1"/>
  <c r="P65" i="1"/>
  <c r="P379" i="1"/>
  <c r="P147" i="1"/>
  <c r="P460" i="1"/>
  <c r="P288" i="1"/>
  <c r="P509" i="1"/>
  <c r="P289" i="1"/>
  <c r="P502" i="1"/>
  <c r="P149" i="1"/>
  <c r="P366" i="1"/>
  <c r="P43" i="1"/>
  <c r="P481" i="1" s="1"/>
  <c r="P152" i="1"/>
  <c r="P302" i="1"/>
  <c r="P180" i="1"/>
  <c r="P419" i="1"/>
  <c r="P181" i="1"/>
  <c r="P506" i="1"/>
  <c r="P203" i="1"/>
  <c r="P503" i="1"/>
  <c r="P398" i="1"/>
  <c r="P217" i="1"/>
  <c r="P162" i="1"/>
  <c r="P413" i="1"/>
  <c r="P42" i="1"/>
  <c r="P297" i="1"/>
  <c r="P133" i="1"/>
  <c r="P504" i="1"/>
  <c r="P194" i="1"/>
  <c r="P505" i="1"/>
  <c r="P285" i="1"/>
  <c r="P101" i="1"/>
  <c r="P421" i="1"/>
  <c r="P298" i="1"/>
  <c r="P201" i="1"/>
  <c r="P493" i="1"/>
  <c r="P202" i="1"/>
  <c r="P418" i="1"/>
  <c r="P46" i="1"/>
  <c r="P301" i="1"/>
  <c r="P171" i="1"/>
  <c r="P496" i="1"/>
  <c r="P294" i="1"/>
  <c r="P497" i="1"/>
  <c r="P295" i="1"/>
  <c r="P591" i="1"/>
  <c r="P286" i="1"/>
  <c r="P33" i="1"/>
  <c r="P35" i="1" s="1"/>
  <c r="P160" i="1"/>
  <c r="P410" i="1"/>
  <c r="P219" i="1"/>
  <c r="P191" i="1"/>
  <c r="P420" i="1"/>
  <c r="P159" i="1"/>
  <c r="P431" i="1"/>
  <c r="P193" i="1"/>
  <c r="P19" i="1"/>
  <c r="P253" i="1"/>
  <c r="P367" i="1"/>
  <c r="P365" i="1"/>
  <c r="P192" i="1"/>
  <c r="P511" i="1"/>
  <c r="P390" i="1"/>
  <c r="P148" i="1"/>
  <c r="P303" i="1"/>
  <c r="P41" i="1"/>
  <c r="P479" i="1" s="1"/>
  <c r="P150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6" i="1"/>
  <c r="J665" i="1"/>
  <c r="J486" i="1"/>
  <c r="J263" i="1"/>
  <c r="K669" i="1"/>
  <c r="K69" i="1"/>
  <c r="K578" i="1"/>
  <c r="K580" i="1" s="1"/>
  <c r="K155" i="1"/>
  <c r="K166" i="1" s="1"/>
  <c r="I109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79" i="1"/>
  <c r="N185" i="1" s="1"/>
  <c r="N187" i="1" s="1"/>
  <c r="N662" i="1"/>
  <c r="N425" i="1"/>
  <c r="N190" i="1"/>
  <c r="N196" i="1" s="1"/>
  <c r="N208" i="1" s="1"/>
  <c r="N652" i="1"/>
  <c r="N76" i="1"/>
  <c r="N254" i="1"/>
  <c r="N103" i="1"/>
  <c r="N257" i="1"/>
  <c r="N256" i="1"/>
  <c r="N64" i="1"/>
  <c r="N593" i="1"/>
  <c r="N585" i="1"/>
  <c r="N255" i="1"/>
  <c r="N135" i="1"/>
  <c r="N462" i="1"/>
  <c r="N463" i="1"/>
  <c r="N576" i="1"/>
  <c r="N271" i="1"/>
  <c r="N67" i="1"/>
  <c r="N482" i="1"/>
  <c r="M196" i="1"/>
  <c r="H277" i="1"/>
  <c r="J664" i="1"/>
  <c r="J246" i="1"/>
  <c r="H602" i="1"/>
  <c r="H109" i="1"/>
  <c r="H325" i="1"/>
  <c r="H600" i="1"/>
  <c r="H529" i="1"/>
  <c r="H604" i="1"/>
  <c r="H598" i="1"/>
  <c r="H321" i="1"/>
  <c r="H532" i="1"/>
  <c r="H324" i="1"/>
  <c r="H606" i="1"/>
  <c r="J187" i="1"/>
  <c r="H223" i="1"/>
  <c r="K596" i="1"/>
  <c r="L474" i="1"/>
  <c r="O455" i="1"/>
  <c r="O206" i="1"/>
  <c r="O499" i="1"/>
  <c r="I130" i="1"/>
  <c r="J109" i="1" l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0" i="1"/>
  <c r="L69" i="1"/>
  <c r="L127" i="1" s="1"/>
  <c r="N105" i="1"/>
  <c r="N63" i="1"/>
  <c r="N13" i="1"/>
  <c r="N10" i="1"/>
  <c r="N77" i="1"/>
  <c r="N79" i="1" s="1"/>
  <c r="N96" i="1" s="1"/>
  <c r="N62" i="1"/>
  <c r="P251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0" i="1"/>
  <c r="P476" i="1"/>
  <c r="N234" i="1"/>
  <c r="N226" i="1"/>
  <c r="O103" i="1"/>
  <c r="M246" i="1"/>
  <c r="M259" i="1" s="1"/>
  <c r="M275" i="1" s="1"/>
  <c r="M664" i="1"/>
  <c r="N236" i="1"/>
  <c r="N237" i="1"/>
  <c r="N227" i="1"/>
  <c r="P574" i="1"/>
  <c r="N239" i="1"/>
  <c r="N229" i="1"/>
  <c r="N233" i="1"/>
  <c r="N235" i="1"/>
  <c r="O450" i="1"/>
  <c r="O234" i="1" s="1"/>
  <c r="P480" i="1"/>
  <c r="N138" i="1"/>
  <c r="O482" i="1"/>
  <c r="O637" i="1" s="1"/>
  <c r="O474" i="1" s="1"/>
  <c r="O484" i="1" s="1"/>
  <c r="O263" i="1" s="1"/>
  <c r="O67" i="1"/>
  <c r="I538" i="1"/>
  <c r="I540" i="1" s="1"/>
  <c r="I542" i="1" s="1"/>
  <c r="O255" i="1"/>
  <c r="O593" i="1"/>
  <c r="O135" i="1"/>
  <c r="P265" i="1"/>
  <c r="M107" i="1"/>
  <c r="P455" i="1"/>
  <c r="P264" i="1"/>
  <c r="P475" i="1"/>
  <c r="P269" i="1"/>
  <c r="P441" i="1"/>
  <c r="P457" i="1"/>
  <c r="P631" i="1"/>
  <c r="P364" i="1" s="1"/>
  <c r="P372" i="1" s="1"/>
  <c r="P146" i="1" s="1"/>
  <c r="P155" i="1" s="1"/>
  <c r="M241" i="1"/>
  <c r="P247" i="1"/>
  <c r="P454" i="1"/>
  <c r="P456" i="1"/>
  <c r="O652" i="1"/>
  <c r="O64" i="1"/>
  <c r="O271" i="1"/>
  <c r="O254" i="1"/>
  <c r="O76" i="1"/>
  <c r="O463" i="1"/>
  <c r="P266" i="1"/>
  <c r="P447" i="1"/>
  <c r="O576" i="1"/>
  <c r="P267" i="1"/>
  <c r="P478" i="1"/>
  <c r="O585" i="1"/>
  <c r="O257" i="1"/>
  <c r="P29" i="1"/>
  <c r="P268" i="1"/>
  <c r="P252" i="1"/>
  <c r="O462" i="1"/>
  <c r="O430" i="1"/>
  <c r="O434" i="1" s="1"/>
  <c r="O216" i="1"/>
  <c r="O213" i="1"/>
  <c r="O214" i="1"/>
  <c r="O215" i="1"/>
  <c r="R1001" i="2"/>
  <c r="R708" i="2"/>
  <c r="R702" i="2"/>
  <c r="R1087" i="2"/>
  <c r="R704" i="2"/>
  <c r="R767" i="2"/>
  <c r="R791" i="2"/>
  <c r="S2" i="2"/>
  <c r="R788" i="2"/>
  <c r="R701" i="2"/>
  <c r="R765" i="2"/>
  <c r="R700" i="2"/>
  <c r="R789" i="2"/>
  <c r="R762" i="2"/>
  <c r="R760" i="2"/>
  <c r="R977" i="2"/>
  <c r="R998" i="2"/>
  <c r="R995" i="2"/>
  <c r="R698" i="2" s="1"/>
  <c r="R761" i="2"/>
  <c r="R705" i="2"/>
  <c r="R976" i="2"/>
  <c r="R1003" i="2"/>
  <c r="R1002" i="2"/>
  <c r="R697" i="2"/>
  <c r="R800" i="2" s="1"/>
  <c r="Q698" i="2"/>
  <c r="N636" i="1"/>
  <c r="N453" i="1" s="1"/>
  <c r="M15" i="1"/>
  <c r="M69" i="1" s="1"/>
  <c r="P231" i="1"/>
  <c r="P102" i="1"/>
  <c r="P238" i="1"/>
  <c r="P575" i="1"/>
  <c r="P584" i="1"/>
  <c r="P592" i="1"/>
  <c r="P442" i="1"/>
  <c r="N221" i="1"/>
  <c r="N427" i="1"/>
  <c r="F414" i="2"/>
  <c r="F468" i="2"/>
  <c r="H608" i="1"/>
  <c r="F583" i="2"/>
  <c r="J259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3" i="1"/>
  <c r="K187" i="1"/>
  <c r="K210" i="1" s="1"/>
  <c r="K223" i="1" s="1"/>
  <c r="K279" i="1" s="1"/>
  <c r="H415" i="2"/>
  <c r="L415" i="2"/>
  <c r="Q415" i="2"/>
  <c r="G415" i="2"/>
  <c r="I415" i="2"/>
  <c r="M415" i="2"/>
  <c r="K415" i="2"/>
  <c r="N415" i="2"/>
  <c r="J415" i="2"/>
  <c r="P415" i="2"/>
  <c r="O415" i="2"/>
  <c r="O386" i="1"/>
  <c r="Q162" i="1"/>
  <c r="Q431" i="1"/>
  <c r="Q183" i="1"/>
  <c r="Q421" i="1"/>
  <c r="Q41" i="1"/>
  <c r="Q268" i="1" s="1"/>
  <c r="Q150" i="1"/>
  <c r="Q376" i="1"/>
  <c r="Q151" i="1"/>
  <c r="Q398" i="1"/>
  <c r="Q160" i="1"/>
  <c r="Q379" i="1"/>
  <c r="Q149" i="1"/>
  <c r="Q389" i="1"/>
  <c r="Q159" i="1"/>
  <c r="Q378" i="1"/>
  <c r="Q192" i="1"/>
  <c r="Q502" i="1"/>
  <c r="Q294" i="1"/>
  <c r="Q38" i="1"/>
  <c r="Q475" i="1" s="1"/>
  <c r="Q101" i="1"/>
  <c r="Q133" i="1"/>
  <c r="Q299" i="1"/>
  <c r="Q174" i="1"/>
  <c r="Q493" i="1"/>
  <c r="Q368" i="1"/>
  <c r="Q511" i="1"/>
  <c r="Q304" i="1"/>
  <c r="Q506" i="1"/>
  <c r="Q23" i="1"/>
  <c r="Q287" i="1"/>
  <c r="Q74" i="1"/>
  <c r="Q366" i="1"/>
  <c r="Q191" i="1"/>
  <c r="Q411" i="1"/>
  <c r="Q43" i="1"/>
  <c r="Q459" i="1" s="1"/>
  <c r="Q147" i="1"/>
  <c r="Q409" i="1"/>
  <c r="Q42" i="1"/>
  <c r="Q302" i="1"/>
  <c r="Q65" i="1"/>
  <c r="Q387" i="1"/>
  <c r="Q40" i="1"/>
  <c r="Q478" i="1" s="1"/>
  <c r="Q44" i="1"/>
  <c r="Q461" i="1" s="1"/>
  <c r="Q115" i="1"/>
  <c r="Q377" i="1"/>
  <c r="Q410" i="1"/>
  <c r="Q46" i="1"/>
  <c r="Q412" i="1"/>
  <c r="Q642" i="1"/>
  <c r="Q399" i="1"/>
  <c r="Q503" i="1"/>
  <c r="Q173" i="1"/>
  <c r="Q148" i="1"/>
  <c r="Q413" i="1"/>
  <c r="Q75" i="1"/>
  <c r="Q303" i="1"/>
  <c r="Q296" i="1"/>
  <c r="Q497" i="1"/>
  <c r="Q369" i="1"/>
  <c r="Q181" i="1"/>
  <c r="Q509" i="1"/>
  <c r="Q27" i="1"/>
  <c r="Q288" i="1"/>
  <c r="Q510" i="1"/>
  <c r="Q390" i="1"/>
  <c r="Q507" i="1"/>
  <c r="Q218" i="1"/>
  <c r="Q19" i="1"/>
  <c r="Q219" i="1"/>
  <c r="R2" i="1"/>
  <c r="Q286" i="1"/>
  <c r="Q641" i="1"/>
  <c r="Q170" i="1"/>
  <c r="Q504" i="1"/>
  <c r="Q285" i="1"/>
  <c r="Q505" i="1"/>
  <c r="Q391" i="1"/>
  <c r="Q301" i="1"/>
  <c r="Q295" i="1"/>
  <c r="Q365" i="1"/>
  <c r="Q39" i="1"/>
  <c r="Q456" i="1" s="1"/>
  <c r="Q298" i="1"/>
  <c r="Q508" i="1"/>
  <c r="Q370" i="1"/>
  <c r="Q194" i="1"/>
  <c r="Q203" i="1"/>
  <c r="Q204" i="1"/>
  <c r="Q419" i="1"/>
  <c r="Q172" i="1"/>
  <c r="Q161" i="1"/>
  <c r="Q400" i="1"/>
  <c r="Q182" i="1"/>
  <c r="Q591" i="1"/>
  <c r="Q289" i="1"/>
  <c r="Q495" i="1"/>
  <c r="Q201" i="1"/>
  <c r="Q420" i="1"/>
  <c r="Q202" i="1"/>
  <c r="Q432" i="1"/>
  <c r="Q180" i="1"/>
  <c r="Q496" i="1"/>
  <c r="Q253" i="1"/>
  <c r="Q33" i="1"/>
  <c r="Q45" i="1"/>
  <c r="Q269" i="1" s="1"/>
  <c r="Q171" i="1"/>
  <c r="Q460" i="1"/>
  <c r="Q217" i="1"/>
  <c r="Q367" i="1"/>
  <c r="Q152" i="1"/>
  <c r="Q193" i="1"/>
  <c r="Q397" i="1"/>
  <c r="Q418" i="1"/>
  <c r="Q300" i="1"/>
  <c r="Q512" i="1"/>
  <c r="Q583" i="1"/>
  <c r="Q153" i="1"/>
  <c r="Q297" i="1"/>
  <c r="Q494" i="1"/>
  <c r="Q66" i="1"/>
  <c r="Q388" i="1"/>
  <c r="K516" i="1"/>
  <c r="F356" i="2"/>
  <c r="M661" i="1"/>
  <c r="M179" i="1"/>
  <c r="M404" i="1"/>
  <c r="P306" i="1"/>
  <c r="P423" i="1"/>
  <c r="P499" i="1"/>
  <c r="P291" i="1"/>
  <c r="P440" i="1"/>
  <c r="P448" i="1"/>
  <c r="P134" i="1"/>
  <c r="P514" i="1"/>
  <c r="P415" i="1"/>
  <c r="P640" i="1"/>
  <c r="P123" i="1" s="1"/>
  <c r="P633" i="1"/>
  <c r="P375" i="1" s="1"/>
  <c r="P643" i="1"/>
  <c r="P635" i="1"/>
  <c r="P396" i="1" s="1"/>
  <c r="P402" i="1" s="1"/>
  <c r="L484" i="1"/>
  <c r="F299" i="2"/>
  <c r="H279" i="1"/>
  <c r="F640" i="2"/>
  <c r="F525" i="2"/>
  <c r="F68" i="2"/>
  <c r="M208" i="1"/>
  <c r="K655" i="1"/>
  <c r="K95" i="1"/>
  <c r="K81" i="1"/>
  <c r="K113" i="1"/>
  <c r="F12" i="2"/>
  <c r="K126" i="1"/>
  <c r="K127" i="1"/>
  <c r="K114" i="1"/>
  <c r="K125" i="1"/>
  <c r="K128" i="1"/>
  <c r="J488" i="1"/>
  <c r="I357" i="2"/>
  <c r="H357" i="2"/>
  <c r="G357" i="2"/>
  <c r="N357" i="2"/>
  <c r="M357" i="2"/>
  <c r="L357" i="2"/>
  <c r="K357" i="2"/>
  <c r="Q357" i="2"/>
  <c r="O357" i="2"/>
  <c r="J357" i="2"/>
  <c r="P357" i="2"/>
  <c r="O123" i="1"/>
  <c r="N659" i="1"/>
  <c r="N158" i="1"/>
  <c r="M667" i="1"/>
  <c r="M577" i="1"/>
  <c r="M328" i="1"/>
  <c r="M536" i="1"/>
  <c r="M586" i="1"/>
  <c r="M588" i="1" s="1"/>
  <c r="F358" i="2" s="1"/>
  <c r="M535" i="1"/>
  <c r="M594" i="1"/>
  <c r="M329" i="1"/>
  <c r="J210" i="1"/>
  <c r="O396" i="1"/>
  <c r="O658" i="1"/>
  <c r="O383" i="1"/>
  <c r="O146" i="1"/>
  <c r="O668" i="1"/>
  <c r="O572" i="1"/>
  <c r="O571" i="1"/>
  <c r="O573" i="1"/>
  <c r="O659" i="1"/>
  <c r="O158" i="1"/>
  <c r="O164" i="1" s="1"/>
  <c r="O425" i="1"/>
  <c r="O662" i="1"/>
  <c r="O190" i="1"/>
  <c r="P206" i="1"/>
  <c r="P444" i="1"/>
  <c r="P443" i="1"/>
  <c r="P446" i="1"/>
  <c r="P459" i="1"/>
  <c r="P445" i="1"/>
  <c r="P270" i="1"/>
  <c r="P232" i="1"/>
  <c r="P48" i="1"/>
  <c r="P634" i="1"/>
  <c r="P386" i="1" s="1"/>
  <c r="P393" i="1" s="1"/>
  <c r="P573" i="1" l="1"/>
  <c r="P50" i="1"/>
  <c r="P60" i="1" s="1"/>
  <c r="J608" i="1"/>
  <c r="Q653" i="1"/>
  <c r="Q35" i="1"/>
  <c r="I610" i="1"/>
  <c r="L125" i="1"/>
  <c r="F13" i="2"/>
  <c r="N13" i="2" s="1"/>
  <c r="L126" i="1"/>
  <c r="L128" i="1"/>
  <c r="L95" i="1"/>
  <c r="L98" i="1" s="1"/>
  <c r="L606" i="1" s="1"/>
  <c r="L114" i="1"/>
  <c r="L655" i="1"/>
  <c r="L81" i="1"/>
  <c r="L113" i="1"/>
  <c r="N107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F1045" i="2" s="1"/>
  <c r="R357" i="2"/>
  <c r="M669" i="1"/>
  <c r="I656" i="1"/>
  <c r="Q270" i="1"/>
  <c r="Q265" i="1"/>
  <c r="O636" i="1"/>
  <c r="O453" i="1" s="1"/>
  <c r="O465" i="1" s="1"/>
  <c r="O664" i="1" s="1"/>
  <c r="O236" i="1"/>
  <c r="N241" i="1"/>
  <c r="M277" i="1"/>
  <c r="O229" i="1"/>
  <c r="O228" i="1"/>
  <c r="Q252" i="1"/>
  <c r="O235" i="1"/>
  <c r="Q231" i="1"/>
  <c r="Q264" i="1"/>
  <c r="O239" i="1"/>
  <c r="Q481" i="1"/>
  <c r="I119" i="1"/>
  <c r="I122" i="1" s="1"/>
  <c r="O273" i="1"/>
  <c r="O226" i="1"/>
  <c r="Q247" i="1"/>
  <c r="Q454" i="1"/>
  <c r="F240" i="2"/>
  <c r="O237" i="1"/>
  <c r="O233" i="1"/>
  <c r="O663" i="1"/>
  <c r="Q251" i="1"/>
  <c r="O230" i="1"/>
  <c r="Q574" i="1"/>
  <c r="O227" i="1"/>
  <c r="Q458" i="1"/>
  <c r="Q575" i="1"/>
  <c r="O221" i="1"/>
  <c r="O665" i="1"/>
  <c r="Q446" i="1"/>
  <c r="Q455" i="1"/>
  <c r="Q643" i="1"/>
  <c r="Q214" i="1" s="1"/>
  <c r="R415" i="2"/>
  <c r="P668" i="1"/>
  <c r="Q592" i="1"/>
  <c r="Q266" i="1"/>
  <c r="Q479" i="1"/>
  <c r="Q476" i="1"/>
  <c r="Q248" i="1"/>
  <c r="Q480" i="1"/>
  <c r="M578" i="1"/>
  <c r="M580" i="1" s="1"/>
  <c r="Q443" i="1"/>
  <c r="Q584" i="1"/>
  <c r="Q232" i="1"/>
  <c r="Q457" i="1"/>
  <c r="Q635" i="1"/>
  <c r="Q396" i="1" s="1"/>
  <c r="Q402" i="1" s="1"/>
  <c r="Q448" i="1"/>
  <c r="P572" i="1"/>
  <c r="P571" i="1"/>
  <c r="S704" i="2"/>
  <c r="S789" i="2"/>
  <c r="S788" i="2"/>
  <c r="S702" i="2"/>
  <c r="S760" i="2"/>
  <c r="S762" i="2"/>
  <c r="S767" i="2"/>
  <c r="S995" i="2"/>
  <c r="S358" i="2" s="1"/>
  <c r="S998" i="2"/>
  <c r="S708" i="2"/>
  <c r="S1002" i="2"/>
  <c r="S701" i="2"/>
  <c r="T2" i="2"/>
  <c r="S977" i="2"/>
  <c r="S1003" i="2"/>
  <c r="S1087" i="2"/>
  <c r="S761" i="2"/>
  <c r="S700" i="2"/>
  <c r="S705" i="2"/>
  <c r="S791" i="2"/>
  <c r="S765" i="2"/>
  <c r="S976" i="2"/>
  <c r="S697" i="2"/>
  <c r="S800" i="2" s="1"/>
  <c r="Q447" i="1"/>
  <c r="Q442" i="1"/>
  <c r="Q134" i="1"/>
  <c r="Q267" i="1"/>
  <c r="Q444" i="1"/>
  <c r="Q445" i="1"/>
  <c r="Q238" i="1"/>
  <c r="Q102" i="1"/>
  <c r="Q250" i="1"/>
  <c r="Q640" i="1"/>
  <c r="Q123" i="1" s="1"/>
  <c r="O196" i="1"/>
  <c r="O651" i="1"/>
  <c r="O63" i="1"/>
  <c r="O60" i="1"/>
  <c r="O136" i="1"/>
  <c r="O138" i="1" s="1"/>
  <c r="O9" i="1"/>
  <c r="O62" i="1"/>
  <c r="O12" i="1"/>
  <c r="O13" i="1"/>
  <c r="O10" i="1"/>
  <c r="O105" i="1"/>
  <c r="O77" i="1"/>
  <c r="O79" i="1" s="1"/>
  <c r="O96" i="1" s="1"/>
  <c r="O11" i="1"/>
  <c r="O104" i="1"/>
  <c r="O402" i="1"/>
  <c r="M655" i="1"/>
  <c r="M81" i="1"/>
  <c r="M95" i="1"/>
  <c r="M98" i="1" s="1"/>
  <c r="M114" i="1"/>
  <c r="M128" i="1"/>
  <c r="M127" i="1"/>
  <c r="M125" i="1"/>
  <c r="M126" i="1"/>
  <c r="M113" i="1"/>
  <c r="F14" i="2"/>
  <c r="N164" i="1"/>
  <c r="G300" i="2"/>
  <c r="L300" i="2"/>
  <c r="H300" i="2"/>
  <c r="I300" i="2"/>
  <c r="M300" i="2"/>
  <c r="N300" i="2"/>
  <c r="R300" i="2"/>
  <c r="Q300" i="2"/>
  <c r="K300" i="2"/>
  <c r="O300" i="2"/>
  <c r="J300" i="2"/>
  <c r="P300" i="2"/>
  <c r="K130" i="1"/>
  <c r="M12" i="2"/>
  <c r="N12" i="2"/>
  <c r="I12" i="2"/>
  <c r="R12" i="2"/>
  <c r="H12" i="2"/>
  <c r="L12" i="2"/>
  <c r="Q12" i="2"/>
  <c r="K12" i="2"/>
  <c r="G12" i="2"/>
  <c r="J12" i="2"/>
  <c r="P12" i="2"/>
  <c r="O12" i="2"/>
  <c r="N465" i="1"/>
  <c r="H308" i="1"/>
  <c r="K299" i="2"/>
  <c r="H299" i="2"/>
  <c r="M299" i="2"/>
  <c r="R299" i="2"/>
  <c r="I299" i="2"/>
  <c r="N299" i="2"/>
  <c r="G299" i="2"/>
  <c r="L299" i="2"/>
  <c r="Q299" i="2"/>
  <c r="J299" i="2"/>
  <c r="O299" i="2"/>
  <c r="P299" i="2"/>
  <c r="P216" i="1"/>
  <c r="P214" i="1"/>
  <c r="P213" i="1"/>
  <c r="P215" i="1"/>
  <c r="P430" i="1"/>
  <c r="K308" i="1"/>
  <c r="H356" i="2"/>
  <c r="I356" i="2"/>
  <c r="Q356" i="2"/>
  <c r="L356" i="2"/>
  <c r="G356" i="2"/>
  <c r="N356" i="2"/>
  <c r="R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5" i="1"/>
  <c r="Q631" i="1"/>
  <c r="Q364" i="1" s="1"/>
  <c r="Q291" i="1"/>
  <c r="Q441" i="1"/>
  <c r="Q499" i="1"/>
  <c r="Q48" i="1"/>
  <c r="Q514" i="1"/>
  <c r="Q633" i="1"/>
  <c r="Q375" i="1" s="1"/>
  <c r="Q381" i="1" s="1"/>
  <c r="P404" i="1"/>
  <c r="P660" i="1"/>
  <c r="P169" i="1"/>
  <c r="P176" i="1" s="1"/>
  <c r="P652" i="1"/>
  <c r="P254" i="1"/>
  <c r="P585" i="1"/>
  <c r="P482" i="1"/>
  <c r="P637" i="1" s="1"/>
  <c r="P474" i="1" s="1"/>
  <c r="P484" i="1" s="1"/>
  <c r="P67" i="1"/>
  <c r="P64" i="1"/>
  <c r="P76" i="1"/>
  <c r="P135" i="1"/>
  <c r="P255" i="1"/>
  <c r="P576" i="1"/>
  <c r="P256" i="1"/>
  <c r="P103" i="1"/>
  <c r="P462" i="1"/>
  <c r="P271" i="1"/>
  <c r="P463" i="1"/>
  <c r="P257" i="1"/>
  <c r="P593" i="1"/>
  <c r="O155" i="1"/>
  <c r="O166" i="1" s="1"/>
  <c r="J223" i="1"/>
  <c r="M596" i="1"/>
  <c r="I358" i="2"/>
  <c r="L358" i="2"/>
  <c r="N358" i="2"/>
  <c r="Q358" i="2"/>
  <c r="G358" i="2"/>
  <c r="K358" i="2"/>
  <c r="M358" i="2"/>
  <c r="R358" i="2"/>
  <c r="H358" i="2"/>
  <c r="J358" i="2"/>
  <c r="O358" i="2"/>
  <c r="P358" i="2"/>
  <c r="J490" i="1"/>
  <c r="K98" i="1"/>
  <c r="L486" i="1"/>
  <c r="L665" i="1"/>
  <c r="L263" i="1"/>
  <c r="I654" i="1"/>
  <c r="I112" i="1"/>
  <c r="I116" i="1" s="1"/>
  <c r="P661" i="1"/>
  <c r="P179" i="1"/>
  <c r="P185" i="1" s="1"/>
  <c r="P381" i="1"/>
  <c r="P662" i="1"/>
  <c r="P425" i="1"/>
  <c r="P190" i="1"/>
  <c r="P196" i="1" s="1"/>
  <c r="P208" i="1" s="1"/>
  <c r="M427" i="1"/>
  <c r="M185" i="1"/>
  <c r="R75" i="1"/>
  <c r="R390" i="1"/>
  <c r="R147" i="1"/>
  <c r="R369" i="1"/>
  <c r="R161" i="1"/>
  <c r="R370" i="1"/>
  <c r="R194" i="1"/>
  <c r="R397" i="1"/>
  <c r="R217" i="1"/>
  <c r="R23" i="1"/>
  <c r="R399" i="1"/>
  <c r="R133" i="1"/>
  <c r="R400" i="1"/>
  <c r="R285" i="1"/>
  <c r="R42" i="1"/>
  <c r="R301" i="1"/>
  <c r="S2" i="1"/>
  <c r="R287" i="1"/>
  <c r="R41" i="1"/>
  <c r="R268" i="1" s="1"/>
  <c r="R148" i="1"/>
  <c r="R504" i="1"/>
  <c r="R289" i="1"/>
  <c r="R572" i="1"/>
  <c r="R409" i="1"/>
  <c r="R40" i="1"/>
  <c r="R250" i="1" s="1"/>
  <c r="R192" i="1"/>
  <c r="R493" i="1"/>
  <c r="R253" i="1"/>
  <c r="R33" i="1"/>
  <c r="R44" i="1"/>
  <c r="R461" i="1" s="1"/>
  <c r="R162" i="1"/>
  <c r="R366" i="1"/>
  <c r="R641" i="1"/>
  <c r="R297" i="1"/>
  <c r="R571" i="1"/>
  <c r="R298" i="1"/>
  <c r="R39" i="1"/>
  <c r="R266" i="1" s="1"/>
  <c r="R181" i="1"/>
  <c r="R431" i="1"/>
  <c r="R182" i="1"/>
  <c r="R642" i="1"/>
  <c r="R379" i="1"/>
  <c r="R43" i="1"/>
  <c r="R459" i="1" s="1"/>
  <c r="R152" i="1"/>
  <c r="R413" i="1"/>
  <c r="R193" i="1"/>
  <c r="R460" i="1"/>
  <c r="R304" i="1"/>
  <c r="R151" i="1"/>
  <c r="R398" i="1"/>
  <c r="R65" i="1"/>
  <c r="R387" i="1"/>
  <c r="R174" i="1"/>
  <c r="R494" i="1"/>
  <c r="R389" i="1"/>
  <c r="R38" i="1"/>
  <c r="R247" i="1" s="1"/>
  <c r="R45" i="1"/>
  <c r="R251" i="1" s="1"/>
  <c r="R159" i="1"/>
  <c r="R418" i="1"/>
  <c r="R101" i="1"/>
  <c r="R503" i="1"/>
  <c r="R204" i="1"/>
  <c r="R508" i="1"/>
  <c r="R378" i="1"/>
  <c r="R583" i="1"/>
  <c r="R183" i="1"/>
  <c r="R510" i="1"/>
  <c r="R296" i="1"/>
  <c r="R507" i="1"/>
  <c r="R288" i="1"/>
  <c r="R512" i="1"/>
  <c r="R219" i="1"/>
  <c r="R19" i="1"/>
  <c r="R368" i="1"/>
  <c r="R203" i="1"/>
  <c r="R511" i="1"/>
  <c r="R377" i="1"/>
  <c r="R150" i="1"/>
  <c r="R505" i="1"/>
  <c r="R202" i="1"/>
  <c r="R502" i="1"/>
  <c r="R160" i="1"/>
  <c r="R421" i="1"/>
  <c r="R218" i="1"/>
  <c r="R367" i="1"/>
  <c r="R410" i="1"/>
  <c r="R171" i="1"/>
  <c r="R506" i="1"/>
  <c r="R391" i="1"/>
  <c r="R153" i="1"/>
  <c r="R412" i="1"/>
  <c r="R294" i="1"/>
  <c r="R432" i="1"/>
  <c r="R191" i="1"/>
  <c r="R420" i="1"/>
  <c r="R173" i="1"/>
  <c r="R411" i="1"/>
  <c r="R66" i="1"/>
  <c r="R388" i="1"/>
  <c r="R74" i="1"/>
  <c r="R300" i="1"/>
  <c r="R172" i="1"/>
  <c r="R591" i="1"/>
  <c r="R302" i="1"/>
  <c r="R497" i="1"/>
  <c r="R365" i="1"/>
  <c r="R201" i="1"/>
  <c r="R149" i="1"/>
  <c r="R295" i="1"/>
  <c r="R496" i="1"/>
  <c r="R180" i="1"/>
  <c r="R27" i="1"/>
  <c r="R299" i="1"/>
  <c r="R115" i="1"/>
  <c r="R509" i="1"/>
  <c r="R286" i="1"/>
  <c r="R573" i="1"/>
  <c r="R376" i="1"/>
  <c r="R46" i="1"/>
  <c r="R303" i="1"/>
  <c r="R170" i="1"/>
  <c r="R419" i="1"/>
  <c r="R495" i="1"/>
  <c r="Q634" i="1"/>
  <c r="Q386" i="1" s="1"/>
  <c r="Q393" i="1" s="1"/>
  <c r="O393" i="1"/>
  <c r="G414" i="2"/>
  <c r="M414" i="2"/>
  <c r="N414" i="2"/>
  <c r="Q414" i="2"/>
  <c r="I414" i="2"/>
  <c r="H414" i="2"/>
  <c r="K414" i="2"/>
  <c r="L414" i="2"/>
  <c r="R414" i="2"/>
  <c r="P414" i="2"/>
  <c r="J414" i="2"/>
  <c r="O414" i="2"/>
  <c r="P450" i="1"/>
  <c r="Q423" i="1"/>
  <c r="Q206" i="1"/>
  <c r="Q29" i="1"/>
  <c r="Q440" i="1"/>
  <c r="Q249" i="1"/>
  <c r="Q415" i="1"/>
  <c r="Q477" i="1"/>
  <c r="Q306" i="1"/>
  <c r="Q13" i="2" l="1"/>
  <c r="F15" i="2"/>
  <c r="L13" i="2"/>
  <c r="R442" i="1"/>
  <c r="R35" i="1"/>
  <c r="K13" i="2"/>
  <c r="O13" i="2"/>
  <c r="M13" i="2"/>
  <c r="P13" i="2"/>
  <c r="H13" i="2"/>
  <c r="J13" i="2"/>
  <c r="I13" i="2"/>
  <c r="R13" i="2"/>
  <c r="G13" i="2"/>
  <c r="L532" i="1"/>
  <c r="L321" i="1"/>
  <c r="L598" i="1"/>
  <c r="F472" i="2" s="1"/>
  <c r="L529" i="1"/>
  <c r="L602" i="1"/>
  <c r="F587" i="2" s="1"/>
  <c r="S587" i="2" s="1"/>
  <c r="L130" i="1"/>
  <c r="L604" i="1"/>
  <c r="F644" i="2" s="1"/>
  <c r="H644" i="2" s="1"/>
  <c r="L600" i="1"/>
  <c r="F529" i="2" s="1"/>
  <c r="H529" i="2" s="1"/>
  <c r="L324" i="1"/>
  <c r="L109" i="1"/>
  <c r="F72" i="2" s="1"/>
  <c r="I72" i="2" s="1"/>
  <c r="L325" i="1"/>
  <c r="N669" i="1"/>
  <c r="N578" i="1"/>
  <c r="N580" i="1" s="1"/>
  <c r="F305" i="2" s="1"/>
  <c r="P651" i="1"/>
  <c r="P136" i="1"/>
  <c r="P138" i="1" s="1"/>
  <c r="P10" i="1"/>
  <c r="P104" i="1"/>
  <c r="P105" i="1"/>
  <c r="P12" i="1"/>
  <c r="R102" i="1"/>
  <c r="R592" i="1"/>
  <c r="O486" i="1"/>
  <c r="O488" i="1" s="1"/>
  <c r="O246" i="1"/>
  <c r="O259" i="1" s="1"/>
  <c r="O275" i="1" s="1"/>
  <c r="R231" i="1"/>
  <c r="P13" i="1"/>
  <c r="P62" i="1"/>
  <c r="P11" i="1"/>
  <c r="P77" i="1"/>
  <c r="P79" i="1" s="1"/>
  <c r="P96" i="1" s="1"/>
  <c r="O241" i="1"/>
  <c r="R443" i="1"/>
  <c r="P9" i="1"/>
  <c r="P63" i="1"/>
  <c r="R455" i="1"/>
  <c r="I140" i="1"/>
  <c r="F126" i="2" s="1"/>
  <c r="R269" i="1"/>
  <c r="Q216" i="1"/>
  <c r="Q215" i="1"/>
  <c r="R447" i="1"/>
  <c r="R440" i="1"/>
  <c r="R478" i="1"/>
  <c r="Q430" i="1"/>
  <c r="Q434" i="1" s="1"/>
  <c r="R448" i="1"/>
  <c r="R477" i="1"/>
  <c r="R248" i="1"/>
  <c r="R633" i="1"/>
  <c r="R375" i="1" s="1"/>
  <c r="R381" i="1" s="1"/>
  <c r="R158" i="1" s="1"/>
  <c r="R164" i="1" s="1"/>
  <c r="Q213" i="1"/>
  <c r="R574" i="1"/>
  <c r="R575" i="1"/>
  <c r="R445" i="1"/>
  <c r="R238" i="1"/>
  <c r="R232" i="1"/>
  <c r="R134" i="1"/>
  <c r="R454" i="1"/>
  <c r="R481" i="1"/>
  <c r="R479" i="1"/>
  <c r="R476" i="1"/>
  <c r="R264" i="1"/>
  <c r="S13" i="2"/>
  <c r="S12" i="2"/>
  <c r="R265" i="1"/>
  <c r="R270" i="1"/>
  <c r="S299" i="2"/>
  <c r="Q661" i="1"/>
  <c r="Q179" i="1"/>
  <c r="Q185" i="1" s="1"/>
  <c r="S414" i="2"/>
  <c r="Q450" i="1"/>
  <c r="Q230" i="1" s="1"/>
  <c r="R475" i="1"/>
  <c r="R480" i="1"/>
  <c r="R640" i="1"/>
  <c r="R123" i="1" s="1"/>
  <c r="S356" i="2"/>
  <c r="S300" i="2"/>
  <c r="T977" i="2"/>
  <c r="T976" i="2"/>
  <c r="T761" i="2"/>
  <c r="T1087" i="2"/>
  <c r="T1003" i="2"/>
  <c r="U2" i="2"/>
  <c r="T700" i="2"/>
  <c r="T998" i="2"/>
  <c r="T704" i="2"/>
  <c r="T762" i="2"/>
  <c r="T708" i="2"/>
  <c r="T788" i="2"/>
  <c r="T1002" i="2"/>
  <c r="T705" i="2"/>
  <c r="T701" i="2"/>
  <c r="T767" i="2"/>
  <c r="T702" i="2"/>
  <c r="T760" i="2"/>
  <c r="T765" i="2"/>
  <c r="T791" i="2"/>
  <c r="T789" i="2"/>
  <c r="T995" i="2"/>
  <c r="T415" i="2" s="1"/>
  <c r="T697" i="2"/>
  <c r="T800" i="2" s="1"/>
  <c r="S698" i="2"/>
  <c r="S357" i="2"/>
  <c r="S415" i="2"/>
  <c r="R631" i="1"/>
  <c r="R364" i="1" s="1"/>
  <c r="R372" i="1" s="1"/>
  <c r="R146" i="1" s="1"/>
  <c r="R155" i="1" s="1"/>
  <c r="R458" i="1"/>
  <c r="R456" i="1"/>
  <c r="R446" i="1"/>
  <c r="R444" i="1"/>
  <c r="R441" i="1"/>
  <c r="R584" i="1"/>
  <c r="R249" i="1"/>
  <c r="R252" i="1"/>
  <c r="R206" i="1"/>
  <c r="R457" i="1"/>
  <c r="R267" i="1"/>
  <c r="P636" i="1"/>
  <c r="P453" i="1" s="1"/>
  <c r="P465" i="1" s="1"/>
  <c r="P486" i="1" s="1"/>
  <c r="P488" i="1" s="1"/>
  <c r="Q425" i="1"/>
  <c r="Q662" i="1"/>
  <c r="Q190" i="1"/>
  <c r="Q196" i="1" s="1"/>
  <c r="Q208" i="1" s="1"/>
  <c r="Q50" i="1"/>
  <c r="Q668" i="1"/>
  <c r="Q572" i="1"/>
  <c r="Q571" i="1"/>
  <c r="Q573" i="1"/>
  <c r="P663" i="1"/>
  <c r="P239" i="1"/>
  <c r="P226" i="1"/>
  <c r="P236" i="1"/>
  <c r="P237" i="1"/>
  <c r="P234" i="1"/>
  <c r="P229" i="1"/>
  <c r="P235" i="1"/>
  <c r="P233" i="1"/>
  <c r="P230" i="1"/>
  <c r="P227" i="1"/>
  <c r="P228" i="1"/>
  <c r="O660" i="1"/>
  <c r="O404" i="1"/>
  <c r="O427" i="1" s="1"/>
  <c r="O169" i="1"/>
  <c r="Q404" i="1"/>
  <c r="Q660" i="1"/>
  <c r="Q169" i="1"/>
  <c r="Q176" i="1" s="1"/>
  <c r="M490" i="1"/>
  <c r="P659" i="1"/>
  <c r="P158" i="1"/>
  <c r="P383" i="1"/>
  <c r="P427" i="1" s="1"/>
  <c r="L273" i="1"/>
  <c r="L488" i="1"/>
  <c r="K109" i="1"/>
  <c r="K604" i="1"/>
  <c r="K598" i="1"/>
  <c r="K602" i="1"/>
  <c r="K321" i="1"/>
  <c r="K532" i="1"/>
  <c r="K325" i="1"/>
  <c r="K600" i="1"/>
  <c r="K529" i="1"/>
  <c r="K606" i="1"/>
  <c r="K324" i="1"/>
  <c r="J516" i="1"/>
  <c r="J279" i="1"/>
  <c r="P665" i="1"/>
  <c r="P263" i="1"/>
  <c r="P273" i="1" s="1"/>
  <c r="Q659" i="1"/>
  <c r="Q158" i="1"/>
  <c r="Q164" i="1" s="1"/>
  <c r="Q652" i="1"/>
  <c r="Q255" i="1"/>
  <c r="Q463" i="1"/>
  <c r="Q256" i="1"/>
  <c r="Q103" i="1"/>
  <c r="Q64" i="1"/>
  <c r="Q257" i="1"/>
  <c r="Q271" i="1"/>
  <c r="Q585" i="1"/>
  <c r="Q462" i="1"/>
  <c r="Q482" i="1"/>
  <c r="Q637" i="1" s="1"/>
  <c r="Q474" i="1" s="1"/>
  <c r="Q76" i="1"/>
  <c r="Q576" i="1"/>
  <c r="Q593" i="1"/>
  <c r="Q135" i="1"/>
  <c r="Q254" i="1"/>
  <c r="Q67" i="1"/>
  <c r="Q372" i="1"/>
  <c r="J277" i="1"/>
  <c r="N484" i="1"/>
  <c r="H540" i="1"/>
  <c r="F1047" i="2"/>
  <c r="AA1045" i="2"/>
  <c r="AB1045" i="2" s="1"/>
  <c r="H657" i="1"/>
  <c r="H120" i="1"/>
  <c r="N664" i="1"/>
  <c r="N246" i="1"/>
  <c r="H14" i="2"/>
  <c r="L14" i="2"/>
  <c r="Q14" i="2"/>
  <c r="K14" i="2"/>
  <c r="N14" i="2"/>
  <c r="G14" i="2"/>
  <c r="S14" i="2"/>
  <c r="I14" i="2"/>
  <c r="M14" i="2"/>
  <c r="R14" i="2"/>
  <c r="J14" i="2"/>
  <c r="O14" i="2"/>
  <c r="P14" i="2"/>
  <c r="P667" i="1"/>
  <c r="P586" i="1"/>
  <c r="P588" i="1" s="1"/>
  <c r="F364" i="2" s="1"/>
  <c r="P594" i="1"/>
  <c r="P596" i="1" s="1"/>
  <c r="F422" i="2" s="1"/>
  <c r="P535" i="1"/>
  <c r="P577" i="1"/>
  <c r="P328" i="1"/>
  <c r="P536" i="1"/>
  <c r="P329" i="1"/>
  <c r="R306" i="1"/>
  <c r="R48" i="1"/>
  <c r="R634" i="1"/>
  <c r="R386" i="1" s="1"/>
  <c r="R415" i="1"/>
  <c r="R291" i="1"/>
  <c r="R635" i="1"/>
  <c r="P187" i="1"/>
  <c r="H333" i="1"/>
  <c r="R653" i="1"/>
  <c r="S148" i="1"/>
  <c r="S504" i="1"/>
  <c r="S285" i="1"/>
  <c r="S23" i="1"/>
  <c r="S302" i="1"/>
  <c r="S44" i="1"/>
  <c r="S461" i="1" s="1"/>
  <c r="S171" i="1"/>
  <c r="S303" i="1"/>
  <c r="S253" i="1"/>
  <c r="S512" i="1"/>
  <c r="S202" i="1"/>
  <c r="S493" i="1"/>
  <c r="S397" i="1"/>
  <c r="S193" i="1"/>
  <c r="S391" i="1"/>
  <c r="S194" i="1"/>
  <c r="S27" i="1"/>
  <c r="S294" i="1"/>
  <c r="S497" i="1"/>
  <c r="S398" i="1"/>
  <c r="S40" i="1"/>
  <c r="S478" i="1" s="1"/>
  <c r="S65" i="1"/>
  <c r="S399" i="1"/>
  <c r="S45" i="1"/>
  <c r="S269" i="1" s="1"/>
  <c r="S181" i="1"/>
  <c r="S43" i="1"/>
  <c r="S252" i="1" s="1"/>
  <c r="S182" i="1"/>
  <c r="S46" i="1"/>
  <c r="S19" i="1"/>
  <c r="S301" i="1"/>
  <c r="S42" i="1"/>
  <c r="S506" i="1"/>
  <c r="S201" i="1"/>
  <c r="S496" i="1"/>
  <c r="S365" i="1"/>
  <c r="S39" i="1"/>
  <c r="S477" i="1" s="1"/>
  <c r="S153" i="1"/>
  <c r="S420" i="1"/>
  <c r="S172" i="1"/>
  <c r="S66" i="1"/>
  <c r="S369" i="1"/>
  <c r="S149" i="1"/>
  <c r="S376" i="1"/>
  <c r="S101" i="1"/>
  <c r="S304" i="1"/>
  <c r="S286" i="1"/>
  <c r="S503" i="1"/>
  <c r="S287" i="1"/>
  <c r="S115" i="1"/>
  <c r="S377" i="1"/>
  <c r="T2" i="1"/>
  <c r="S390" i="1"/>
  <c r="S147" i="1"/>
  <c r="S507" i="1"/>
  <c r="S366" i="1"/>
  <c r="S296" i="1"/>
  <c r="S378" i="1"/>
  <c r="S511" i="1"/>
  <c r="S160" i="1"/>
  <c r="S509" i="1"/>
  <c r="S432" i="1"/>
  <c r="S298" i="1"/>
  <c r="S41" i="1"/>
  <c r="S479" i="1" s="1"/>
  <c r="S162" i="1"/>
  <c r="S299" i="1"/>
  <c r="S218" i="1"/>
  <c r="S508" i="1"/>
  <c r="S288" i="1"/>
  <c r="S161" i="1"/>
  <c r="S388" i="1"/>
  <c r="S74" i="1"/>
  <c r="S389" i="1"/>
  <c r="S192" i="1"/>
  <c r="S418" i="1"/>
  <c r="S368" i="1"/>
  <c r="S495" i="1"/>
  <c r="S400" i="1"/>
  <c r="S180" i="1"/>
  <c r="S431" i="1"/>
  <c r="S75" i="1"/>
  <c r="S502" i="1"/>
  <c r="S174" i="1"/>
  <c r="S641" i="1"/>
  <c r="S460" i="1"/>
  <c r="S38" i="1"/>
  <c r="S265" i="1" s="1"/>
  <c r="S203" i="1"/>
  <c r="S379" i="1"/>
  <c r="S300" i="1"/>
  <c r="S591" i="1"/>
  <c r="S295" i="1"/>
  <c r="S367" i="1"/>
  <c r="S409" i="1"/>
  <c r="S191" i="1"/>
  <c r="S412" i="1"/>
  <c r="S297" i="1"/>
  <c r="S642" i="1"/>
  <c r="S370" i="1"/>
  <c r="S183" i="1"/>
  <c r="S411" i="1"/>
  <c r="S150" i="1"/>
  <c r="S421" i="1"/>
  <c r="S289" i="1"/>
  <c r="S133" i="1"/>
  <c r="S387" i="1"/>
  <c r="S33" i="1"/>
  <c r="S35" i="1" s="1"/>
  <c r="S170" i="1"/>
  <c r="S413" i="1"/>
  <c r="S219" i="1"/>
  <c r="S505" i="1"/>
  <c r="S173" i="1"/>
  <c r="S494" i="1"/>
  <c r="S217" i="1"/>
  <c r="S583" i="1"/>
  <c r="S510" i="1"/>
  <c r="S410" i="1"/>
  <c r="S204" i="1"/>
  <c r="S159" i="1"/>
  <c r="S419" i="1"/>
  <c r="S151" i="1"/>
  <c r="S152" i="1"/>
  <c r="M187" i="1"/>
  <c r="F416" i="2"/>
  <c r="K657" i="1"/>
  <c r="K120" i="1"/>
  <c r="P434" i="1"/>
  <c r="P221" i="1"/>
  <c r="N166" i="1"/>
  <c r="M109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79" i="1"/>
  <c r="O107" i="1"/>
  <c r="O15" i="1"/>
  <c r="O667" i="1"/>
  <c r="O594" i="1"/>
  <c r="O535" i="1"/>
  <c r="O586" i="1"/>
  <c r="O536" i="1"/>
  <c r="O328" i="1"/>
  <c r="O577" i="1"/>
  <c r="O329" i="1"/>
  <c r="O208" i="1"/>
  <c r="N655" i="1"/>
  <c r="N95" i="1"/>
  <c r="N81" i="1"/>
  <c r="N128" i="1"/>
  <c r="N125" i="1"/>
  <c r="N113" i="1"/>
  <c r="N114" i="1"/>
  <c r="F18" i="2"/>
  <c r="N126" i="1"/>
  <c r="N127" i="1"/>
  <c r="R514" i="1"/>
  <c r="R423" i="1"/>
  <c r="R643" i="1"/>
  <c r="R499" i="1"/>
  <c r="M130" i="1"/>
  <c r="I644" i="2" l="1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S644" i="2"/>
  <c r="K644" i="2"/>
  <c r="I529" i="2"/>
  <c r="G644" i="2"/>
  <c r="N529" i="2"/>
  <c r="L644" i="2"/>
  <c r="G529" i="2"/>
  <c r="Q644" i="2"/>
  <c r="P644" i="2"/>
  <c r="M644" i="2"/>
  <c r="S529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S72" i="2"/>
  <c r="O72" i="2"/>
  <c r="L72" i="2"/>
  <c r="Q72" i="2"/>
  <c r="K72" i="2"/>
  <c r="R659" i="1"/>
  <c r="P107" i="1"/>
  <c r="P15" i="1"/>
  <c r="P578" i="1" s="1"/>
  <c r="P580" i="1" s="1"/>
  <c r="O490" i="1"/>
  <c r="O516" i="1" s="1"/>
  <c r="S251" i="1"/>
  <c r="S458" i="1"/>
  <c r="S480" i="1"/>
  <c r="O277" i="1"/>
  <c r="Q221" i="1"/>
  <c r="S248" i="1"/>
  <c r="S481" i="1"/>
  <c r="S584" i="1"/>
  <c r="S459" i="1"/>
  <c r="S270" i="1"/>
  <c r="R166" i="1"/>
  <c r="K538" i="1"/>
  <c r="K540" i="1" s="1"/>
  <c r="K119" i="1" s="1"/>
  <c r="K122" i="1" s="1"/>
  <c r="T587" i="2"/>
  <c r="K331" i="1"/>
  <c r="K333" i="1" s="1"/>
  <c r="K335" i="1" s="1"/>
  <c r="Q236" i="1"/>
  <c r="Q187" i="1"/>
  <c r="Q233" i="1"/>
  <c r="Q226" i="1"/>
  <c r="R450" i="1"/>
  <c r="R230" i="1" s="1"/>
  <c r="Q227" i="1"/>
  <c r="S247" i="1"/>
  <c r="S447" i="1"/>
  <c r="S634" i="1"/>
  <c r="S386" i="1" s="1"/>
  <c r="S393" i="1" s="1"/>
  <c r="S169" i="1" s="1"/>
  <c r="S176" i="1" s="1"/>
  <c r="T529" i="2"/>
  <c r="T644" i="2"/>
  <c r="Q234" i="1"/>
  <c r="Q235" i="1"/>
  <c r="T72" i="2"/>
  <c r="S266" i="1"/>
  <c r="S238" i="1"/>
  <c r="S443" i="1"/>
  <c r="S264" i="1"/>
  <c r="Q229" i="1"/>
  <c r="Q237" i="1"/>
  <c r="Q239" i="1"/>
  <c r="T357" i="2"/>
  <c r="S442" i="1"/>
  <c r="T14" i="2"/>
  <c r="Q228" i="1"/>
  <c r="Q663" i="1"/>
  <c r="S231" i="1"/>
  <c r="S268" i="1"/>
  <c r="S249" i="1"/>
  <c r="S457" i="1"/>
  <c r="S48" i="1"/>
  <c r="S257" i="1" s="1"/>
  <c r="R383" i="1"/>
  <c r="S456" i="1"/>
  <c r="R658" i="1"/>
  <c r="S267" i="1"/>
  <c r="S250" i="1"/>
  <c r="T698" i="2"/>
  <c r="T299" i="2"/>
  <c r="T13" i="2"/>
  <c r="T358" i="2"/>
  <c r="T414" i="2"/>
  <c r="T300" i="2"/>
  <c r="T12" i="2"/>
  <c r="T356" i="2"/>
  <c r="U1002" i="2"/>
  <c r="U761" i="2"/>
  <c r="U1087" i="2"/>
  <c r="U708" i="2"/>
  <c r="V2" i="2"/>
  <c r="U701" i="2"/>
  <c r="U976" i="2"/>
  <c r="U704" i="2"/>
  <c r="U697" i="2"/>
  <c r="U800" i="2" s="1"/>
  <c r="U788" i="2"/>
  <c r="U700" i="2"/>
  <c r="U977" i="2"/>
  <c r="U760" i="2"/>
  <c r="U702" i="2"/>
  <c r="U705" i="2"/>
  <c r="U791" i="2"/>
  <c r="U762" i="2"/>
  <c r="U765" i="2"/>
  <c r="U995" i="2"/>
  <c r="U13" i="2" s="1"/>
  <c r="U789" i="2"/>
  <c r="U767" i="2"/>
  <c r="U998" i="2"/>
  <c r="U1003" i="2"/>
  <c r="M608" i="1"/>
  <c r="S455" i="1"/>
  <c r="S476" i="1"/>
  <c r="S640" i="1"/>
  <c r="S123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2" i="1"/>
  <c r="S29" i="1"/>
  <c r="Q484" i="1"/>
  <c r="R216" i="1"/>
  <c r="R213" i="1"/>
  <c r="R215" i="1"/>
  <c r="R430" i="1"/>
  <c r="R434" i="1" s="1"/>
  <c r="R214" i="1"/>
  <c r="N130" i="1"/>
  <c r="O69" i="1"/>
  <c r="F19" i="2" s="1"/>
  <c r="O669" i="1"/>
  <c r="O578" i="1"/>
  <c r="O580" i="1" s="1"/>
  <c r="O185" i="1"/>
  <c r="N98" i="1"/>
  <c r="O588" i="1"/>
  <c r="O596" i="1"/>
  <c r="K472" i="2"/>
  <c r="I472" i="2"/>
  <c r="N472" i="2"/>
  <c r="T472" i="2"/>
  <c r="H472" i="2"/>
  <c r="L472" i="2"/>
  <c r="Q472" i="2"/>
  <c r="S472" i="2"/>
  <c r="G472" i="2"/>
  <c r="M472" i="2"/>
  <c r="R472" i="2"/>
  <c r="O472" i="2"/>
  <c r="J472" i="2"/>
  <c r="P472" i="2"/>
  <c r="H301" i="2"/>
  <c r="K301" i="2"/>
  <c r="Q301" i="2"/>
  <c r="T301" i="2"/>
  <c r="I301" i="2"/>
  <c r="N301" i="2"/>
  <c r="L301" i="2"/>
  <c r="S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S645" i="2"/>
  <c r="G645" i="2"/>
  <c r="K645" i="2"/>
  <c r="N645" i="2"/>
  <c r="H645" i="2"/>
  <c r="T645" i="2"/>
  <c r="J645" i="2"/>
  <c r="O645" i="2"/>
  <c r="P645" i="2"/>
  <c r="G473" i="2"/>
  <c r="Q473" i="2"/>
  <c r="H473" i="2"/>
  <c r="N473" i="2"/>
  <c r="M473" i="2"/>
  <c r="K473" i="2"/>
  <c r="S473" i="2"/>
  <c r="I473" i="2"/>
  <c r="L473" i="2"/>
  <c r="R473" i="2"/>
  <c r="T473" i="2"/>
  <c r="O473" i="2"/>
  <c r="P473" i="2"/>
  <c r="J473" i="2"/>
  <c r="N210" i="1"/>
  <c r="N223" i="1" s="1"/>
  <c r="G416" i="2"/>
  <c r="K416" i="2"/>
  <c r="M416" i="2"/>
  <c r="R416" i="2"/>
  <c r="H416" i="2"/>
  <c r="T416" i="2"/>
  <c r="I416" i="2"/>
  <c r="N416" i="2"/>
  <c r="Q416" i="2"/>
  <c r="L416" i="2"/>
  <c r="S416" i="2"/>
  <c r="P416" i="2"/>
  <c r="J416" i="2"/>
  <c r="O416" i="2"/>
  <c r="F417" i="2"/>
  <c r="M210" i="1"/>
  <c r="T583" i="1"/>
  <c r="T40" i="1"/>
  <c r="T478" i="1" s="1"/>
  <c r="T591" i="1"/>
  <c r="T418" i="1"/>
  <c r="T412" i="1"/>
  <c r="T502" i="1"/>
  <c r="T183" i="1"/>
  <c r="T218" i="1"/>
  <c r="T400" i="1"/>
  <c r="T298" i="1"/>
  <c r="T512" i="1"/>
  <c r="T46" i="1"/>
  <c r="T494" i="1"/>
  <c r="T172" i="1"/>
  <c r="T421" i="1"/>
  <c r="T148" i="1"/>
  <c r="T299" i="1"/>
  <c r="T217" i="1"/>
  <c r="T493" i="1"/>
  <c r="T201" i="1"/>
  <c r="T420" i="1"/>
  <c r="T410" i="1"/>
  <c r="T203" i="1"/>
  <c r="T303" i="1"/>
  <c r="T74" i="1"/>
  <c r="T399" i="1"/>
  <c r="T45" i="1"/>
  <c r="T251" i="1" s="1"/>
  <c r="T159" i="1"/>
  <c r="T409" i="1"/>
  <c r="T182" i="1"/>
  <c r="T38" i="1"/>
  <c r="T264" i="1" s="1"/>
  <c r="T161" i="1"/>
  <c r="T508" i="1"/>
  <c r="T388" i="1"/>
  <c r="T33" i="1"/>
  <c r="T101" i="1"/>
  <c r="T431" i="1"/>
  <c r="T75" i="1"/>
  <c r="T507" i="1"/>
  <c r="T286" i="1"/>
  <c r="T41" i="1"/>
  <c r="T268" i="1" s="1"/>
  <c r="T115" i="1"/>
  <c r="T300" i="1"/>
  <c r="T171" i="1"/>
  <c r="T460" i="1"/>
  <c r="T147" i="1"/>
  <c r="T302" i="1"/>
  <c r="T367" i="1"/>
  <c r="T391" i="1"/>
  <c r="T44" i="1"/>
  <c r="T461" i="1" s="1"/>
  <c r="T287" i="1"/>
  <c r="T219" i="1"/>
  <c r="T152" i="1"/>
  <c r="T296" i="1"/>
  <c r="T170" i="1"/>
  <c r="T181" i="1"/>
  <c r="T376" i="1"/>
  <c r="T39" i="1"/>
  <c r="T505" i="1"/>
  <c r="T65" i="1"/>
  <c r="T193" i="1"/>
  <c r="T297" i="1"/>
  <c r="T379" i="1"/>
  <c r="T19" i="1"/>
  <c r="T366" i="1"/>
  <c r="T511" i="1"/>
  <c r="T289" i="1"/>
  <c r="T149" i="1"/>
  <c r="T369" i="1"/>
  <c r="T42" i="1"/>
  <c r="T365" i="1"/>
  <c r="T202" i="1"/>
  <c r="T23" i="1"/>
  <c r="T387" i="1"/>
  <c r="T504" i="1"/>
  <c r="T194" i="1"/>
  <c r="T497" i="1"/>
  <c r="T285" i="1"/>
  <c r="T641" i="1"/>
  <c r="T432" i="1"/>
  <c r="T398" i="1"/>
  <c r="T174" i="1"/>
  <c r="T413" i="1"/>
  <c r="T288" i="1"/>
  <c r="T642" i="1"/>
  <c r="T390" i="1"/>
  <c r="T133" i="1"/>
  <c r="T496" i="1"/>
  <c r="T253" i="1"/>
  <c r="T509" i="1"/>
  <c r="T389" i="1"/>
  <c r="T510" i="1"/>
  <c r="T295" i="1"/>
  <c r="T495" i="1"/>
  <c r="T173" i="1"/>
  <c r="T419" i="1"/>
  <c r="T180" i="1"/>
  <c r="T66" i="1"/>
  <c r="T506" i="1"/>
  <c r="T378" i="1"/>
  <c r="T411" i="1"/>
  <c r="T160" i="1"/>
  <c r="T370" i="1"/>
  <c r="T204" i="1"/>
  <c r="T397" i="1"/>
  <c r="T301" i="1"/>
  <c r="T304" i="1"/>
  <c r="T294" i="1"/>
  <c r="T377" i="1"/>
  <c r="T192" i="1"/>
  <c r="T191" i="1"/>
  <c r="T150" i="1"/>
  <c r="T503" i="1"/>
  <c r="T43" i="1"/>
  <c r="T481" i="1" s="1"/>
  <c r="U2" i="1"/>
  <c r="T27" i="1"/>
  <c r="T368" i="1"/>
  <c r="T153" i="1"/>
  <c r="T151" i="1"/>
  <c r="T162" i="1"/>
  <c r="H335" i="1"/>
  <c r="H610" i="1"/>
  <c r="F182" i="2"/>
  <c r="R396" i="1"/>
  <c r="R393" i="1"/>
  <c r="I1047" i="2"/>
  <c r="I1048" i="2" s="1"/>
  <c r="F1048" i="2"/>
  <c r="M1047" i="2"/>
  <c r="M1048" i="2" s="1"/>
  <c r="O1047" i="2"/>
  <c r="O1048" i="2" s="1"/>
  <c r="S1047" i="2"/>
  <c r="S1048" i="2" s="1"/>
  <c r="R1047" i="2"/>
  <c r="R1048" i="2" s="1"/>
  <c r="U1047" i="2"/>
  <c r="U1048" i="2" s="1"/>
  <c r="G1047" i="2"/>
  <c r="J1047" i="2"/>
  <c r="J1048" i="2" s="1"/>
  <c r="H1047" i="2"/>
  <c r="H1048" i="2" s="1"/>
  <c r="L1047" i="2"/>
  <c r="L1048" i="2" s="1"/>
  <c r="N1047" i="2"/>
  <c r="N1048" i="2" s="1"/>
  <c r="Q1047" i="2"/>
  <c r="Q1048" i="2" s="1"/>
  <c r="P1047" i="2"/>
  <c r="P1048" i="2" s="1"/>
  <c r="T1047" i="2"/>
  <c r="T1048" i="2" s="1"/>
  <c r="K1047" i="2"/>
  <c r="K1048" i="2" s="1"/>
  <c r="N486" i="1"/>
  <c r="N665" i="1"/>
  <c r="N263" i="1"/>
  <c r="Q383" i="1"/>
  <c r="Q427" i="1" s="1"/>
  <c r="Q658" i="1"/>
  <c r="Q146" i="1"/>
  <c r="J308" i="1"/>
  <c r="F528" i="2"/>
  <c r="F586" i="2"/>
  <c r="F643" i="2"/>
  <c r="F71" i="2"/>
  <c r="L490" i="1"/>
  <c r="L275" i="1"/>
  <c r="O176" i="1"/>
  <c r="Q651" i="1"/>
  <c r="Q13" i="1"/>
  <c r="Q104" i="1"/>
  <c r="Q10" i="1"/>
  <c r="Q12" i="1"/>
  <c r="Q60" i="1"/>
  <c r="Q77" i="1"/>
  <c r="Q79" i="1" s="1"/>
  <c r="Q96" i="1" s="1"/>
  <c r="Q11" i="1"/>
  <c r="Q62" i="1"/>
  <c r="Q136" i="1"/>
  <c r="Q138" i="1" s="1"/>
  <c r="Q105" i="1"/>
  <c r="Q63" i="1"/>
  <c r="Q9" i="1"/>
  <c r="S643" i="1"/>
  <c r="S423" i="1"/>
  <c r="S102" i="1"/>
  <c r="S446" i="1"/>
  <c r="S440" i="1"/>
  <c r="S635" i="1"/>
  <c r="S396" i="1" s="1"/>
  <c r="S402" i="1" s="1"/>
  <c r="S291" i="1"/>
  <c r="I530" i="2"/>
  <c r="R530" i="2"/>
  <c r="L530" i="2"/>
  <c r="Q530" i="2"/>
  <c r="G530" i="2"/>
  <c r="K530" i="2"/>
  <c r="N530" i="2"/>
  <c r="S530" i="2"/>
  <c r="H530" i="2"/>
  <c r="M530" i="2"/>
  <c r="T530" i="2"/>
  <c r="O530" i="2"/>
  <c r="J530" i="2"/>
  <c r="P530" i="2"/>
  <c r="M588" i="2"/>
  <c r="I588" i="2"/>
  <c r="K588" i="2"/>
  <c r="T588" i="2"/>
  <c r="G588" i="2"/>
  <c r="N588" i="2"/>
  <c r="Q588" i="2"/>
  <c r="S588" i="2"/>
  <c r="H588" i="2"/>
  <c r="L588" i="2"/>
  <c r="R588" i="2"/>
  <c r="J588" i="2"/>
  <c r="P588" i="2"/>
  <c r="O588" i="2"/>
  <c r="I73" i="2"/>
  <c r="M73" i="2"/>
  <c r="R73" i="2"/>
  <c r="K73" i="2"/>
  <c r="Q73" i="2"/>
  <c r="T73" i="2"/>
  <c r="H73" i="2"/>
  <c r="L73" i="2"/>
  <c r="S73" i="2"/>
  <c r="G73" i="2"/>
  <c r="N73" i="2"/>
  <c r="P73" i="2"/>
  <c r="J73" i="2"/>
  <c r="O73" i="2"/>
  <c r="R425" i="1"/>
  <c r="R662" i="1"/>
  <c r="R190" i="1"/>
  <c r="R196" i="1" s="1"/>
  <c r="R208" i="1" s="1"/>
  <c r="R652" i="1"/>
  <c r="R463" i="1"/>
  <c r="R257" i="1"/>
  <c r="R67" i="1"/>
  <c r="R76" i="1"/>
  <c r="R255" i="1"/>
  <c r="R585" i="1"/>
  <c r="R103" i="1"/>
  <c r="R482" i="1"/>
  <c r="R637" i="1" s="1"/>
  <c r="R474" i="1" s="1"/>
  <c r="R484" i="1" s="1"/>
  <c r="R256" i="1"/>
  <c r="R135" i="1"/>
  <c r="R271" i="1"/>
  <c r="R593" i="1"/>
  <c r="R576" i="1"/>
  <c r="R462" i="1"/>
  <c r="R64" i="1"/>
  <c r="R254" i="1"/>
  <c r="N259" i="1"/>
  <c r="H656" i="1"/>
  <c r="F239" i="2"/>
  <c r="H119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4" i="1"/>
  <c r="M516" i="1"/>
  <c r="P241" i="1"/>
  <c r="P664" i="1"/>
  <c r="P246" i="1"/>
  <c r="P259" i="1" s="1"/>
  <c r="P275" i="1" s="1"/>
  <c r="S415" i="1"/>
  <c r="S514" i="1"/>
  <c r="S134" i="1"/>
  <c r="S475" i="1"/>
  <c r="S633" i="1"/>
  <c r="S375" i="1" s="1"/>
  <c r="S381" i="1" s="1"/>
  <c r="S631" i="1"/>
  <c r="S364" i="1" s="1"/>
  <c r="S372" i="1" s="1"/>
  <c r="S206" i="1"/>
  <c r="S454" i="1"/>
  <c r="S306" i="1"/>
  <c r="S499" i="1"/>
  <c r="P490" i="1"/>
  <c r="T35" i="1" l="1"/>
  <c r="V1047" i="2"/>
  <c r="V1048" i="2" s="1"/>
  <c r="V1049" i="2" s="1"/>
  <c r="V126" i="2" s="1"/>
  <c r="R136" i="1"/>
  <c r="R138" i="1" s="1"/>
  <c r="R104" i="1"/>
  <c r="T640" i="1"/>
  <c r="T123" i="1" s="1"/>
  <c r="R10" i="1"/>
  <c r="R13" i="1"/>
  <c r="R9" i="1"/>
  <c r="R651" i="1"/>
  <c r="R60" i="1"/>
  <c r="R577" i="1" s="1"/>
  <c r="R62" i="1"/>
  <c r="R11" i="1"/>
  <c r="R12" i="1"/>
  <c r="R105" i="1"/>
  <c r="R63" i="1"/>
  <c r="S668" i="1"/>
  <c r="S50" i="1"/>
  <c r="S77" i="1" s="1"/>
  <c r="T653" i="1"/>
  <c r="P669" i="1"/>
  <c r="P69" i="1"/>
  <c r="K656" i="1"/>
  <c r="F242" i="2"/>
  <c r="T242" i="2" s="1"/>
  <c r="R228" i="1"/>
  <c r="T247" i="1"/>
  <c r="T455" i="1"/>
  <c r="K610" i="1"/>
  <c r="F185" i="2"/>
  <c r="G185" i="2" s="1"/>
  <c r="F27" i="15" s="1"/>
  <c r="T475" i="1"/>
  <c r="T476" i="1"/>
  <c r="T454" i="1"/>
  <c r="T248" i="1"/>
  <c r="R227" i="1"/>
  <c r="R236" i="1"/>
  <c r="R663" i="1"/>
  <c r="T443" i="1"/>
  <c r="R235" i="1"/>
  <c r="R226" i="1"/>
  <c r="T232" i="1"/>
  <c r="T269" i="1"/>
  <c r="R233" i="1"/>
  <c r="S64" i="1"/>
  <c r="R229" i="1"/>
  <c r="K542" i="1"/>
  <c r="R234" i="1"/>
  <c r="R239" i="1"/>
  <c r="T441" i="1"/>
  <c r="R79" i="1"/>
  <c r="R96" i="1" s="1"/>
  <c r="T592" i="1"/>
  <c r="R237" i="1"/>
  <c r="U416" i="2"/>
  <c r="U645" i="2"/>
  <c r="Q107" i="1"/>
  <c r="U12" i="2"/>
  <c r="Q241" i="1"/>
  <c r="T102" i="1"/>
  <c r="S585" i="1"/>
  <c r="U300" i="2"/>
  <c r="T446" i="1"/>
  <c r="T584" i="1"/>
  <c r="S76" i="1"/>
  <c r="T442" i="1"/>
  <c r="U472" i="2"/>
  <c r="T1049" i="2"/>
  <c r="T458" i="1"/>
  <c r="P1049" i="2"/>
  <c r="R1049" i="2"/>
  <c r="T445" i="1"/>
  <c r="T444" i="1"/>
  <c r="J1049" i="2"/>
  <c r="U1049" i="2"/>
  <c r="P277" i="1"/>
  <c r="Q1049" i="2"/>
  <c r="S1049" i="2"/>
  <c r="T238" i="1"/>
  <c r="T231" i="1"/>
  <c r="S660" i="1"/>
  <c r="N1049" i="2"/>
  <c r="O1049" i="2"/>
  <c r="T575" i="1"/>
  <c r="T480" i="1"/>
  <c r="T134" i="1"/>
  <c r="L1049" i="2"/>
  <c r="T574" i="1"/>
  <c r="T448" i="1"/>
  <c r="T440" i="1"/>
  <c r="T447" i="1"/>
  <c r="S576" i="1"/>
  <c r="T477" i="1"/>
  <c r="U530" i="2"/>
  <c r="T249" i="1"/>
  <c r="U73" i="2"/>
  <c r="T250" i="1"/>
  <c r="T635" i="1"/>
  <c r="T396" i="1" s="1"/>
  <c r="T402" i="1" s="1"/>
  <c r="T661" i="1" s="1"/>
  <c r="U414" i="2"/>
  <c r="U415" i="2"/>
  <c r="S652" i="1"/>
  <c r="S593" i="1"/>
  <c r="S135" i="1"/>
  <c r="S482" i="1"/>
  <c r="S637" i="1" s="1"/>
  <c r="S474" i="1" s="1"/>
  <c r="S484" i="1" s="1"/>
  <c r="S271" i="1"/>
  <c r="S256" i="1"/>
  <c r="S255" i="1"/>
  <c r="S254" i="1"/>
  <c r="S103" i="1"/>
  <c r="T265" i="1"/>
  <c r="T267" i="1"/>
  <c r="S463" i="1"/>
  <c r="S67" i="1"/>
  <c r="U299" i="2"/>
  <c r="T270" i="1"/>
  <c r="U357" i="2"/>
  <c r="Q246" i="1"/>
  <c r="Q259" i="1" s="1"/>
  <c r="T459" i="1"/>
  <c r="T306" i="1"/>
  <c r="T266" i="1"/>
  <c r="T457" i="1"/>
  <c r="T479" i="1"/>
  <c r="S462" i="1"/>
  <c r="U358" i="2"/>
  <c r="T456" i="1"/>
  <c r="U588" i="2"/>
  <c r="U356" i="2"/>
  <c r="U473" i="2"/>
  <c r="U301" i="2"/>
  <c r="U698" i="2"/>
  <c r="U644" i="2"/>
  <c r="U529" i="2"/>
  <c r="U587" i="2"/>
  <c r="U72" i="2"/>
  <c r="U14" i="2"/>
  <c r="W2" i="2"/>
  <c r="V705" i="2"/>
  <c r="V995" i="2"/>
  <c r="V12" i="2" s="1"/>
  <c r="V697" i="2"/>
  <c r="V800" i="2" s="1"/>
  <c r="V1001" i="2"/>
  <c r="V1003" i="2"/>
  <c r="V976" i="2"/>
  <c r="V765" i="2"/>
  <c r="V977" i="2"/>
  <c r="V762" i="2"/>
  <c r="V788" i="2"/>
  <c r="V708" i="2"/>
  <c r="V1002" i="2"/>
  <c r="V760" i="2"/>
  <c r="V702" i="2"/>
  <c r="V998" i="2"/>
  <c r="V704" i="2"/>
  <c r="V701" i="2"/>
  <c r="V791" i="2"/>
  <c r="V767" i="2"/>
  <c r="V700" i="2"/>
  <c r="V789" i="2"/>
  <c r="V1087" i="2"/>
  <c r="V761" i="2"/>
  <c r="S573" i="1"/>
  <c r="S571" i="1"/>
  <c r="S572" i="1"/>
  <c r="R636" i="1"/>
  <c r="R453" i="1" s="1"/>
  <c r="R465" i="1" s="1"/>
  <c r="R664" i="1" s="1"/>
  <c r="S450" i="1"/>
  <c r="S234" i="1" s="1"/>
  <c r="F306" i="2"/>
  <c r="S659" i="1"/>
  <c r="S158" i="1"/>
  <c r="H471" i="2"/>
  <c r="N471" i="2"/>
  <c r="S471" i="2"/>
  <c r="R471" i="2"/>
  <c r="I471" i="2"/>
  <c r="T471" i="2"/>
  <c r="K471" i="2"/>
  <c r="L471" i="2"/>
  <c r="U471" i="2"/>
  <c r="G471" i="2"/>
  <c r="F29" i="15" s="1"/>
  <c r="M471" i="2"/>
  <c r="Q471" i="2"/>
  <c r="J471" i="2"/>
  <c r="O471" i="2"/>
  <c r="P471" i="2"/>
  <c r="F474" i="2"/>
  <c r="J331" i="1"/>
  <c r="J538" i="1"/>
  <c r="R665" i="1"/>
  <c r="R263" i="1"/>
  <c r="R273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7" i="1"/>
  <c r="O210" i="1" s="1"/>
  <c r="O223" i="1" s="1"/>
  <c r="O279" i="1" s="1"/>
  <c r="L277" i="1"/>
  <c r="L279" i="1"/>
  <c r="L516" i="1"/>
  <c r="G71" i="2"/>
  <c r="L71" i="2"/>
  <c r="T71" i="2"/>
  <c r="S71" i="2"/>
  <c r="R71" i="2"/>
  <c r="I71" i="2"/>
  <c r="N71" i="2"/>
  <c r="Q71" i="2"/>
  <c r="K71" i="2"/>
  <c r="H71" i="2"/>
  <c r="M71" i="2"/>
  <c r="U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T643" i="2"/>
  <c r="L643" i="2"/>
  <c r="U643" i="2"/>
  <c r="P643" i="2"/>
  <c r="J643" i="2"/>
  <c r="O643" i="2"/>
  <c r="F646" i="2"/>
  <c r="H586" i="2"/>
  <c r="K586" i="2"/>
  <c r="Q586" i="2"/>
  <c r="T586" i="2"/>
  <c r="G586" i="2"/>
  <c r="L586" i="2"/>
  <c r="N586" i="2"/>
  <c r="S586" i="2"/>
  <c r="I586" i="2"/>
  <c r="M586" i="2"/>
  <c r="R586" i="2"/>
  <c r="U586" i="2"/>
  <c r="J586" i="2"/>
  <c r="O586" i="2"/>
  <c r="P586" i="2"/>
  <c r="F589" i="2"/>
  <c r="H528" i="2"/>
  <c r="Q528" i="2"/>
  <c r="K528" i="2"/>
  <c r="L528" i="2"/>
  <c r="R528" i="2"/>
  <c r="T528" i="2"/>
  <c r="G528" i="2"/>
  <c r="M528" i="2"/>
  <c r="S528" i="2"/>
  <c r="I528" i="2"/>
  <c r="N528" i="2"/>
  <c r="U528" i="2"/>
  <c r="J528" i="2"/>
  <c r="O528" i="2"/>
  <c r="P528" i="2"/>
  <c r="F531" i="2"/>
  <c r="R660" i="1"/>
  <c r="R169" i="1"/>
  <c r="U431" i="1"/>
  <c r="U421" i="1"/>
  <c r="U591" i="1"/>
  <c r="U508" i="1"/>
  <c r="U181" i="1"/>
  <c r="U182" i="1"/>
  <c r="U174" i="1"/>
  <c r="U160" i="1"/>
  <c r="U74" i="1"/>
  <c r="U389" i="1"/>
  <c r="U303" i="1"/>
  <c r="U388" i="1"/>
  <c r="U301" i="1"/>
  <c r="U400" i="1"/>
  <c r="U506" i="1"/>
  <c r="U27" i="1"/>
  <c r="U46" i="1"/>
  <c r="U511" i="1"/>
  <c r="U505" i="1"/>
  <c r="U193" i="1"/>
  <c r="U397" i="1"/>
  <c r="U398" i="1"/>
  <c r="U411" i="1"/>
  <c r="U370" i="1"/>
  <c r="U494" i="1"/>
  <c r="U44" i="1"/>
  <c r="U461" i="1" s="1"/>
  <c r="U161" i="1"/>
  <c r="U285" i="1"/>
  <c r="U295" i="1"/>
  <c r="U180" i="1"/>
  <c r="U369" i="1"/>
  <c r="U43" i="1"/>
  <c r="U481" i="1" s="1"/>
  <c r="U191" i="1"/>
  <c r="U218" i="1"/>
  <c r="U289" i="1"/>
  <c r="U377" i="1"/>
  <c r="U497" i="1"/>
  <c r="U412" i="1"/>
  <c r="U460" i="1"/>
  <c r="U65" i="1"/>
  <c r="U642" i="1"/>
  <c r="U296" i="1"/>
  <c r="U171" i="1"/>
  <c r="U202" i="1"/>
  <c r="U203" i="1"/>
  <c r="U194" i="1"/>
  <c r="U387" i="1"/>
  <c r="U573" i="1"/>
  <c r="U418" i="1"/>
  <c r="U413" i="1"/>
  <c r="U379" i="1"/>
  <c r="U432" i="1"/>
  <c r="U75" i="1"/>
  <c r="U641" i="1"/>
  <c r="U510" i="1"/>
  <c r="U367" i="1"/>
  <c r="U152" i="1"/>
  <c r="U297" i="1"/>
  <c r="U409" i="1"/>
  <c r="U298" i="1"/>
  <c r="U287" i="1"/>
  <c r="U300" i="1"/>
  <c r="U507" i="1"/>
  <c r="U66" i="1"/>
  <c r="U153" i="1"/>
  <c r="U45" i="1"/>
  <c r="U251" i="1" s="1"/>
  <c r="U115" i="1"/>
  <c r="U133" i="1"/>
  <c r="U201" i="1"/>
  <c r="U509" i="1"/>
  <c r="U493" i="1"/>
  <c r="U572" i="1"/>
  <c r="U420" i="1"/>
  <c r="U159" i="1"/>
  <c r="U571" i="1"/>
  <c r="U496" i="1"/>
  <c r="U170" i="1"/>
  <c r="U192" i="1"/>
  <c r="U42" i="1"/>
  <c r="U172" i="1"/>
  <c r="U294" i="1"/>
  <c r="U410" i="1"/>
  <c r="U204" i="1"/>
  <c r="U253" i="1"/>
  <c r="U503" i="1"/>
  <c r="U288" i="1"/>
  <c r="U151" i="1"/>
  <c r="U19" i="1"/>
  <c r="U40" i="1"/>
  <c r="U478" i="1" s="1"/>
  <c r="U399" i="1"/>
  <c r="U504" i="1"/>
  <c r="U299" i="1"/>
  <c r="U365" i="1"/>
  <c r="U23" i="1"/>
  <c r="U38" i="1"/>
  <c r="U475" i="1" s="1"/>
  <c r="U376" i="1"/>
  <c r="U217" i="1"/>
  <c r="U583" i="1"/>
  <c r="U304" i="1"/>
  <c r="U495" i="1"/>
  <c r="U219" i="1"/>
  <c r="U147" i="1"/>
  <c r="U33" i="1"/>
  <c r="U366" i="1"/>
  <c r="U41" i="1"/>
  <c r="U268" i="1" s="1"/>
  <c r="V2" i="1"/>
  <c r="U148" i="1"/>
  <c r="U286" i="1"/>
  <c r="U39" i="1"/>
  <c r="U302" i="1"/>
  <c r="U150" i="1"/>
  <c r="U378" i="1"/>
  <c r="U149" i="1"/>
  <c r="U101" i="1"/>
  <c r="U419" i="1"/>
  <c r="U502" i="1"/>
  <c r="U390" i="1"/>
  <c r="U162" i="1"/>
  <c r="U391" i="1"/>
  <c r="U368" i="1"/>
  <c r="U173" i="1"/>
  <c r="U512" i="1"/>
  <c r="U183" i="1"/>
  <c r="F421" i="2"/>
  <c r="F423" i="2" s="1"/>
  <c r="F363" i="2"/>
  <c r="F365" i="2" s="1"/>
  <c r="N109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8" i="1"/>
  <c r="O125" i="1"/>
  <c r="O114" i="1"/>
  <c r="O126" i="1"/>
  <c r="O113" i="1"/>
  <c r="O127" i="1"/>
  <c r="M1049" i="2"/>
  <c r="M19" i="2" s="1"/>
  <c r="T252" i="1"/>
  <c r="T643" i="1"/>
  <c r="T634" i="1"/>
  <c r="T386" i="1" s="1"/>
  <c r="T29" i="1"/>
  <c r="T206" i="1"/>
  <c r="T514" i="1"/>
  <c r="T423" i="1"/>
  <c r="R221" i="1"/>
  <c r="P516" i="1"/>
  <c r="S658" i="1"/>
  <c r="S383" i="1"/>
  <c r="S146" i="1"/>
  <c r="S155" i="1" s="1"/>
  <c r="S662" i="1"/>
  <c r="S425" i="1"/>
  <c r="S190" i="1"/>
  <c r="S196" i="1" s="1"/>
  <c r="S208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6" i="1"/>
  <c r="H122" i="1"/>
  <c r="S661" i="1"/>
  <c r="S179" i="1"/>
  <c r="S185" i="1" s="1"/>
  <c r="S187" i="1" s="1"/>
  <c r="S214" i="1"/>
  <c r="S216" i="1"/>
  <c r="S430" i="1"/>
  <c r="S434" i="1" s="1"/>
  <c r="S215" i="1"/>
  <c r="S213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0" i="1"/>
  <c r="Q155" i="1"/>
  <c r="Q166" i="1" s="1"/>
  <c r="Q210" i="1" s="1"/>
  <c r="Q223" i="1" s="1"/>
  <c r="N273" i="1"/>
  <c r="N275" i="1" s="1"/>
  <c r="N488" i="1"/>
  <c r="G1048" i="2"/>
  <c r="G1049" i="2" s="1"/>
  <c r="G19" i="2" s="1"/>
  <c r="K1049" i="2"/>
  <c r="K19" i="2" s="1"/>
  <c r="H1049" i="2"/>
  <c r="H19" i="2" s="1"/>
  <c r="I1049" i="2"/>
  <c r="I19" i="2" s="1"/>
  <c r="R402" i="1"/>
  <c r="K654" i="1"/>
  <c r="K112" i="1"/>
  <c r="K116" i="1" s="1"/>
  <c r="K140" i="1" s="1"/>
  <c r="F128" i="2" s="1"/>
  <c r="F1059" i="2"/>
  <c r="H112" i="1"/>
  <c r="H654" i="1"/>
  <c r="M223" i="1"/>
  <c r="Q486" i="1"/>
  <c r="Q488" i="1" s="1"/>
  <c r="Q490" i="1" s="1"/>
  <c r="Q665" i="1"/>
  <c r="Q263" i="1"/>
  <c r="Q273" i="1" s="1"/>
  <c r="T291" i="1"/>
  <c r="T631" i="1"/>
  <c r="T364" i="1" s="1"/>
  <c r="T372" i="1" s="1"/>
  <c r="T633" i="1"/>
  <c r="T375" i="1" s="1"/>
  <c r="T381" i="1" s="1"/>
  <c r="T48" i="1"/>
  <c r="T415" i="1"/>
  <c r="T499" i="1"/>
  <c r="S404" i="1"/>
  <c r="P125" i="1" l="1"/>
  <c r="F20" i="2"/>
  <c r="F21" i="2" s="1"/>
  <c r="O526" i="2"/>
  <c r="O19" i="2"/>
  <c r="N69" i="2"/>
  <c r="N19" i="2"/>
  <c r="J469" i="2"/>
  <c r="J19" i="2"/>
  <c r="L297" i="2"/>
  <c r="L19" i="2"/>
  <c r="R10" i="2"/>
  <c r="R19" i="2"/>
  <c r="U297" i="2"/>
  <c r="U19" i="2"/>
  <c r="S526" i="2"/>
  <c r="S19" i="2"/>
  <c r="P526" i="2"/>
  <c r="P19" i="2"/>
  <c r="Q126" i="2"/>
  <c r="Q19" i="2"/>
  <c r="T469" i="2"/>
  <c r="T19" i="2"/>
  <c r="V19" i="2"/>
  <c r="R107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U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3" i="1"/>
  <c r="P114" i="1"/>
  <c r="P81" i="1"/>
  <c r="P126" i="1"/>
  <c r="P95" i="1"/>
  <c r="P98" i="1" s="1"/>
  <c r="P602" i="1" s="1"/>
  <c r="F594" i="2" s="1"/>
  <c r="P128" i="1"/>
  <c r="P655" i="1"/>
  <c r="P127" i="1"/>
  <c r="O126" i="2"/>
  <c r="O584" i="2"/>
  <c r="V354" i="2"/>
  <c r="J185" i="2"/>
  <c r="K185" i="2"/>
  <c r="L185" i="2"/>
  <c r="R185" i="2"/>
  <c r="Q185" i="2"/>
  <c r="R183" i="2"/>
  <c r="P10" i="2"/>
  <c r="H185" i="2"/>
  <c r="U185" i="2"/>
  <c r="P185" i="2"/>
  <c r="T185" i="2"/>
  <c r="S185" i="2"/>
  <c r="O185" i="2"/>
  <c r="N185" i="2"/>
  <c r="L126" i="2"/>
  <c r="R354" i="2"/>
  <c r="R297" i="2"/>
  <c r="L354" i="2"/>
  <c r="L240" i="2"/>
  <c r="R306" i="2"/>
  <c r="I185" i="2"/>
  <c r="M185" i="2"/>
  <c r="S183" i="2"/>
  <c r="U183" i="2"/>
  <c r="V69" i="2"/>
  <c r="V240" i="2"/>
  <c r="U584" i="2"/>
  <c r="U126" i="2"/>
  <c r="J10" i="2"/>
  <c r="U265" i="1"/>
  <c r="U575" i="1"/>
  <c r="U444" i="1"/>
  <c r="Q297" i="2"/>
  <c r="O412" i="2"/>
  <c r="J126" i="2"/>
  <c r="Q354" i="2"/>
  <c r="S60" i="1"/>
  <c r="S329" i="1" s="1"/>
  <c r="Q584" i="2"/>
  <c r="O240" i="2"/>
  <c r="J240" i="2"/>
  <c r="Q183" i="2"/>
  <c r="S105" i="1"/>
  <c r="O69" i="2"/>
  <c r="N126" i="2"/>
  <c r="J584" i="2"/>
  <c r="T10" i="2"/>
  <c r="O354" i="2"/>
  <c r="N469" i="2"/>
  <c r="V641" i="2"/>
  <c r="S69" i="2"/>
  <c r="Q469" i="2"/>
  <c r="Q69" i="2"/>
  <c r="S104" i="1"/>
  <c r="S63" i="1"/>
  <c r="Q641" i="2"/>
  <c r="S11" i="1"/>
  <c r="S13" i="1"/>
  <c r="Q412" i="2"/>
  <c r="P183" i="2"/>
  <c r="S641" i="2"/>
  <c r="Q10" i="2"/>
  <c r="S62" i="1"/>
  <c r="S136" i="1"/>
  <c r="S138" i="1" s="1"/>
  <c r="S297" i="2"/>
  <c r="P126" i="2"/>
  <c r="P469" i="2"/>
  <c r="S240" i="2"/>
  <c r="P641" i="2"/>
  <c r="S354" i="2"/>
  <c r="Q526" i="2"/>
  <c r="S9" i="1"/>
  <c r="S10" i="1"/>
  <c r="P584" i="2"/>
  <c r="S412" i="2"/>
  <c r="Q240" i="2"/>
  <c r="S12" i="1"/>
  <c r="S651" i="1"/>
  <c r="S469" i="2"/>
  <c r="R363" i="2"/>
  <c r="U269" i="1"/>
  <c r="R241" i="1"/>
  <c r="L183" i="2"/>
  <c r="R412" i="2"/>
  <c r="R469" i="2"/>
  <c r="P240" i="2"/>
  <c r="P69" i="2"/>
  <c r="S584" i="2"/>
  <c r="L641" i="2"/>
  <c r="L412" i="2"/>
  <c r="R246" i="1"/>
  <c r="R259" i="1" s="1"/>
  <c r="R275" i="1" s="1"/>
  <c r="R126" i="2"/>
  <c r="R240" i="2"/>
  <c r="P412" i="2"/>
  <c r="P297" i="2"/>
  <c r="S10" i="2"/>
  <c r="L469" i="2"/>
  <c r="L526" i="2"/>
  <c r="V529" i="2"/>
  <c r="S236" i="1"/>
  <c r="S228" i="1"/>
  <c r="R526" i="2"/>
  <c r="R69" i="2"/>
  <c r="R641" i="2"/>
  <c r="P354" i="2"/>
  <c r="S126" i="2"/>
  <c r="L69" i="2"/>
  <c r="L10" i="2"/>
  <c r="S79" i="1"/>
  <c r="S96" i="1" s="1"/>
  <c r="V471" i="2"/>
  <c r="O421" i="2"/>
  <c r="R584" i="2"/>
  <c r="L584" i="2"/>
  <c r="R486" i="1"/>
  <c r="R488" i="1" s="1"/>
  <c r="O363" i="2"/>
  <c r="U526" i="2"/>
  <c r="T126" i="2"/>
  <c r="V297" i="2"/>
  <c r="V584" i="2"/>
  <c r="U306" i="2"/>
  <c r="T450" i="1"/>
  <c r="T663" i="1" s="1"/>
  <c r="P363" i="2"/>
  <c r="U445" i="1"/>
  <c r="U240" i="2"/>
  <c r="U69" i="2"/>
  <c r="T69" i="2"/>
  <c r="T354" i="2"/>
  <c r="V412" i="2"/>
  <c r="P421" i="2"/>
  <c r="T183" i="2"/>
  <c r="O297" i="2"/>
  <c r="R421" i="2"/>
  <c r="U584" i="1"/>
  <c r="U248" i="1"/>
  <c r="U354" i="2"/>
  <c r="U469" i="2"/>
  <c r="T641" i="2"/>
  <c r="T240" i="2"/>
  <c r="V183" i="2"/>
  <c r="O641" i="2"/>
  <c r="U454" i="1"/>
  <c r="O10" i="2"/>
  <c r="O469" i="2"/>
  <c r="O183" i="2"/>
  <c r="U441" i="1"/>
  <c r="U476" i="1"/>
  <c r="U412" i="2"/>
  <c r="U10" i="2"/>
  <c r="T526" i="2"/>
  <c r="T412" i="2"/>
  <c r="V469" i="2"/>
  <c r="N421" i="2"/>
  <c r="U641" i="2"/>
  <c r="T297" i="2"/>
  <c r="T584" i="2"/>
  <c r="V10" i="2"/>
  <c r="V526" i="2"/>
  <c r="S263" i="1"/>
  <c r="S273" i="1" s="1"/>
  <c r="S665" i="1"/>
  <c r="N297" i="2"/>
  <c r="J183" i="2"/>
  <c r="V14" i="2"/>
  <c r="J69" i="2"/>
  <c r="S237" i="1"/>
  <c r="S306" i="2"/>
  <c r="J526" i="2"/>
  <c r="V414" i="2"/>
  <c r="N363" i="2"/>
  <c r="N183" i="2"/>
  <c r="N354" i="2"/>
  <c r="N526" i="2"/>
  <c r="U231" i="1"/>
  <c r="J297" i="2"/>
  <c r="V300" i="2"/>
  <c r="S636" i="1"/>
  <c r="S453" i="1" s="1"/>
  <c r="S465" i="1" s="1"/>
  <c r="S246" i="1" s="1"/>
  <c r="S259" i="1" s="1"/>
  <c r="N584" i="2"/>
  <c r="N641" i="2"/>
  <c r="U458" i="1"/>
  <c r="Q275" i="1"/>
  <c r="Q277" i="1" s="1"/>
  <c r="N10" i="2"/>
  <c r="N240" i="2"/>
  <c r="U232" i="1"/>
  <c r="U640" i="1"/>
  <c r="U123" i="1" s="1"/>
  <c r="U643" i="1"/>
  <c r="U214" i="1" s="1"/>
  <c r="J354" i="2"/>
  <c r="J641" i="2"/>
  <c r="U480" i="1"/>
  <c r="V356" i="2"/>
  <c r="V185" i="2"/>
  <c r="N412" i="2"/>
  <c r="U238" i="1"/>
  <c r="U247" i="1"/>
  <c r="J412" i="2"/>
  <c r="V644" i="2"/>
  <c r="U252" i="1"/>
  <c r="N306" i="2"/>
  <c r="S235" i="1"/>
  <c r="U459" i="1"/>
  <c r="V357" i="2"/>
  <c r="O306" i="2"/>
  <c r="S226" i="1"/>
  <c r="S239" i="1"/>
  <c r="V242" i="2"/>
  <c r="U270" i="1"/>
  <c r="V528" i="2"/>
  <c r="V71" i="2"/>
  <c r="V358" i="2"/>
  <c r="V415" i="2"/>
  <c r="S233" i="1"/>
  <c r="S229" i="1"/>
  <c r="U102" i="1"/>
  <c r="J306" i="2"/>
  <c r="L306" i="2"/>
  <c r="T306" i="2"/>
  <c r="V306" i="2"/>
  <c r="V643" i="2"/>
  <c r="V13" i="2"/>
  <c r="S230" i="1"/>
  <c r="V587" i="2"/>
  <c r="S227" i="1"/>
  <c r="S663" i="1"/>
  <c r="T179" i="1"/>
  <c r="T185" i="1" s="1"/>
  <c r="U249" i="1"/>
  <c r="U477" i="1"/>
  <c r="V586" i="2"/>
  <c r="V299" i="2"/>
  <c r="V698" i="2"/>
  <c r="Q306" i="2"/>
  <c r="P306" i="2"/>
  <c r="V72" i="2"/>
  <c r="V472" i="2"/>
  <c r="V73" i="2"/>
  <c r="V301" i="2"/>
  <c r="V473" i="2"/>
  <c r="V645" i="2"/>
  <c r="V416" i="2"/>
  <c r="V530" i="2"/>
  <c r="V588" i="2"/>
  <c r="W704" i="2"/>
  <c r="W788" i="2"/>
  <c r="W697" i="2"/>
  <c r="W800" i="2" s="1"/>
  <c r="W767" i="2"/>
  <c r="W998" i="2"/>
  <c r="W760" i="2"/>
  <c r="W1001" i="2"/>
  <c r="W700" i="2"/>
  <c r="W995" i="2"/>
  <c r="W12" i="2" s="1"/>
  <c r="W705" i="2"/>
  <c r="W762" i="2"/>
  <c r="W976" i="2"/>
  <c r="W977" i="2"/>
  <c r="W1087" i="2"/>
  <c r="W1002" i="2"/>
  <c r="X2" i="2"/>
  <c r="W702" i="2"/>
  <c r="W708" i="2"/>
  <c r="W791" i="2"/>
  <c r="W765" i="2"/>
  <c r="W789" i="2"/>
  <c r="W1003" i="2"/>
  <c r="W701" i="2"/>
  <c r="W761" i="2"/>
  <c r="W1047" i="2"/>
  <c r="U456" i="1"/>
  <c r="U479" i="1"/>
  <c r="O130" i="1"/>
  <c r="U514" i="1"/>
  <c r="S221" i="1"/>
  <c r="N277" i="1"/>
  <c r="N279" i="1"/>
  <c r="T658" i="1"/>
  <c r="T383" i="1"/>
  <c r="T146" i="1"/>
  <c r="I306" i="2"/>
  <c r="I354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2" i="1"/>
  <c r="T425" i="1"/>
  <c r="T190" i="1"/>
  <c r="T196" i="1" s="1"/>
  <c r="T208" i="1" s="1"/>
  <c r="T659" i="1"/>
  <c r="T158" i="1"/>
  <c r="T164" i="1" s="1"/>
  <c r="Q516" i="1"/>
  <c r="M279" i="1"/>
  <c r="AA1059" i="2"/>
  <c r="AB1059" i="2" s="1"/>
  <c r="F1061" i="2"/>
  <c r="F27" i="14"/>
  <c r="R661" i="1"/>
  <c r="R179" i="1"/>
  <c r="H526" i="2"/>
  <c r="H10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V426" i="2"/>
  <c r="G426" i="2"/>
  <c r="N426" i="2"/>
  <c r="T426" i="2"/>
  <c r="W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3" i="1"/>
  <c r="T215" i="1"/>
  <c r="T216" i="1"/>
  <c r="T214" i="1"/>
  <c r="M641" i="2"/>
  <c r="M183" i="2"/>
  <c r="M69" i="2"/>
  <c r="M126" i="2"/>
  <c r="M297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8" i="1"/>
  <c r="V65" i="1"/>
  <c r="V300" i="1"/>
  <c r="V642" i="1"/>
  <c r="V218" i="1"/>
  <c r="V183" i="1"/>
  <c r="V495" i="1"/>
  <c r="V572" i="1"/>
  <c r="V506" i="1"/>
  <c r="V497" i="1"/>
  <c r="V573" i="1"/>
  <c r="V510" i="1"/>
  <c r="V301" i="1"/>
  <c r="V494" i="1"/>
  <c r="V204" i="1"/>
  <c r="V505" i="1"/>
  <c r="V171" i="1"/>
  <c r="V161" i="1"/>
  <c r="V400" i="1"/>
  <c r="V411" i="1"/>
  <c r="V399" i="1"/>
  <c r="V19" i="1"/>
  <c r="V387" i="1"/>
  <c r="V253" i="1"/>
  <c r="V172" i="1"/>
  <c r="V174" i="1"/>
  <c r="V296" i="1"/>
  <c r="V173" i="1"/>
  <c r="V369" i="1"/>
  <c r="V583" i="1"/>
  <c r="V27" i="1"/>
  <c r="V151" i="1"/>
  <c r="V303" i="1"/>
  <c r="V39" i="1"/>
  <c r="V477" i="1" s="1"/>
  <c r="V366" i="1"/>
  <c r="V115" i="1"/>
  <c r="V147" i="1"/>
  <c r="V418" i="1"/>
  <c r="V133" i="1"/>
  <c r="V41" i="1"/>
  <c r="V479" i="1" s="1"/>
  <c r="V432" i="1"/>
  <c r="V286" i="1"/>
  <c r="V460" i="1"/>
  <c r="V397" i="1"/>
  <c r="V378" i="1"/>
  <c r="V66" i="1"/>
  <c r="V101" i="1"/>
  <c r="V367" i="1"/>
  <c r="V493" i="1"/>
  <c r="V43" i="1"/>
  <c r="V459" i="1" s="1"/>
  <c r="V192" i="1"/>
  <c r="V194" i="1"/>
  <c r="V45" i="1"/>
  <c r="V458" i="1" s="1"/>
  <c r="V201" i="1"/>
  <c r="V23" i="1"/>
  <c r="V641" i="1"/>
  <c r="V410" i="1"/>
  <c r="V40" i="1"/>
  <c r="V267" i="1" s="1"/>
  <c r="V150" i="1"/>
  <c r="V46" i="1"/>
  <c r="V365" i="1"/>
  <c r="V162" i="1"/>
  <c r="V33" i="1"/>
  <c r="V160" i="1"/>
  <c r="V153" i="1"/>
  <c r="V502" i="1"/>
  <c r="V503" i="1"/>
  <c r="V191" i="1"/>
  <c r="V285" i="1"/>
  <c r="V376" i="1"/>
  <c r="V181" i="1"/>
  <c r="V193" i="1"/>
  <c r="V377" i="1"/>
  <c r="V75" i="1"/>
  <c r="V298" i="1"/>
  <c r="V571" i="1"/>
  <c r="V149" i="1"/>
  <c r="V508" i="1"/>
  <c r="V182" i="1"/>
  <c r="V203" i="1"/>
  <c r="V170" i="1"/>
  <c r="V409" i="1"/>
  <c r="V512" i="1"/>
  <c r="V496" i="1"/>
  <c r="V388" i="1"/>
  <c r="V389" i="1"/>
  <c r="V431" i="1"/>
  <c r="V511" i="1"/>
  <c r="V370" i="1"/>
  <c r="V44" i="1"/>
  <c r="V461" i="1" s="1"/>
  <c r="V159" i="1"/>
  <c r="V287" i="1"/>
  <c r="V289" i="1"/>
  <c r="V504" i="1"/>
  <c r="V398" i="1"/>
  <c r="V74" i="1"/>
  <c r="V591" i="1"/>
  <c r="V421" i="1"/>
  <c r="V419" i="1"/>
  <c r="V420" i="1"/>
  <c r="V295" i="1"/>
  <c r="V391" i="1"/>
  <c r="V152" i="1"/>
  <c r="V413" i="1"/>
  <c r="V202" i="1"/>
  <c r="V299" i="1"/>
  <c r="V379" i="1"/>
  <c r="V38" i="1"/>
  <c r="V42" i="1"/>
  <c r="W2" i="1"/>
  <c r="V217" i="1"/>
  <c r="V302" i="1"/>
  <c r="V219" i="1"/>
  <c r="V390" i="1"/>
  <c r="V304" i="1"/>
  <c r="V412" i="1"/>
  <c r="V507" i="1"/>
  <c r="V288" i="1"/>
  <c r="V297" i="1"/>
  <c r="V180" i="1"/>
  <c r="V368" i="1"/>
  <c r="V294" i="1"/>
  <c r="V509" i="1"/>
  <c r="L308" i="1"/>
  <c r="Q69" i="1"/>
  <c r="Q669" i="1"/>
  <c r="Q578" i="1"/>
  <c r="Q580" i="1" s="1"/>
  <c r="M538" i="1"/>
  <c r="M540" i="1" s="1"/>
  <c r="S427" i="1"/>
  <c r="U448" i="1"/>
  <c r="U267" i="1"/>
  <c r="U250" i="1"/>
  <c r="U134" i="1"/>
  <c r="U442" i="1"/>
  <c r="U440" i="1"/>
  <c r="U446" i="1"/>
  <c r="U457" i="1"/>
  <c r="U264" i="1"/>
  <c r="U574" i="1"/>
  <c r="U266" i="1"/>
  <c r="U447" i="1"/>
  <c r="U443" i="1"/>
  <c r="U633" i="1"/>
  <c r="U375" i="1" s="1"/>
  <c r="U381" i="1" s="1"/>
  <c r="U306" i="1"/>
  <c r="U206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V421" i="2"/>
  <c r="V363" i="2"/>
  <c r="T652" i="1"/>
  <c r="T67" i="1"/>
  <c r="T64" i="1"/>
  <c r="T256" i="1"/>
  <c r="T463" i="1"/>
  <c r="T482" i="1"/>
  <c r="T637" i="1" s="1"/>
  <c r="T474" i="1" s="1"/>
  <c r="T484" i="1" s="1"/>
  <c r="T462" i="1"/>
  <c r="T135" i="1"/>
  <c r="T576" i="1"/>
  <c r="T593" i="1"/>
  <c r="T254" i="1"/>
  <c r="T255" i="1"/>
  <c r="T271" i="1"/>
  <c r="T76" i="1"/>
  <c r="T103" i="1"/>
  <c r="T257" i="1"/>
  <c r="T585" i="1"/>
  <c r="H116" i="1"/>
  <c r="H128" i="2"/>
  <c r="L128" i="2"/>
  <c r="V128" i="2"/>
  <c r="G128" i="2"/>
  <c r="F13" i="15" s="1"/>
  <c r="K128" i="2"/>
  <c r="S128" i="2"/>
  <c r="M128" i="2"/>
  <c r="R128" i="2"/>
  <c r="U128" i="2"/>
  <c r="I128" i="2"/>
  <c r="N128" i="2"/>
  <c r="Q128" i="2"/>
  <c r="T128" i="2"/>
  <c r="J128" i="2"/>
  <c r="P128" i="2"/>
  <c r="O128" i="2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421" i="2"/>
  <c r="K183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V368" i="2"/>
  <c r="P368" i="2"/>
  <c r="K368" i="2"/>
  <c r="W368" i="2"/>
  <c r="J368" i="2"/>
  <c r="P210" i="1"/>
  <c r="T393" i="1"/>
  <c r="O98" i="1"/>
  <c r="F592" i="2"/>
  <c r="F477" i="2"/>
  <c r="N608" i="1"/>
  <c r="U653" i="1"/>
  <c r="R176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29" i="14"/>
  <c r="S164" i="1"/>
  <c r="S166" i="1" s="1"/>
  <c r="S210" i="1" s="1"/>
  <c r="M331" i="1"/>
  <c r="U48" i="1"/>
  <c r="U631" i="1"/>
  <c r="U364" i="1" s="1"/>
  <c r="U372" i="1" s="1"/>
  <c r="U455" i="1"/>
  <c r="U499" i="1"/>
  <c r="U291" i="1"/>
  <c r="U635" i="1"/>
  <c r="U396" i="1" s="1"/>
  <c r="U402" i="1" s="1"/>
  <c r="U421" i="2"/>
  <c r="J421" i="2"/>
  <c r="L363" i="2"/>
  <c r="Q363" i="2"/>
  <c r="Q421" i="2"/>
  <c r="F308" i="2"/>
  <c r="X426" i="2" l="1"/>
  <c r="V371" i="2"/>
  <c r="Q371" i="2"/>
  <c r="W371" i="2"/>
  <c r="M371" i="2"/>
  <c r="P371" i="2"/>
  <c r="N371" i="2"/>
  <c r="H371" i="2"/>
  <c r="S371" i="2"/>
  <c r="T371" i="2"/>
  <c r="U371" i="2"/>
  <c r="X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09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0" i="1"/>
  <c r="Q279" i="1"/>
  <c r="Q308" i="1" s="1"/>
  <c r="S535" i="1"/>
  <c r="S586" i="1"/>
  <c r="S588" i="1" s="1"/>
  <c r="F374" i="2" s="1"/>
  <c r="M374" i="2" s="1"/>
  <c r="S107" i="1"/>
  <c r="S536" i="1"/>
  <c r="S667" i="1"/>
  <c r="R277" i="1"/>
  <c r="R490" i="1"/>
  <c r="R516" i="1" s="1"/>
  <c r="S328" i="1"/>
  <c r="S594" i="1"/>
  <c r="S596" i="1" s="1"/>
  <c r="F432" i="2" s="1"/>
  <c r="S432" i="2" s="1"/>
  <c r="S577" i="1"/>
  <c r="T229" i="1"/>
  <c r="S223" i="1"/>
  <c r="S15" i="1"/>
  <c r="S669" i="1" s="1"/>
  <c r="T228" i="1"/>
  <c r="S664" i="1"/>
  <c r="V643" i="1"/>
  <c r="V216" i="1" s="1"/>
  <c r="U213" i="1"/>
  <c r="S275" i="1"/>
  <c r="V478" i="1"/>
  <c r="T230" i="1"/>
  <c r="S241" i="1"/>
  <c r="S486" i="1"/>
  <c r="S488" i="1" s="1"/>
  <c r="S490" i="1" s="1"/>
  <c r="S516" i="1" s="1"/>
  <c r="T236" i="1"/>
  <c r="T227" i="1"/>
  <c r="V252" i="1"/>
  <c r="V481" i="1"/>
  <c r="T226" i="1"/>
  <c r="T239" i="1"/>
  <c r="T234" i="1"/>
  <c r="T235" i="1"/>
  <c r="T237" i="1"/>
  <c r="T233" i="1"/>
  <c r="V231" i="1"/>
  <c r="V251" i="1"/>
  <c r="W588" i="2"/>
  <c r="U430" i="1"/>
  <c r="U434" i="1" s="1"/>
  <c r="U216" i="1"/>
  <c r="W587" i="2"/>
  <c r="V232" i="1"/>
  <c r="V48" i="1"/>
  <c r="V652" i="1" s="1"/>
  <c r="T636" i="1"/>
  <c r="T453" i="1" s="1"/>
  <c r="T465" i="1" s="1"/>
  <c r="T486" i="1" s="1"/>
  <c r="T488" i="1" s="1"/>
  <c r="V480" i="1"/>
  <c r="W356" i="2"/>
  <c r="U215" i="1"/>
  <c r="W72" i="2"/>
  <c r="W414" i="2"/>
  <c r="V584" i="1"/>
  <c r="V270" i="1"/>
  <c r="V456" i="1"/>
  <c r="X429" i="2"/>
  <c r="W530" i="2"/>
  <c r="W14" i="2"/>
  <c r="W300" i="2"/>
  <c r="V443" i="1"/>
  <c r="V441" i="1"/>
  <c r="V250" i="1"/>
  <c r="V268" i="1"/>
  <c r="W416" i="2"/>
  <c r="V448" i="1"/>
  <c r="W644" i="2"/>
  <c r="W128" i="2"/>
  <c r="V574" i="1"/>
  <c r="V575" i="1"/>
  <c r="V265" i="1"/>
  <c r="W529" i="2"/>
  <c r="W357" i="2"/>
  <c r="V455" i="1"/>
  <c r="V249" i="1"/>
  <c r="W473" i="2"/>
  <c r="W358" i="2"/>
  <c r="X368" i="2"/>
  <c r="V457" i="1"/>
  <c r="V266" i="1"/>
  <c r="V269" i="1"/>
  <c r="W645" i="2"/>
  <c r="W13" i="2"/>
  <c r="W415" i="2"/>
  <c r="V454" i="1"/>
  <c r="W301" i="2"/>
  <c r="W299" i="2"/>
  <c r="V238" i="1"/>
  <c r="W73" i="2"/>
  <c r="W472" i="2"/>
  <c r="X1087" i="2"/>
  <c r="X701" i="2"/>
  <c r="X760" i="2"/>
  <c r="X697" i="2"/>
  <c r="X800" i="2" s="1"/>
  <c r="X704" i="2"/>
  <c r="X1003" i="2"/>
  <c r="X977" i="2"/>
  <c r="Y2" i="2"/>
  <c r="X788" i="2"/>
  <c r="X942" i="2" s="1"/>
  <c r="X702" i="2"/>
  <c r="X765" i="2"/>
  <c r="X998" i="2"/>
  <c r="X976" i="2"/>
  <c r="X705" i="2"/>
  <c r="X1002" i="2"/>
  <c r="X791" i="2"/>
  <c r="X995" i="2"/>
  <c r="X12" i="2" s="1"/>
  <c r="X767" i="2"/>
  <c r="X761" i="2"/>
  <c r="X762" i="2"/>
  <c r="X1001" i="2"/>
  <c r="X700" i="2"/>
  <c r="X789" i="2"/>
  <c r="X708" i="2"/>
  <c r="X1047" i="2"/>
  <c r="X1048" i="2" s="1"/>
  <c r="X1049" i="2" s="1"/>
  <c r="X469" i="2" s="1"/>
  <c r="W1048" i="2"/>
  <c r="W698" i="2"/>
  <c r="W643" i="2"/>
  <c r="W586" i="2"/>
  <c r="W242" i="2"/>
  <c r="W528" i="2"/>
  <c r="W185" i="2"/>
  <c r="W471" i="2"/>
  <c r="W71" i="2"/>
  <c r="U661" i="1"/>
  <c r="U179" i="1"/>
  <c r="U185" i="1" s="1"/>
  <c r="U652" i="1"/>
  <c r="U67" i="1"/>
  <c r="U257" i="1"/>
  <c r="U576" i="1"/>
  <c r="U482" i="1"/>
  <c r="U637" i="1" s="1"/>
  <c r="U474" i="1" s="1"/>
  <c r="U484" i="1" s="1"/>
  <c r="U76" i="1"/>
  <c r="U593" i="1"/>
  <c r="U135" i="1"/>
  <c r="U64" i="1"/>
  <c r="U585" i="1"/>
  <c r="U462" i="1"/>
  <c r="U103" i="1"/>
  <c r="U256" i="1"/>
  <c r="U271" i="1"/>
  <c r="U255" i="1"/>
  <c r="U254" i="1"/>
  <c r="U463" i="1"/>
  <c r="J335" i="1"/>
  <c r="J610" i="1"/>
  <c r="F184" i="2"/>
  <c r="L331" i="1"/>
  <c r="U383" i="1"/>
  <c r="U658" i="1"/>
  <c r="U146" i="1"/>
  <c r="U155" i="1" s="1"/>
  <c r="F311" i="2"/>
  <c r="J542" i="1"/>
  <c r="J656" i="1"/>
  <c r="J119" i="1"/>
  <c r="F241" i="2"/>
  <c r="O657" i="1"/>
  <c r="O120" i="1"/>
  <c r="L538" i="1"/>
  <c r="M542" i="1"/>
  <c r="M656" i="1"/>
  <c r="M119" i="1"/>
  <c r="F244" i="2"/>
  <c r="N516" i="1"/>
  <c r="H1061" i="2"/>
  <c r="H1062" i="2" s="1"/>
  <c r="K1061" i="2"/>
  <c r="K1062" i="2" s="1"/>
  <c r="G1061" i="2"/>
  <c r="M1061" i="2"/>
  <c r="M1062" i="2" s="1"/>
  <c r="T1061" i="2"/>
  <c r="T1062" i="2" s="1"/>
  <c r="S1061" i="2"/>
  <c r="S1062" i="2" s="1"/>
  <c r="X1061" i="2"/>
  <c r="X1062" i="2" s="1"/>
  <c r="F1062" i="2"/>
  <c r="N1061" i="2"/>
  <c r="N1062" i="2" s="1"/>
  <c r="L1061" i="2"/>
  <c r="L1062" i="2" s="1"/>
  <c r="Q1061" i="2"/>
  <c r="Q1062" i="2" s="1"/>
  <c r="V1061" i="2"/>
  <c r="V1062" i="2" s="1"/>
  <c r="R1061" i="2"/>
  <c r="R1062" i="2" s="1"/>
  <c r="U1061" i="2"/>
  <c r="U1062" i="2" s="1"/>
  <c r="W1061" i="2"/>
  <c r="W1062" i="2" s="1"/>
  <c r="I1061" i="2"/>
  <c r="I1062" i="2" s="1"/>
  <c r="O1061" i="2"/>
  <c r="O1062" i="2" s="1"/>
  <c r="P1061" i="2"/>
  <c r="P1062" i="2" s="1"/>
  <c r="J1061" i="2"/>
  <c r="J1062" i="2" s="1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4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3" i="1" s="1"/>
  <c r="V634" i="1"/>
  <c r="V386" i="1" s="1"/>
  <c r="V393" i="1" s="1"/>
  <c r="T221" i="1"/>
  <c r="O109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69" i="1"/>
  <c r="P223" i="1"/>
  <c r="F13" i="14"/>
  <c r="H140" i="1"/>
  <c r="T665" i="1"/>
  <c r="T263" i="1"/>
  <c r="T273" i="1" s="1"/>
  <c r="U404" i="1"/>
  <c r="U660" i="1"/>
  <c r="U169" i="1"/>
  <c r="U176" i="1" s="1"/>
  <c r="U662" i="1"/>
  <c r="U425" i="1"/>
  <c r="U190" i="1"/>
  <c r="U196" i="1" s="1"/>
  <c r="U208" i="1" s="1"/>
  <c r="U659" i="1"/>
  <c r="U158" i="1"/>
  <c r="U164" i="1" s="1"/>
  <c r="Q655" i="1"/>
  <c r="Q81" i="1"/>
  <c r="Q95" i="1"/>
  <c r="Q98" i="1" s="1"/>
  <c r="F24" i="2"/>
  <c r="Q126" i="1"/>
  <c r="Q125" i="1"/>
  <c r="Q114" i="1"/>
  <c r="Q127" i="1"/>
  <c r="Q113" i="1"/>
  <c r="Q128" i="1"/>
  <c r="L657" i="1"/>
  <c r="L120" i="1"/>
  <c r="W27" i="1"/>
  <c r="W370" i="1"/>
  <c r="W170" i="1"/>
  <c r="W398" i="1"/>
  <c r="W193" i="1"/>
  <c r="W152" i="1"/>
  <c r="W388" i="1"/>
  <c r="W460" i="1"/>
  <c r="W19" i="1"/>
  <c r="W289" i="1"/>
  <c r="W217" i="1"/>
  <c r="W304" i="1"/>
  <c r="W153" i="1"/>
  <c r="W45" i="1"/>
  <c r="W251" i="1" s="1"/>
  <c r="W162" i="1"/>
  <c r="W150" i="1"/>
  <c r="W512" i="1"/>
  <c r="W147" i="1"/>
  <c r="W295" i="1"/>
  <c r="W389" i="1"/>
  <c r="W253" i="1"/>
  <c r="X2" i="1"/>
  <c r="W510" i="1"/>
  <c r="W411" i="1"/>
  <c r="W101" i="1"/>
  <c r="W410" i="1"/>
  <c r="W299" i="1"/>
  <c r="W39" i="1"/>
  <c r="W456" i="1" s="1"/>
  <c r="W367" i="1"/>
  <c r="W192" i="1"/>
  <c r="W298" i="1"/>
  <c r="W149" i="1"/>
  <c r="W505" i="1"/>
  <c r="W497" i="1"/>
  <c r="W42" i="1"/>
  <c r="W23" i="1"/>
  <c r="W194" i="1"/>
  <c r="W642" i="1"/>
  <c r="W173" i="1"/>
  <c r="W182" i="1"/>
  <c r="W572" i="1"/>
  <c r="W180" i="1"/>
  <c r="W133" i="1"/>
  <c r="W502" i="1"/>
  <c r="W399" i="1"/>
  <c r="W171" i="1"/>
  <c r="W496" i="1"/>
  <c r="W174" i="1"/>
  <c r="W159" i="1"/>
  <c r="W75" i="1"/>
  <c r="W397" i="1"/>
  <c r="W300" i="1"/>
  <c r="W288" i="1"/>
  <c r="W115" i="1"/>
  <c r="W43" i="1"/>
  <c r="W481" i="1" s="1"/>
  <c r="W218" i="1"/>
  <c r="W507" i="1"/>
  <c r="W202" i="1"/>
  <c r="W369" i="1"/>
  <c r="W493" i="1"/>
  <c r="W390" i="1"/>
  <c r="W44" i="1"/>
  <c r="W461" i="1" s="1"/>
  <c r="W400" i="1"/>
  <c r="W412" i="1"/>
  <c r="W432" i="1"/>
  <c r="W151" i="1"/>
  <c r="W509" i="1"/>
  <c r="W503" i="1"/>
  <c r="W65" i="1"/>
  <c r="W294" i="1"/>
  <c r="W376" i="1"/>
  <c r="W641" i="1"/>
  <c r="W33" i="1"/>
  <c r="W161" i="1"/>
  <c r="W287" i="1"/>
  <c r="W511" i="1"/>
  <c r="W296" i="1"/>
  <c r="W391" i="1"/>
  <c r="W506" i="1"/>
  <c r="W573" i="1"/>
  <c r="W201" i="1"/>
  <c r="W46" i="1"/>
  <c r="W494" i="1"/>
  <c r="W148" i="1"/>
  <c r="W41" i="1"/>
  <c r="W479" i="1" s="1"/>
  <c r="W160" i="1"/>
  <c r="W413" i="1"/>
  <c r="W366" i="1"/>
  <c r="W191" i="1"/>
  <c r="W421" i="1"/>
  <c r="W297" i="1"/>
  <c r="W219" i="1"/>
  <c r="W172" i="1"/>
  <c r="W302" i="1"/>
  <c r="W571" i="1"/>
  <c r="W368" i="1"/>
  <c r="W285" i="1"/>
  <c r="W377" i="1"/>
  <c r="W504" i="1"/>
  <c r="W181" i="1"/>
  <c r="W583" i="1"/>
  <c r="W409" i="1"/>
  <c r="W508" i="1"/>
  <c r="W40" i="1"/>
  <c r="W457" i="1" s="1"/>
  <c r="W286" i="1"/>
  <c r="W387" i="1"/>
  <c r="W303" i="1"/>
  <c r="W183" i="1"/>
  <c r="W203" i="1"/>
  <c r="W418" i="1"/>
  <c r="W38" i="1"/>
  <c r="W265" i="1" s="1"/>
  <c r="W378" i="1"/>
  <c r="W74" i="1"/>
  <c r="W379" i="1"/>
  <c r="W431" i="1"/>
  <c r="W495" i="1"/>
  <c r="W204" i="1"/>
  <c r="W301" i="1"/>
  <c r="W66" i="1"/>
  <c r="W420" i="1"/>
  <c r="W365" i="1"/>
  <c r="W591" i="1"/>
  <c r="W419" i="1"/>
  <c r="V653" i="1"/>
  <c r="T651" i="1"/>
  <c r="T77" i="1"/>
  <c r="T79" i="1" s="1"/>
  <c r="T96" i="1" s="1"/>
  <c r="T11" i="1"/>
  <c r="T60" i="1"/>
  <c r="T104" i="1"/>
  <c r="T9" i="1"/>
  <c r="T10" i="1"/>
  <c r="T62" i="1"/>
  <c r="T12" i="1"/>
  <c r="T63" i="1"/>
  <c r="T136" i="1"/>
  <c r="T138" i="1" s="1"/>
  <c r="T105" i="1"/>
  <c r="T13" i="1"/>
  <c r="F314" i="2"/>
  <c r="R185" i="1"/>
  <c r="R187" i="1" s="1"/>
  <c r="R210" i="1" s="1"/>
  <c r="T155" i="1"/>
  <c r="T166" i="1" s="1"/>
  <c r="N308" i="1"/>
  <c r="V291" i="1"/>
  <c r="V631" i="1"/>
  <c r="V364" i="1" s="1"/>
  <c r="V372" i="1" s="1"/>
  <c r="V440" i="1"/>
  <c r="V444" i="1"/>
  <c r="V134" i="1"/>
  <c r="V247" i="1"/>
  <c r="V248" i="1"/>
  <c r="V206" i="1"/>
  <c r="V475" i="1"/>
  <c r="X19" i="2" l="1"/>
  <c r="Y1061" i="2"/>
  <c r="Y1062" i="2" s="1"/>
  <c r="Y1063" i="2" s="1"/>
  <c r="Y649" i="2" s="1"/>
  <c r="W1063" i="2"/>
  <c r="W305" i="2" s="1"/>
  <c r="R125" i="1"/>
  <c r="R128" i="1"/>
  <c r="R81" i="1"/>
  <c r="F27" i="2"/>
  <c r="M27" i="2" s="1"/>
  <c r="R127" i="1"/>
  <c r="R114" i="1"/>
  <c r="R113" i="1"/>
  <c r="R655" i="1"/>
  <c r="R126" i="1"/>
  <c r="V50" i="1"/>
  <c r="V12" i="1" s="1"/>
  <c r="W238" i="1"/>
  <c r="W35" i="1"/>
  <c r="G374" i="2"/>
  <c r="U374" i="2"/>
  <c r="P538" i="1"/>
  <c r="P540" i="1" s="1"/>
  <c r="P542" i="1" s="1"/>
  <c r="P608" i="1"/>
  <c r="P331" i="1"/>
  <c r="W269" i="1"/>
  <c r="O432" i="2"/>
  <c r="K374" i="2"/>
  <c r="Y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6" i="1"/>
  <c r="T259" i="1" s="1"/>
  <c r="T275" i="1" s="1"/>
  <c r="T664" i="1"/>
  <c r="M432" i="2"/>
  <c r="N432" i="2"/>
  <c r="Q432" i="2"/>
  <c r="L432" i="2"/>
  <c r="X432" i="2"/>
  <c r="H432" i="2"/>
  <c r="K432" i="2"/>
  <c r="V430" i="1"/>
  <c r="V434" i="1" s="1"/>
  <c r="U432" i="2"/>
  <c r="Y432" i="2"/>
  <c r="J432" i="2"/>
  <c r="V214" i="1"/>
  <c r="I432" i="2"/>
  <c r="V432" i="2"/>
  <c r="W432" i="2"/>
  <c r="G432" i="2"/>
  <c r="R432" i="2"/>
  <c r="T432" i="2"/>
  <c r="V215" i="1"/>
  <c r="P432" i="2"/>
  <c r="V213" i="1"/>
  <c r="S578" i="1"/>
  <c r="S580" i="1" s="1"/>
  <c r="F317" i="2" s="1"/>
  <c r="S277" i="1"/>
  <c r="W443" i="1"/>
  <c r="X584" i="2"/>
  <c r="S279" i="1"/>
  <c r="S308" i="1" s="1"/>
  <c r="S120" i="1" s="1"/>
  <c r="U221" i="1"/>
  <c r="X526" i="2"/>
  <c r="X643" i="2"/>
  <c r="X13" i="2"/>
  <c r="X356" i="2"/>
  <c r="X473" i="2"/>
  <c r="X72" i="2"/>
  <c r="W480" i="1"/>
  <c r="T241" i="1"/>
  <c r="V103" i="1"/>
  <c r="V482" i="1"/>
  <c r="V637" i="1" s="1"/>
  <c r="V474" i="1" s="1"/>
  <c r="V484" i="1" s="1"/>
  <c r="V257" i="1"/>
  <c r="W477" i="1"/>
  <c r="V135" i="1"/>
  <c r="V463" i="1"/>
  <c r="X185" i="2"/>
  <c r="X300" i="2"/>
  <c r="V271" i="1"/>
  <c r="V256" i="1"/>
  <c r="V254" i="1"/>
  <c r="V67" i="1"/>
  <c r="V64" i="1"/>
  <c r="V76" i="1"/>
  <c r="V255" i="1"/>
  <c r="W266" i="1"/>
  <c r="V585" i="1"/>
  <c r="X472" i="2"/>
  <c r="W249" i="1"/>
  <c r="V576" i="1"/>
  <c r="W445" i="1"/>
  <c r="U1063" i="2"/>
  <c r="U18" i="2" s="1"/>
  <c r="X297" i="2"/>
  <c r="R1063" i="2"/>
  <c r="R77" i="2" s="1"/>
  <c r="X10" i="2"/>
  <c r="W447" i="1"/>
  <c r="W454" i="1"/>
  <c r="W441" i="1"/>
  <c r="W264" i="1"/>
  <c r="W232" i="1"/>
  <c r="X354" i="2"/>
  <c r="X645" i="2"/>
  <c r="W415" i="1"/>
  <c r="W190" i="1" s="1"/>
  <c r="W196" i="1" s="1"/>
  <c r="W267" i="1"/>
  <c r="W574" i="1"/>
  <c r="W250" i="1"/>
  <c r="W478" i="1"/>
  <c r="W592" i="1"/>
  <c r="X69" i="2"/>
  <c r="W440" i="1"/>
  <c r="W631" i="1"/>
  <c r="W364" i="1" s="1"/>
  <c r="W372" i="1" s="1"/>
  <c r="W146" i="1" s="1"/>
  <c r="W155" i="1" s="1"/>
  <c r="X412" i="2"/>
  <c r="X587" i="2"/>
  <c r="W270" i="1"/>
  <c r="X529" i="2"/>
  <c r="X586" i="2"/>
  <c r="X71" i="2"/>
  <c r="X588" i="2"/>
  <c r="X644" i="2"/>
  <c r="X299" i="2"/>
  <c r="W458" i="1"/>
  <c r="X416" i="2"/>
  <c r="Q1063" i="2"/>
  <c r="Q420" i="2" s="1"/>
  <c r="W268" i="1"/>
  <c r="W252" i="1"/>
  <c r="L1063" i="2"/>
  <c r="L353" i="2" s="1"/>
  <c r="X471" i="2"/>
  <c r="X421" i="2"/>
  <c r="X530" i="2"/>
  <c r="X14" i="2"/>
  <c r="X415" i="2"/>
  <c r="U187" i="1"/>
  <c r="V1063" i="2"/>
  <c r="V182" i="2" s="1"/>
  <c r="X242" i="2"/>
  <c r="X414" i="2"/>
  <c r="W459" i="1"/>
  <c r="W643" i="1"/>
  <c r="N1063" i="2"/>
  <c r="N420" i="2" s="1"/>
  <c r="X363" i="2"/>
  <c r="X528" i="2"/>
  <c r="X301" i="2"/>
  <c r="X358" i="2"/>
  <c r="X357" i="2"/>
  <c r="X73" i="2"/>
  <c r="X641" i="2"/>
  <c r="W1049" i="2"/>
  <c r="W19" i="2" s="1"/>
  <c r="Y995" i="2"/>
  <c r="Y356" i="2" s="1"/>
  <c r="Y765" i="2"/>
  <c r="Y1001" i="2"/>
  <c r="Y1003" i="2"/>
  <c r="Y788" i="2"/>
  <c r="Y942" i="2" s="1"/>
  <c r="Y700" i="2"/>
  <c r="Y977" i="2"/>
  <c r="Y789" i="2"/>
  <c r="Y701" i="2"/>
  <c r="Y760" i="2"/>
  <c r="Y697" i="2"/>
  <c r="Y800" i="2" s="1"/>
  <c r="Y998" i="2"/>
  <c r="Y704" i="2"/>
  <c r="Y767" i="2"/>
  <c r="Y976" i="2"/>
  <c r="Y705" i="2"/>
  <c r="Y1002" i="2"/>
  <c r="Y761" i="2"/>
  <c r="Y762" i="2"/>
  <c r="Z2" i="2"/>
  <c r="Y708" i="2"/>
  <c r="Y1087" i="2"/>
  <c r="Y791" i="2"/>
  <c r="Y702" i="2"/>
  <c r="Y1047" i="2"/>
  <c r="Y371" i="2"/>
  <c r="Y426" i="2"/>
  <c r="Y429" i="2"/>
  <c r="Y368" i="2"/>
  <c r="X698" i="2"/>
  <c r="X128" i="2"/>
  <c r="X240" i="2"/>
  <c r="X306" i="2"/>
  <c r="X183" i="2"/>
  <c r="X126" i="2"/>
  <c r="T15" i="1"/>
  <c r="T578" i="1" s="1"/>
  <c r="W48" i="1"/>
  <c r="W76" i="1" s="1"/>
  <c r="T107" i="1"/>
  <c r="U636" i="1"/>
  <c r="U453" i="1" s="1"/>
  <c r="U465" i="1" s="1"/>
  <c r="U664" i="1" s="1"/>
  <c r="R223" i="1"/>
  <c r="R279" i="1" s="1"/>
  <c r="N657" i="1"/>
  <c r="N120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Y314" i="2"/>
  <c r="K314" i="2"/>
  <c r="U314" i="2"/>
  <c r="H314" i="2"/>
  <c r="P314" i="2"/>
  <c r="X314" i="2"/>
  <c r="X170" i="1"/>
  <c r="X294" i="1"/>
  <c r="X376" i="1"/>
  <c r="X509" i="1"/>
  <c r="X502" i="1"/>
  <c r="X183" i="1"/>
  <c r="X180" i="1"/>
  <c r="X387" i="1"/>
  <c r="X400" i="1"/>
  <c r="X512" i="1"/>
  <c r="X150" i="1"/>
  <c r="X44" i="1"/>
  <c r="X461" i="1" s="1"/>
  <c r="X162" i="1"/>
  <c r="X642" i="1"/>
  <c r="X369" i="1"/>
  <c r="X253" i="1"/>
  <c r="X193" i="1"/>
  <c r="X368" i="1"/>
  <c r="X510" i="1"/>
  <c r="X42" i="1"/>
  <c r="X40" i="1"/>
  <c r="X457" i="1" s="1"/>
  <c r="X493" i="1"/>
  <c r="X494" i="1"/>
  <c r="X33" i="1"/>
  <c r="X35" i="1" s="1"/>
  <c r="X45" i="1"/>
  <c r="X458" i="1" s="1"/>
  <c r="X152" i="1"/>
  <c r="X297" i="1"/>
  <c r="X391" i="1"/>
  <c r="X388" i="1"/>
  <c r="X496" i="1"/>
  <c r="X583" i="1"/>
  <c r="X66" i="1"/>
  <c r="X591" i="1"/>
  <c r="X153" i="1"/>
  <c r="X287" i="1"/>
  <c r="X409" i="1"/>
  <c r="X410" i="1"/>
  <c r="X505" i="1"/>
  <c r="X390" i="1"/>
  <c r="X419" i="1"/>
  <c r="X301" i="1"/>
  <c r="X74" i="1"/>
  <c r="X217" i="1"/>
  <c r="X399" i="1"/>
  <c r="X507" i="1"/>
  <c r="X421" i="1"/>
  <c r="X398" i="1"/>
  <c r="X378" i="1"/>
  <c r="X495" i="1"/>
  <c r="X295" i="1"/>
  <c r="X431" i="1"/>
  <c r="X460" i="1"/>
  <c r="X159" i="1"/>
  <c r="X299" i="1"/>
  <c r="X506" i="1"/>
  <c r="X420" i="1"/>
  <c r="X504" i="1"/>
  <c r="X161" i="1"/>
  <c r="X288" i="1"/>
  <c r="X203" i="1"/>
  <c r="X432" i="1"/>
  <c r="X511" i="1"/>
  <c r="X173" i="1"/>
  <c r="X218" i="1"/>
  <c r="X219" i="1"/>
  <c r="X418" i="1"/>
  <c r="X367" i="1"/>
  <c r="X641" i="1"/>
  <c r="X202" i="1"/>
  <c r="X377" i="1"/>
  <c r="X300" i="1"/>
  <c r="X379" i="1"/>
  <c r="X497" i="1"/>
  <c r="X27" i="1"/>
  <c r="X503" i="1"/>
  <c r="X19" i="1"/>
  <c r="X191" i="1"/>
  <c r="X370" i="1"/>
  <c r="X397" i="1"/>
  <c r="X160" i="1"/>
  <c r="X204" i="1"/>
  <c r="X289" i="1"/>
  <c r="X413" i="1"/>
  <c r="X23" i="1"/>
  <c r="X149" i="1"/>
  <c r="X285" i="1"/>
  <c r="X296" i="1"/>
  <c r="X304" i="1"/>
  <c r="X365" i="1"/>
  <c r="X366" i="1"/>
  <c r="X303" i="1"/>
  <c r="X151" i="1"/>
  <c r="X147" i="1"/>
  <c r="X194" i="1"/>
  <c r="X389" i="1"/>
  <c r="X38" i="1"/>
  <c r="X265" i="1" s="1"/>
  <c r="X101" i="1"/>
  <c r="X171" i="1"/>
  <c r="X39" i="1"/>
  <c r="X302" i="1"/>
  <c r="X65" i="1"/>
  <c r="X201" i="1"/>
  <c r="X172" i="1"/>
  <c r="X75" i="1"/>
  <c r="X41" i="1"/>
  <c r="X268" i="1" s="1"/>
  <c r="X115" i="1"/>
  <c r="X46" i="1"/>
  <c r="X174" i="1"/>
  <c r="X182" i="1"/>
  <c r="X298" i="1"/>
  <c r="X43" i="1"/>
  <c r="X252" i="1" s="1"/>
  <c r="X148" i="1"/>
  <c r="X181" i="1"/>
  <c r="X192" i="1"/>
  <c r="X133" i="1"/>
  <c r="X286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Y24" i="2"/>
  <c r="H24" i="2"/>
  <c r="M24" i="2"/>
  <c r="T24" i="2"/>
  <c r="R24" i="2"/>
  <c r="W24" i="2"/>
  <c r="F125" i="2"/>
  <c r="F535" i="2"/>
  <c r="F650" i="2"/>
  <c r="F478" i="2"/>
  <c r="O608" i="1"/>
  <c r="F78" i="2"/>
  <c r="U663" i="1"/>
  <c r="U230" i="1"/>
  <c r="U234" i="1"/>
  <c r="U226" i="1"/>
  <c r="U227" i="1"/>
  <c r="U237" i="1"/>
  <c r="U235" i="1"/>
  <c r="U239" i="1"/>
  <c r="U229" i="1"/>
  <c r="U236" i="1"/>
  <c r="U233" i="1"/>
  <c r="U228" i="1"/>
  <c r="U651" i="1"/>
  <c r="U63" i="1"/>
  <c r="U136" i="1"/>
  <c r="U138" i="1" s="1"/>
  <c r="U62" i="1"/>
  <c r="U77" i="1"/>
  <c r="U79" i="1" s="1"/>
  <c r="U96" i="1" s="1"/>
  <c r="U11" i="1"/>
  <c r="U12" i="1"/>
  <c r="U10" i="1"/>
  <c r="U13" i="1"/>
  <c r="U104" i="1"/>
  <c r="U60" i="1"/>
  <c r="U105" i="1"/>
  <c r="U9" i="1"/>
  <c r="M657" i="1"/>
  <c r="M120" i="1"/>
  <c r="M122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09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2" i="1"/>
  <c r="F1052" i="2"/>
  <c r="J654" i="1"/>
  <c r="J112" i="1"/>
  <c r="V450" i="1"/>
  <c r="W248" i="1"/>
  <c r="W247" i="1"/>
  <c r="W476" i="1"/>
  <c r="W475" i="1"/>
  <c r="W423" i="1"/>
  <c r="W634" i="1"/>
  <c r="W386" i="1" s="1"/>
  <c r="W393" i="1" s="1"/>
  <c r="W206" i="1"/>
  <c r="W306" i="1"/>
  <c r="W446" i="1"/>
  <c r="W444" i="1"/>
  <c r="W575" i="1"/>
  <c r="W635" i="1"/>
  <c r="W396" i="1" s="1"/>
  <c r="W402" i="1" s="1"/>
  <c r="W514" i="1"/>
  <c r="Q130" i="1"/>
  <c r="O538" i="1"/>
  <c r="O540" i="1" s="1"/>
  <c r="O331" i="1"/>
  <c r="O333" i="1" s="1"/>
  <c r="V383" i="1"/>
  <c r="V658" i="1"/>
  <c r="V146" i="1"/>
  <c r="V155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09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0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79" i="1"/>
  <c r="T176" i="1"/>
  <c r="F593" i="2"/>
  <c r="V660" i="1"/>
  <c r="V404" i="1"/>
  <c r="V169" i="1"/>
  <c r="V176" i="1" s="1"/>
  <c r="V661" i="1"/>
  <c r="V179" i="1"/>
  <c r="V185" i="1" s="1"/>
  <c r="V659" i="1"/>
  <c r="V158" i="1"/>
  <c r="V164" i="1" s="1"/>
  <c r="V662" i="1"/>
  <c r="V425" i="1"/>
  <c r="V190" i="1"/>
  <c r="V196" i="1" s="1"/>
  <c r="V208" i="1" s="1"/>
  <c r="M335" i="1"/>
  <c r="M610" i="1"/>
  <c r="F187" i="2"/>
  <c r="X1063" i="2"/>
  <c r="P1063" i="2"/>
  <c r="M1063" i="2"/>
  <c r="K1063" i="2"/>
  <c r="J1063" i="2"/>
  <c r="S1063" i="2"/>
  <c r="T1063" i="2"/>
  <c r="O1063" i="2"/>
  <c r="H1063" i="2"/>
  <c r="I1063" i="2"/>
  <c r="G1062" i="2"/>
  <c r="G244" i="2"/>
  <c r="I244" i="2"/>
  <c r="M244" i="2"/>
  <c r="R244" i="2"/>
  <c r="V244" i="2"/>
  <c r="Q244" i="2"/>
  <c r="U244" i="2"/>
  <c r="X244" i="2"/>
  <c r="H244" i="2"/>
  <c r="L244" i="2"/>
  <c r="N244" i="2"/>
  <c r="T244" i="2"/>
  <c r="S244" i="2"/>
  <c r="W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Y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3" i="1"/>
  <c r="U273" i="1" s="1"/>
  <c r="W291" i="1"/>
  <c r="W633" i="1"/>
  <c r="W375" i="1" s="1"/>
  <c r="W381" i="1" s="1"/>
  <c r="W102" i="1"/>
  <c r="W448" i="1"/>
  <c r="W442" i="1"/>
  <c r="W134" i="1"/>
  <c r="W584" i="1"/>
  <c r="W499" i="1"/>
  <c r="W455" i="1"/>
  <c r="W231" i="1"/>
  <c r="W640" i="1"/>
  <c r="W123" i="1" s="1"/>
  <c r="U166" i="1"/>
  <c r="U427" i="1"/>
  <c r="W182" i="2" l="1"/>
  <c r="W649" i="2"/>
  <c r="W640" i="2"/>
  <c r="W68" i="2"/>
  <c r="W362" i="2"/>
  <c r="W525" i="2"/>
  <c r="H27" i="2"/>
  <c r="W534" i="2"/>
  <c r="W353" i="2"/>
  <c r="W592" i="2"/>
  <c r="W411" i="2"/>
  <c r="W18" i="2"/>
  <c r="W477" i="2"/>
  <c r="W420" i="2"/>
  <c r="W296" i="2"/>
  <c r="W468" i="2"/>
  <c r="W239" i="2"/>
  <c r="W9" i="2"/>
  <c r="W77" i="2"/>
  <c r="W583" i="2"/>
  <c r="Z311" i="2"/>
  <c r="AA311" i="2" s="1"/>
  <c r="AB311" i="2" s="1"/>
  <c r="T27" i="2"/>
  <c r="L27" i="2"/>
  <c r="G27" i="2"/>
  <c r="U27" i="2"/>
  <c r="R27" i="2"/>
  <c r="S27" i="2"/>
  <c r="K27" i="2"/>
  <c r="Q27" i="2"/>
  <c r="X27" i="2"/>
  <c r="Y27" i="2"/>
  <c r="J27" i="2"/>
  <c r="V27" i="2"/>
  <c r="N27" i="2"/>
  <c r="Z27" i="2"/>
  <c r="O27" i="2"/>
  <c r="I27" i="2"/>
  <c r="P27" i="2"/>
  <c r="W27" i="2"/>
  <c r="R130" i="1"/>
  <c r="P656" i="1"/>
  <c r="W50" i="1"/>
  <c r="W60" i="1" s="1"/>
  <c r="P119" i="1"/>
  <c r="F250" i="2"/>
  <c r="X653" i="1"/>
  <c r="S81" i="1"/>
  <c r="X250" i="1"/>
  <c r="S95" i="1"/>
  <c r="S98" i="1" s="1"/>
  <c r="S324" i="1" s="1"/>
  <c r="F30" i="2"/>
  <c r="M30" i="2" s="1"/>
  <c r="S128" i="1"/>
  <c r="S113" i="1"/>
  <c r="S127" i="1"/>
  <c r="S126" i="1"/>
  <c r="S114" i="1"/>
  <c r="S125" i="1"/>
  <c r="V636" i="1"/>
  <c r="V453" i="1" s="1"/>
  <c r="V465" i="1" s="1"/>
  <c r="V664" i="1" s="1"/>
  <c r="S657" i="1"/>
  <c r="U486" i="1"/>
  <c r="U488" i="1" s="1"/>
  <c r="U490" i="1" s="1"/>
  <c r="U516" i="1" s="1"/>
  <c r="T669" i="1"/>
  <c r="V221" i="1"/>
  <c r="N592" i="2"/>
  <c r="V77" i="2"/>
  <c r="V77" i="1"/>
  <c r="V79" i="1" s="1"/>
  <c r="V96" i="1" s="1"/>
  <c r="N534" i="2"/>
  <c r="U77" i="2"/>
  <c r="U9" i="2"/>
  <c r="Q362" i="2"/>
  <c r="U125" i="2"/>
  <c r="U649" i="2"/>
  <c r="Q640" i="2"/>
  <c r="N9" i="2"/>
  <c r="N477" i="2"/>
  <c r="R362" i="2"/>
  <c r="V62" i="1"/>
  <c r="T277" i="1"/>
  <c r="N411" i="2"/>
  <c r="R411" i="2"/>
  <c r="U210" i="1"/>
  <c r="U223" i="1" s="1"/>
  <c r="R592" i="2"/>
  <c r="U534" i="2"/>
  <c r="U411" i="2"/>
  <c r="U640" i="2"/>
  <c r="N640" i="2"/>
  <c r="R182" i="2"/>
  <c r="X640" i="1"/>
  <c r="X123" i="1" s="1"/>
  <c r="N18" i="2"/>
  <c r="R649" i="2"/>
  <c r="R525" i="2"/>
  <c r="R18" i="2"/>
  <c r="R640" i="2"/>
  <c r="U525" i="2"/>
  <c r="N296" i="2"/>
  <c r="R583" i="2"/>
  <c r="R468" i="2"/>
  <c r="R420" i="2"/>
  <c r="V640" i="2"/>
  <c r="V18" i="2"/>
  <c r="V68" i="2"/>
  <c r="R239" i="2"/>
  <c r="V9" i="2"/>
  <c r="U182" i="2"/>
  <c r="N353" i="2"/>
  <c r="R353" i="2"/>
  <c r="R305" i="2"/>
  <c r="R68" i="2"/>
  <c r="V477" i="2"/>
  <c r="R477" i="2"/>
  <c r="R534" i="2"/>
  <c r="R9" i="2"/>
  <c r="V583" i="2"/>
  <c r="R296" i="2"/>
  <c r="V296" i="2"/>
  <c r="Y13" i="2"/>
  <c r="L77" i="2"/>
  <c r="L525" i="2"/>
  <c r="V468" i="2"/>
  <c r="Y358" i="2"/>
  <c r="L411" i="2"/>
  <c r="V305" i="2"/>
  <c r="L592" i="2"/>
  <c r="V353" i="2"/>
  <c r="Y128" i="2"/>
  <c r="X643" i="1"/>
  <c r="X213" i="1" s="1"/>
  <c r="X231" i="1"/>
  <c r="X574" i="1"/>
  <c r="X134" i="1"/>
  <c r="X267" i="1"/>
  <c r="U107" i="1"/>
  <c r="X448" i="1"/>
  <c r="Y534" i="2"/>
  <c r="Y296" i="2"/>
  <c r="T69" i="1"/>
  <c r="T655" i="1" s="1"/>
  <c r="U239" i="2"/>
  <c r="U362" i="2"/>
  <c r="N68" i="2"/>
  <c r="N239" i="2"/>
  <c r="Q305" i="2"/>
  <c r="Q18" i="2"/>
  <c r="Q534" i="2"/>
  <c r="V13" i="1"/>
  <c r="V651" i="1"/>
  <c r="V9" i="1"/>
  <c r="V10" i="1"/>
  <c r="N362" i="2"/>
  <c r="N649" i="2"/>
  <c r="Q411" i="2"/>
  <c r="Q525" i="2"/>
  <c r="Q68" i="2"/>
  <c r="X478" i="1"/>
  <c r="V63" i="1"/>
  <c r="Q296" i="2"/>
  <c r="U468" i="2"/>
  <c r="U477" i="2"/>
  <c r="U68" i="2"/>
  <c r="N583" i="2"/>
  <c r="N77" i="2"/>
  <c r="Q583" i="2"/>
  <c r="Q477" i="2"/>
  <c r="Q77" i="2"/>
  <c r="V136" i="1"/>
  <c r="V138" i="1" s="1"/>
  <c r="Q353" i="2"/>
  <c r="U583" i="2"/>
  <c r="U305" i="2"/>
  <c r="U353" i="2"/>
  <c r="U592" i="2"/>
  <c r="N468" i="2"/>
  <c r="N525" i="2"/>
  <c r="Q468" i="2"/>
  <c r="Q239" i="2"/>
  <c r="Q592" i="2"/>
  <c r="V105" i="1"/>
  <c r="Y528" i="2"/>
  <c r="U420" i="2"/>
  <c r="U296" i="2"/>
  <c r="N305" i="2"/>
  <c r="N182" i="2"/>
  <c r="Q182" i="2"/>
  <c r="Q9" i="2"/>
  <c r="V104" i="1"/>
  <c r="V60" i="1"/>
  <c r="V586" i="1" s="1"/>
  <c r="V588" i="1" s="1"/>
  <c r="F377" i="2" s="1"/>
  <c r="Q649" i="2"/>
  <c r="V11" i="1"/>
  <c r="Q125" i="2"/>
  <c r="X269" i="1"/>
  <c r="W662" i="1"/>
  <c r="Y301" i="2"/>
  <c r="Y415" i="2"/>
  <c r="L239" i="2"/>
  <c r="Y244" i="2"/>
  <c r="L9" i="2"/>
  <c r="W425" i="1"/>
  <c r="X440" i="1"/>
  <c r="W658" i="1"/>
  <c r="Y588" i="2"/>
  <c r="Y357" i="2"/>
  <c r="V125" i="2"/>
  <c r="L583" i="2"/>
  <c r="L477" i="2"/>
  <c r="L362" i="2"/>
  <c r="L640" i="2"/>
  <c r="X423" i="1"/>
  <c r="X232" i="1"/>
  <c r="Y185" i="2"/>
  <c r="Y644" i="2"/>
  <c r="Y473" i="2"/>
  <c r="Y12" i="2"/>
  <c r="L182" i="2"/>
  <c r="L68" i="2"/>
  <c r="Y242" i="2"/>
  <c r="Y72" i="2"/>
  <c r="L125" i="2"/>
  <c r="X480" i="1"/>
  <c r="Y71" i="2"/>
  <c r="Y14" i="2"/>
  <c r="W135" i="1"/>
  <c r="X479" i="1"/>
  <c r="X270" i="1"/>
  <c r="Y18" i="2"/>
  <c r="T580" i="1"/>
  <c r="F318" i="2" s="1"/>
  <c r="Y77" i="2"/>
  <c r="Y300" i="2"/>
  <c r="Y525" i="2"/>
  <c r="Y305" i="2"/>
  <c r="W585" i="1"/>
  <c r="Y68" i="2"/>
  <c r="Y583" i="2"/>
  <c r="Y530" i="2"/>
  <c r="L305" i="2"/>
  <c r="L468" i="2"/>
  <c r="V420" i="2"/>
  <c r="V534" i="2"/>
  <c r="V411" i="2"/>
  <c r="W125" i="2"/>
  <c r="W271" i="1"/>
  <c r="Y592" i="2"/>
  <c r="Y125" i="2"/>
  <c r="Y239" i="2"/>
  <c r="X251" i="1"/>
  <c r="X249" i="1"/>
  <c r="X635" i="1"/>
  <c r="X396" i="1" s="1"/>
  <c r="X402" i="1" s="1"/>
  <c r="X661" i="1" s="1"/>
  <c r="Y73" i="2"/>
  <c r="Y645" i="2"/>
  <c r="Y414" i="2"/>
  <c r="Y477" i="2"/>
  <c r="Y411" i="2"/>
  <c r="Y643" i="2"/>
  <c r="Y698" i="2"/>
  <c r="L534" i="2"/>
  <c r="L18" i="2"/>
  <c r="L420" i="2"/>
  <c r="V362" i="2"/>
  <c r="V525" i="2"/>
  <c r="V649" i="2"/>
  <c r="N125" i="2"/>
  <c r="R125" i="2"/>
  <c r="Y353" i="2"/>
  <c r="Y182" i="2"/>
  <c r="Y9" i="2"/>
  <c r="Z24" i="2"/>
  <c r="AA24" i="2" s="1"/>
  <c r="AB24" i="2" s="1"/>
  <c r="X266" i="1"/>
  <c r="Z314" i="2"/>
  <c r="AA314" i="2" s="1"/>
  <c r="AB314" i="2" s="1"/>
  <c r="Y586" i="2"/>
  <c r="Y416" i="2"/>
  <c r="Y587" i="2"/>
  <c r="Y299" i="2"/>
  <c r="Y420" i="2"/>
  <c r="W208" i="1"/>
  <c r="Y640" i="2"/>
  <c r="X102" i="1"/>
  <c r="X447" i="1"/>
  <c r="L649" i="2"/>
  <c r="L296" i="2"/>
  <c r="V592" i="2"/>
  <c r="V239" i="2"/>
  <c r="Y468" i="2"/>
  <c r="Y362" i="2"/>
  <c r="X441" i="1"/>
  <c r="Y471" i="2"/>
  <c r="Y472" i="2"/>
  <c r="Y529" i="2"/>
  <c r="W215" i="1"/>
  <c r="W214" i="1"/>
  <c r="W430" i="1"/>
  <c r="W434" i="1" s="1"/>
  <c r="W216" i="1"/>
  <c r="W213" i="1"/>
  <c r="Z704" i="2"/>
  <c r="AA704" i="2" s="1"/>
  <c r="AB704" i="2" s="1"/>
  <c r="Z1002" i="2"/>
  <c r="AA1002" i="2" s="1"/>
  <c r="AB1002" i="2" s="1"/>
  <c r="Z762" i="2"/>
  <c r="AA762" i="2" s="1"/>
  <c r="AB762" i="2" s="1"/>
  <c r="Z765" i="2"/>
  <c r="AA765" i="2" s="1"/>
  <c r="AB765" i="2" s="1"/>
  <c r="Z1003" i="2"/>
  <c r="AA1003" i="2" s="1"/>
  <c r="AB1003" i="2" s="1"/>
  <c r="Z791" i="2"/>
  <c r="AA791" i="2" s="1"/>
  <c r="AB791" i="2" s="1"/>
  <c r="Z761" i="2"/>
  <c r="AA761" i="2" s="1"/>
  <c r="AB761" i="2" s="1"/>
  <c r="AA2" i="2"/>
  <c r="AB2" i="2" s="1"/>
  <c r="Z789" i="2"/>
  <c r="AA789" i="2" s="1"/>
  <c r="AB789" i="2" s="1"/>
  <c r="Z700" i="2"/>
  <c r="AA700" i="2" s="1"/>
  <c r="AB700" i="2" s="1"/>
  <c r="Z767" i="2"/>
  <c r="AA767" i="2" s="1"/>
  <c r="AB767" i="2" s="1"/>
  <c r="Z760" i="2"/>
  <c r="AA760" i="2" s="1"/>
  <c r="AB760" i="2" s="1"/>
  <c r="Z976" i="2"/>
  <c r="AA976" i="2" s="1"/>
  <c r="AB976" i="2" s="1"/>
  <c r="Z1001" i="2"/>
  <c r="AA1001" i="2" s="1"/>
  <c r="AB1001" i="2" s="1"/>
  <c r="Z788" i="2"/>
  <c r="Z998" i="2"/>
  <c r="AA998" i="2" s="1"/>
  <c r="AB998" i="2" s="1"/>
  <c r="Z708" i="2"/>
  <c r="AA708" i="2" s="1"/>
  <c r="AB708" i="2" s="1"/>
  <c r="Z1087" i="2"/>
  <c r="AA1087" i="2" s="1"/>
  <c r="AB1087" i="2" s="1"/>
  <c r="Z977" i="2"/>
  <c r="AA977" i="2" s="1"/>
  <c r="AB977" i="2" s="1"/>
  <c r="Z705" i="2"/>
  <c r="AA705" i="2" s="1"/>
  <c r="AB705" i="2" s="1"/>
  <c r="Z702" i="2"/>
  <c r="AA702" i="2" s="1"/>
  <c r="AB702" i="2" s="1"/>
  <c r="Z995" i="2"/>
  <c r="Z357" i="2" s="1"/>
  <c r="Z697" i="2"/>
  <c r="Z701" i="2"/>
  <c r="AA701" i="2" s="1"/>
  <c r="AB701" i="2" s="1"/>
  <c r="Z1047" i="2"/>
  <c r="Z1048" i="2" s="1"/>
  <c r="Z1049" i="2" s="1"/>
  <c r="Z584" i="2" s="1"/>
  <c r="Z371" i="2"/>
  <c r="AA371" i="2" s="1"/>
  <c r="AB371" i="2" s="1"/>
  <c r="Z368" i="2"/>
  <c r="AA368" i="2" s="1"/>
  <c r="AB368" i="2" s="1"/>
  <c r="Z429" i="2"/>
  <c r="AA429" i="2" s="1"/>
  <c r="AB429" i="2" s="1"/>
  <c r="Z426" i="2"/>
  <c r="AA426" i="2" s="1"/>
  <c r="AB426" i="2" s="1"/>
  <c r="Z432" i="2"/>
  <c r="AA432" i="2" s="1"/>
  <c r="AB432" i="2" s="1"/>
  <c r="Z374" i="2"/>
  <c r="AA374" i="2" s="1"/>
  <c r="AB374" i="2" s="1"/>
  <c r="Z1061" i="2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421" i="2"/>
  <c r="W363" i="2"/>
  <c r="Y1048" i="2"/>
  <c r="W450" i="1"/>
  <c r="W235" i="1" s="1"/>
  <c r="Q538" i="1"/>
  <c r="Q540" i="1" s="1"/>
  <c r="Q656" i="1" s="1"/>
  <c r="X481" i="1"/>
  <c r="X247" i="1"/>
  <c r="W652" i="1"/>
  <c r="W576" i="1"/>
  <c r="W103" i="1"/>
  <c r="W463" i="1"/>
  <c r="W256" i="1"/>
  <c r="W593" i="1"/>
  <c r="W462" i="1"/>
  <c r="W64" i="1"/>
  <c r="W257" i="1"/>
  <c r="W67" i="1"/>
  <c r="W482" i="1"/>
  <c r="W637" i="1" s="1"/>
  <c r="W474" i="1" s="1"/>
  <c r="W484" i="1" s="1"/>
  <c r="W255" i="1"/>
  <c r="W254" i="1"/>
  <c r="X48" i="1"/>
  <c r="X256" i="1" s="1"/>
  <c r="U246" i="1"/>
  <c r="U259" i="1" s="1"/>
  <c r="U275" i="1" s="1"/>
  <c r="Q331" i="1"/>
  <c r="Q333" i="1" s="1"/>
  <c r="Q335" i="1" s="1"/>
  <c r="U15" i="1"/>
  <c r="U669" i="1" s="1"/>
  <c r="X264" i="1"/>
  <c r="X444" i="1"/>
  <c r="X445" i="1"/>
  <c r="X575" i="1"/>
  <c r="X584" i="1"/>
  <c r="X592" i="1"/>
  <c r="X238" i="1"/>
  <c r="X442" i="1"/>
  <c r="X446" i="1"/>
  <c r="X443" i="1"/>
  <c r="W659" i="1"/>
  <c r="W158" i="1"/>
  <c r="W164" i="1" s="1"/>
  <c r="W166" i="1" s="1"/>
  <c r="L656" i="1"/>
  <c r="L542" i="1"/>
  <c r="F243" i="2"/>
  <c r="L119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6" i="1"/>
  <c r="K598" i="2"/>
  <c r="M598" i="2"/>
  <c r="T598" i="2"/>
  <c r="R598" i="2"/>
  <c r="Z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Z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Z433" i="2"/>
  <c r="O335" i="1"/>
  <c r="O610" i="1"/>
  <c r="F192" i="2"/>
  <c r="V663" i="1"/>
  <c r="V236" i="1"/>
  <c r="V239" i="1"/>
  <c r="V235" i="1"/>
  <c r="V233" i="1"/>
  <c r="V228" i="1"/>
  <c r="V226" i="1"/>
  <c r="V230" i="1"/>
  <c r="V234" i="1"/>
  <c r="V227" i="1"/>
  <c r="V237" i="1"/>
  <c r="V229" i="1"/>
  <c r="AA1052" i="2"/>
  <c r="AB1052" i="2" s="1"/>
  <c r="F1054" i="2"/>
  <c r="F486" i="2"/>
  <c r="R608" i="1"/>
  <c r="H658" i="2"/>
  <c r="N658" i="2"/>
  <c r="R658" i="2"/>
  <c r="U658" i="2"/>
  <c r="Z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Z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X478" i="2"/>
  <c r="P478" i="2"/>
  <c r="G478" i="2"/>
  <c r="K478" i="2"/>
  <c r="I478" i="2"/>
  <c r="H478" i="2"/>
  <c r="M478" i="2"/>
  <c r="F480" i="2"/>
  <c r="T650" i="2"/>
  <c r="Q650" i="2"/>
  <c r="L650" i="2"/>
  <c r="J650" i="2"/>
  <c r="X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X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G1063" i="2"/>
  <c r="V166" i="1"/>
  <c r="V427" i="1"/>
  <c r="U241" i="1"/>
  <c r="X206" i="1"/>
  <c r="X631" i="1"/>
  <c r="X364" i="1" s="1"/>
  <c r="X372" i="1" s="1"/>
  <c r="X29" i="1"/>
  <c r="X455" i="1"/>
  <c r="X456" i="1"/>
  <c r="X459" i="1"/>
  <c r="X248" i="1"/>
  <c r="X475" i="1"/>
  <c r="X415" i="1"/>
  <c r="X499" i="1"/>
  <c r="X634" i="1"/>
  <c r="X386" i="1" s="1"/>
  <c r="X393" i="1" s="1"/>
  <c r="X306" i="1"/>
  <c r="L610" i="1"/>
  <c r="L335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296" i="2"/>
  <c r="X9" i="2"/>
  <c r="X649" i="2"/>
  <c r="X182" i="2"/>
  <c r="X525" i="2"/>
  <c r="X592" i="2"/>
  <c r="X640" i="2"/>
  <c r="X68" i="2"/>
  <c r="X18" i="2"/>
  <c r="X125" i="2"/>
  <c r="X583" i="2"/>
  <c r="X353" i="2"/>
  <c r="X477" i="2"/>
  <c r="X239" i="2"/>
  <c r="X411" i="2"/>
  <c r="X362" i="2"/>
  <c r="X468" i="2"/>
  <c r="I187" i="2"/>
  <c r="G187" i="2"/>
  <c r="L187" i="2"/>
  <c r="N187" i="2"/>
  <c r="R187" i="2"/>
  <c r="S187" i="2"/>
  <c r="U187" i="2"/>
  <c r="X187" i="2"/>
  <c r="H187" i="2"/>
  <c r="M187" i="2"/>
  <c r="Q187" i="2"/>
  <c r="V187" i="2"/>
  <c r="T187" i="2"/>
  <c r="W187" i="2"/>
  <c r="Y187" i="2"/>
  <c r="K187" i="2"/>
  <c r="J187" i="2"/>
  <c r="O187" i="2"/>
  <c r="P187" i="2"/>
  <c r="M654" i="1"/>
  <c r="M112" i="1"/>
  <c r="M116" i="1" s="1"/>
  <c r="M140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7" i="1"/>
  <c r="T210" i="1" s="1"/>
  <c r="T223" i="1" s="1"/>
  <c r="P333" i="1"/>
  <c r="P308" i="1"/>
  <c r="F483" i="2"/>
  <c r="Q608" i="1"/>
  <c r="K655" i="2"/>
  <c r="L655" i="2"/>
  <c r="P655" i="2"/>
  <c r="R655" i="2"/>
  <c r="Z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Z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Z375" i="2"/>
  <c r="O542" i="1"/>
  <c r="O656" i="1"/>
  <c r="F249" i="2"/>
  <c r="O119" i="1"/>
  <c r="O122" i="1" s="1"/>
  <c r="W661" i="1"/>
  <c r="W179" i="1"/>
  <c r="W185" i="1" s="1"/>
  <c r="W660" i="1"/>
  <c r="W404" i="1"/>
  <c r="W169" i="1"/>
  <c r="W176" i="1" s="1"/>
  <c r="V665" i="1"/>
  <c r="V263" i="1"/>
  <c r="V273" i="1" s="1"/>
  <c r="J116" i="1"/>
  <c r="J601" i="2"/>
  <c r="N601" i="2"/>
  <c r="T601" i="2"/>
  <c r="V601" i="2"/>
  <c r="Z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Z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8" i="1"/>
  <c r="Y174" i="1"/>
  <c r="Y191" i="1"/>
  <c r="Y388" i="1"/>
  <c r="Y44" i="1"/>
  <c r="Y461" i="1" s="1"/>
  <c r="Y115" i="1"/>
  <c r="Y27" i="1"/>
  <c r="Y192" i="1"/>
  <c r="Y287" i="1"/>
  <c r="Y285" i="1"/>
  <c r="Y201" i="1"/>
  <c r="Y147" i="1"/>
  <c r="Y193" i="1"/>
  <c r="Y289" i="1"/>
  <c r="Y503" i="1"/>
  <c r="Y19" i="1"/>
  <c r="Y150" i="1"/>
  <c r="Y40" i="1"/>
  <c r="Y457" i="1" s="1"/>
  <c r="Y160" i="1"/>
  <c r="Y409" i="1"/>
  <c r="Y413" i="1"/>
  <c r="Y512" i="1"/>
  <c r="Y181" i="1"/>
  <c r="Y182" i="1"/>
  <c r="Y151" i="1"/>
  <c r="Y46" i="1"/>
  <c r="Y39" i="1"/>
  <c r="Y266" i="1" s="1"/>
  <c r="Y23" i="1"/>
  <c r="Y219" i="1"/>
  <c r="Y410" i="1"/>
  <c r="Y217" i="1"/>
  <c r="Y288" i="1"/>
  <c r="Y369" i="1"/>
  <c r="Y33" i="1"/>
  <c r="Y153" i="1"/>
  <c r="Y218" i="1"/>
  <c r="Y299" i="1"/>
  <c r="Y365" i="1"/>
  <c r="Y400" i="1"/>
  <c r="Y398" i="1"/>
  <c r="Y303" i="1"/>
  <c r="Y296" i="1"/>
  <c r="Y418" i="1"/>
  <c r="Y378" i="1"/>
  <c r="Y202" i="1"/>
  <c r="Y173" i="1"/>
  <c r="Y294" i="1"/>
  <c r="Y74" i="1"/>
  <c r="Y286" i="1"/>
  <c r="Y203" i="1"/>
  <c r="Y298" i="1"/>
  <c r="Y399" i="1"/>
  <c r="Y65" i="1"/>
  <c r="Y66" i="1"/>
  <c r="Y508" i="1"/>
  <c r="Y172" i="1"/>
  <c r="Y101" i="1"/>
  <c r="Y194" i="1"/>
  <c r="Y391" i="1"/>
  <c r="Y496" i="1"/>
  <c r="Y41" i="1"/>
  <c r="Y479" i="1" s="1"/>
  <c r="Y397" i="1"/>
  <c r="Y412" i="1"/>
  <c r="Y510" i="1"/>
  <c r="Y253" i="1"/>
  <c r="Y368" i="1"/>
  <c r="Y460" i="1"/>
  <c r="Y504" i="1"/>
  <c r="Z2" i="1"/>
  <c r="Y494" i="1"/>
  <c r="Y420" i="1"/>
  <c r="Y370" i="1"/>
  <c r="Y509" i="1"/>
  <c r="Y170" i="1"/>
  <c r="Y376" i="1"/>
  <c r="Y301" i="1"/>
  <c r="Y390" i="1"/>
  <c r="Y183" i="1"/>
  <c r="Y511" i="1"/>
  <c r="Y204" i="1"/>
  <c r="Y171" i="1"/>
  <c r="Y432" i="1"/>
  <c r="Y505" i="1"/>
  <c r="Y419" i="1"/>
  <c r="Y379" i="1"/>
  <c r="Y300" i="1"/>
  <c r="Y366" i="1"/>
  <c r="Y297" i="1"/>
  <c r="Y45" i="1"/>
  <c r="Y480" i="1" s="1"/>
  <c r="Y152" i="1"/>
  <c r="Y641" i="1"/>
  <c r="Y367" i="1"/>
  <c r="Y180" i="1"/>
  <c r="Y377" i="1"/>
  <c r="Y591" i="1"/>
  <c r="Y149" i="1"/>
  <c r="Y161" i="1"/>
  <c r="Y162" i="1"/>
  <c r="Y38" i="1"/>
  <c r="Y475" i="1" s="1"/>
  <c r="Y42" i="1"/>
  <c r="Y507" i="1"/>
  <c r="Y583" i="1"/>
  <c r="Y133" i="1"/>
  <c r="Y387" i="1"/>
  <c r="Y421" i="1"/>
  <c r="Y497" i="1"/>
  <c r="Y502" i="1"/>
  <c r="Y431" i="1"/>
  <c r="Y642" i="1"/>
  <c r="Y506" i="1"/>
  <c r="Y43" i="1"/>
  <c r="Y459" i="1" s="1"/>
  <c r="Y75" i="1"/>
  <c r="Y389" i="1"/>
  <c r="Y302" i="1"/>
  <c r="Y295" i="1"/>
  <c r="Y495" i="1"/>
  <c r="Y411" i="1"/>
  <c r="Y493" i="1"/>
  <c r="Y159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Z317" i="2"/>
  <c r="X317" i="2"/>
  <c r="V187" i="1"/>
  <c r="X291" i="1"/>
  <c r="X477" i="1"/>
  <c r="X454" i="1"/>
  <c r="X476" i="1"/>
  <c r="X514" i="1"/>
  <c r="X633" i="1"/>
  <c r="X375" i="1" s="1"/>
  <c r="X381" i="1" s="1"/>
  <c r="W383" i="1"/>
  <c r="Z19" i="2" l="1"/>
  <c r="Y35" i="1"/>
  <c r="AA27" i="2"/>
  <c r="AB27" i="2" s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V107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09" i="1"/>
  <c r="F89" i="2" s="1"/>
  <c r="R89" i="2" s="1"/>
  <c r="S598" i="1"/>
  <c r="F489" i="2" s="1"/>
  <c r="S604" i="1"/>
  <c r="F661" i="2" s="1"/>
  <c r="I661" i="2" s="1"/>
  <c r="V30" i="2"/>
  <c r="N30" i="2"/>
  <c r="S130" i="1"/>
  <c r="V486" i="1"/>
  <c r="V488" i="1" s="1"/>
  <c r="V490" i="1" s="1"/>
  <c r="V516" i="1" s="1"/>
  <c r="V246" i="1"/>
  <c r="V259" i="1" s="1"/>
  <c r="V275" i="1" s="1"/>
  <c r="AA357" i="2"/>
  <c r="AB357" i="2" s="1"/>
  <c r="X216" i="1"/>
  <c r="X214" i="1"/>
  <c r="X215" i="1"/>
  <c r="T127" i="1"/>
  <c r="Z650" i="2"/>
  <c r="F31" i="2"/>
  <c r="H31" i="2" s="1"/>
  <c r="Z78" i="2"/>
  <c r="Z593" i="2"/>
  <c r="V536" i="1"/>
  <c r="T114" i="1"/>
  <c r="T128" i="1"/>
  <c r="T113" i="1"/>
  <c r="T81" i="1"/>
  <c r="Z297" i="2"/>
  <c r="U69" i="1"/>
  <c r="U128" i="1" s="1"/>
  <c r="T126" i="1"/>
  <c r="T95" i="1"/>
  <c r="T98" i="1" s="1"/>
  <c r="T321" i="1" s="1"/>
  <c r="T125" i="1"/>
  <c r="W105" i="1"/>
  <c r="Y592" i="1"/>
  <c r="U578" i="1"/>
  <c r="U580" i="1" s="1"/>
  <c r="F319" i="2" s="1"/>
  <c r="W62" i="1"/>
  <c r="Y584" i="1"/>
  <c r="X179" i="1"/>
  <c r="X185" i="1" s="1"/>
  <c r="Y441" i="1"/>
  <c r="Y446" i="1"/>
  <c r="W636" i="1"/>
  <c r="W453" i="1" s="1"/>
  <c r="W465" i="1" s="1"/>
  <c r="W246" i="1" s="1"/>
  <c r="W259" i="1" s="1"/>
  <c r="Z478" i="2"/>
  <c r="Z535" i="2"/>
  <c r="AA1047" i="2"/>
  <c r="AB1047" i="2" s="1"/>
  <c r="W226" i="1"/>
  <c r="Z10" i="2"/>
  <c r="V15" i="1"/>
  <c r="V669" i="1" s="1"/>
  <c r="Y477" i="1"/>
  <c r="W236" i="1"/>
  <c r="Z306" i="2"/>
  <c r="W665" i="1"/>
  <c r="W263" i="1"/>
  <c r="W273" i="1" s="1"/>
  <c r="V667" i="1"/>
  <c r="V594" i="1"/>
  <c r="V596" i="1" s="1"/>
  <c r="F435" i="2" s="1"/>
  <c r="N435" i="2" s="1"/>
  <c r="W229" i="1"/>
  <c r="X254" i="1"/>
  <c r="Z471" i="2"/>
  <c r="AA471" i="2" s="1"/>
  <c r="AB471" i="2" s="1"/>
  <c r="V328" i="1"/>
  <c r="Z354" i="2"/>
  <c r="Z529" i="2"/>
  <c r="AA529" i="2" s="1"/>
  <c r="AB529" i="2" s="1"/>
  <c r="Z530" i="2"/>
  <c r="AA530" i="2" s="1"/>
  <c r="AB530" i="2" s="1"/>
  <c r="V535" i="1"/>
  <c r="Z469" i="2"/>
  <c r="Z358" i="2"/>
  <c r="AA358" i="2" s="1"/>
  <c r="AB358" i="2" s="1"/>
  <c r="Z472" i="2"/>
  <c r="AA472" i="2" s="1"/>
  <c r="AB472" i="2" s="1"/>
  <c r="V329" i="1"/>
  <c r="Z363" i="2"/>
  <c r="V577" i="1"/>
  <c r="F254" i="2"/>
  <c r="H254" i="2" s="1"/>
  <c r="U277" i="1"/>
  <c r="Z641" i="2"/>
  <c r="Q119" i="1"/>
  <c r="Q122" i="1" s="1"/>
  <c r="Z71" i="2"/>
  <c r="AA71" i="2" s="1"/>
  <c r="AB71" i="2" s="1"/>
  <c r="W9" i="1"/>
  <c r="W12" i="1"/>
  <c r="Z299" i="2"/>
  <c r="AA299" i="2" s="1"/>
  <c r="AB299" i="2" s="1"/>
  <c r="Z416" i="2"/>
  <c r="AA416" i="2" s="1"/>
  <c r="AB416" i="2" s="1"/>
  <c r="W77" i="1"/>
  <c r="W79" i="1" s="1"/>
  <c r="W96" i="1" s="1"/>
  <c r="W651" i="1"/>
  <c r="X450" i="1"/>
  <c r="X239" i="1" s="1"/>
  <c r="Z412" i="2"/>
  <c r="Z69" i="2"/>
  <c r="Z526" i="2"/>
  <c r="Z473" i="2"/>
  <c r="AA473" i="2" s="1"/>
  <c r="AB473" i="2" s="1"/>
  <c r="Z12" i="2"/>
  <c r="AA12" i="2" s="1"/>
  <c r="AB12" i="2" s="1"/>
  <c r="W104" i="1"/>
  <c r="W136" i="1"/>
  <c r="W138" i="1" s="1"/>
  <c r="W63" i="1"/>
  <c r="W10" i="1"/>
  <c r="Z185" i="2"/>
  <c r="AA185" i="2" s="1"/>
  <c r="AB185" i="2" s="1"/>
  <c r="Y478" i="1"/>
  <c r="Z187" i="2"/>
  <c r="AA187" i="2" s="1"/>
  <c r="AB187" i="2" s="1"/>
  <c r="W11" i="1"/>
  <c r="F197" i="2"/>
  <c r="T197" i="2" s="1"/>
  <c r="Z421" i="2"/>
  <c r="Z240" i="2"/>
  <c r="Z183" i="2"/>
  <c r="Z301" i="2"/>
  <c r="AA301" i="2" s="1"/>
  <c r="AB301" i="2" s="1"/>
  <c r="Z300" i="2"/>
  <c r="AA300" i="2" s="1"/>
  <c r="AB300" i="2" s="1"/>
  <c r="Z13" i="2"/>
  <c r="AA13" i="2" s="1"/>
  <c r="AB13" i="2" s="1"/>
  <c r="Y248" i="1"/>
  <c r="W13" i="1"/>
  <c r="Z126" i="2"/>
  <c r="Z586" i="2"/>
  <c r="AA586" i="2" s="1"/>
  <c r="AB586" i="2" s="1"/>
  <c r="Z587" i="2"/>
  <c r="AA587" i="2" s="1"/>
  <c r="AB587" i="2" s="1"/>
  <c r="Q610" i="1"/>
  <c r="Z643" i="2"/>
  <c r="AA643" i="2" s="1"/>
  <c r="AB643" i="2" s="1"/>
  <c r="Z73" i="2"/>
  <c r="AA73" i="2" s="1"/>
  <c r="AB73" i="2" s="1"/>
  <c r="Z72" i="2"/>
  <c r="AA72" i="2" s="1"/>
  <c r="AB72" i="2" s="1"/>
  <c r="Q542" i="1"/>
  <c r="X255" i="1"/>
  <c r="X271" i="1"/>
  <c r="Y232" i="1"/>
  <c r="Y238" i="1"/>
  <c r="Y249" i="1"/>
  <c r="Y456" i="1"/>
  <c r="W239" i="1"/>
  <c r="W663" i="1"/>
  <c r="X135" i="1"/>
  <c r="Z128" i="2"/>
  <c r="AA128" i="2" s="1"/>
  <c r="AB128" i="2" s="1"/>
  <c r="Z528" i="2"/>
  <c r="AA528" i="2" s="1"/>
  <c r="AB528" i="2" s="1"/>
  <c r="Z242" i="2"/>
  <c r="AA242" i="2" s="1"/>
  <c r="AB242" i="2" s="1"/>
  <c r="Z414" i="2"/>
  <c r="AA414" i="2" s="1"/>
  <c r="AB414" i="2" s="1"/>
  <c r="Z415" i="2"/>
  <c r="AA415" i="2" s="1"/>
  <c r="AB415" i="2" s="1"/>
  <c r="W228" i="1"/>
  <c r="X482" i="1"/>
  <c r="X637" i="1" s="1"/>
  <c r="X474" i="1" s="1"/>
  <c r="X484" i="1" s="1"/>
  <c r="W227" i="1"/>
  <c r="W230" i="1"/>
  <c r="X64" i="1"/>
  <c r="X462" i="1"/>
  <c r="W427" i="1"/>
  <c r="Y448" i="1"/>
  <c r="Y574" i="1"/>
  <c r="W237" i="1"/>
  <c r="W233" i="1"/>
  <c r="Z645" i="2"/>
  <c r="AA645" i="2" s="1"/>
  <c r="AB645" i="2" s="1"/>
  <c r="Z644" i="2"/>
  <c r="AA644" i="2" s="1"/>
  <c r="AB644" i="2" s="1"/>
  <c r="Z356" i="2"/>
  <c r="AA356" i="2" s="1"/>
  <c r="AB356" i="2" s="1"/>
  <c r="Y231" i="1"/>
  <c r="Y444" i="1"/>
  <c r="Y267" i="1"/>
  <c r="W234" i="1"/>
  <c r="Z588" i="2"/>
  <c r="AA588" i="2" s="1"/>
  <c r="AB588" i="2" s="1"/>
  <c r="Z14" i="2"/>
  <c r="AA14" i="2" s="1"/>
  <c r="AB14" i="2" s="1"/>
  <c r="W221" i="1"/>
  <c r="Y1049" i="2"/>
  <c r="AA1048" i="2"/>
  <c r="AB1048" i="2" s="1"/>
  <c r="Z1062" i="2"/>
  <c r="AA1061" i="2"/>
  <c r="AB1061" i="2" s="1"/>
  <c r="Z800" i="2"/>
  <c r="AA800" i="2" s="1"/>
  <c r="AB800" i="2" s="1"/>
  <c r="AA697" i="2"/>
  <c r="AB697" i="2" s="1"/>
  <c r="Z942" i="2"/>
  <c r="AA788" i="2"/>
  <c r="AB788" i="2" s="1"/>
  <c r="Z698" i="2"/>
  <c r="AA698" i="2" s="1"/>
  <c r="AB698" i="2" s="1"/>
  <c r="Z244" i="2"/>
  <c r="AA244" i="2" s="1"/>
  <c r="AB244" i="2" s="1"/>
  <c r="AA995" i="2"/>
  <c r="AB995" i="2" s="1"/>
  <c r="Y514" i="1"/>
  <c r="Y445" i="1"/>
  <c r="Y268" i="1"/>
  <c r="Y635" i="1"/>
  <c r="Y396" i="1" s="1"/>
  <c r="Y402" i="1" s="1"/>
  <c r="Y661" i="1" s="1"/>
  <c r="Y250" i="1"/>
  <c r="X652" i="1"/>
  <c r="X76" i="1"/>
  <c r="X463" i="1"/>
  <c r="X103" i="1"/>
  <c r="X67" i="1"/>
  <c r="X585" i="1"/>
  <c r="X576" i="1"/>
  <c r="X257" i="1"/>
  <c r="X593" i="1"/>
  <c r="Y447" i="1"/>
  <c r="Y458" i="1"/>
  <c r="Y102" i="1"/>
  <c r="Y575" i="1"/>
  <c r="Y443" i="1"/>
  <c r="Y476" i="1"/>
  <c r="Y442" i="1"/>
  <c r="Y264" i="1"/>
  <c r="Y440" i="1"/>
  <c r="Y499" i="1"/>
  <c r="Y134" i="1"/>
  <c r="U279" i="1"/>
  <c r="U308" i="1" s="1"/>
  <c r="Y481" i="1"/>
  <c r="Y270" i="1"/>
  <c r="Y247" i="1"/>
  <c r="Y454" i="1"/>
  <c r="W187" i="1"/>
  <c r="W210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0" i="1"/>
  <c r="AA375" i="2"/>
  <c r="AB375" i="2" s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0" i="1"/>
  <c r="P122" i="1" s="1"/>
  <c r="H186" i="2"/>
  <c r="L186" i="2"/>
  <c r="Q186" i="2"/>
  <c r="S186" i="2"/>
  <c r="U186" i="2"/>
  <c r="W186" i="2"/>
  <c r="Z186" i="2"/>
  <c r="K186" i="2"/>
  <c r="G186" i="2"/>
  <c r="I186" i="2"/>
  <c r="N186" i="2"/>
  <c r="M186" i="2"/>
  <c r="R186" i="2"/>
  <c r="T186" i="2"/>
  <c r="V186" i="2"/>
  <c r="X186" i="2"/>
  <c r="Y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69" i="1"/>
  <c r="X176" i="1" s="1"/>
  <c r="X662" i="1"/>
  <c r="X425" i="1"/>
  <c r="X190" i="1"/>
  <c r="X196" i="1" s="1"/>
  <c r="X208" i="1" s="1"/>
  <c r="X658" i="1"/>
  <c r="X383" i="1"/>
  <c r="X146" i="1"/>
  <c r="X155" i="1" s="1"/>
  <c r="F604" i="2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54" i="2"/>
  <c r="K1054" i="2"/>
  <c r="K1055" i="2" s="1"/>
  <c r="J1054" i="2"/>
  <c r="J1055" i="2" s="1"/>
  <c r="N1054" i="2"/>
  <c r="N1055" i="2" s="1"/>
  <c r="L1054" i="2"/>
  <c r="L1055" i="2" s="1"/>
  <c r="R1054" i="2"/>
  <c r="R1055" i="2" s="1"/>
  <c r="T1054" i="2"/>
  <c r="T1055" i="2" s="1"/>
  <c r="Q1054" i="2"/>
  <c r="Q1055" i="2" s="1"/>
  <c r="W1054" i="2"/>
  <c r="W1055" i="2" s="1"/>
  <c r="Y1054" i="2"/>
  <c r="Y1055" i="2" s="1"/>
  <c r="F1055" i="2"/>
  <c r="H1054" i="2"/>
  <c r="H1055" i="2" s="1"/>
  <c r="I1054" i="2"/>
  <c r="I1055" i="2" s="1"/>
  <c r="M1054" i="2"/>
  <c r="M1055" i="2" s="1"/>
  <c r="P1054" i="2"/>
  <c r="P1055" i="2" s="1"/>
  <c r="O1054" i="2"/>
  <c r="O1055" i="2" s="1"/>
  <c r="S1054" i="2"/>
  <c r="S1055" i="2" s="1"/>
  <c r="U1054" i="2"/>
  <c r="U1055" i="2" s="1"/>
  <c r="V1054" i="2"/>
  <c r="V1055" i="2" s="1"/>
  <c r="V1056" i="2" s="1"/>
  <c r="V20" i="2" s="1"/>
  <c r="V21" i="2" s="1"/>
  <c r="X1054" i="2"/>
  <c r="X1055" i="2" s="1"/>
  <c r="Z1054" i="2"/>
  <c r="Z1055" i="2" s="1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Z192" i="2"/>
  <c r="H192" i="2"/>
  <c r="I192" i="2"/>
  <c r="G192" i="2"/>
  <c r="M192" i="2"/>
  <c r="K192" i="2"/>
  <c r="O654" i="1"/>
  <c r="O112" i="1"/>
  <c r="O116" i="1" s="1"/>
  <c r="O140" i="1" s="1"/>
  <c r="F135" i="2" s="1"/>
  <c r="AA433" i="2"/>
  <c r="AB433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2" i="1"/>
  <c r="Q654" i="1"/>
  <c r="Q112" i="1"/>
  <c r="Q116" i="1" s="1"/>
  <c r="Y269" i="1"/>
  <c r="Y252" i="1"/>
  <c r="Y251" i="1"/>
  <c r="Y634" i="1"/>
  <c r="Y386" i="1" s="1"/>
  <c r="Y393" i="1" s="1"/>
  <c r="Y643" i="1"/>
  <c r="Y306" i="1"/>
  <c r="Y423" i="1"/>
  <c r="Y631" i="1"/>
  <c r="Y364" i="1" s="1"/>
  <c r="Y372" i="1" s="1"/>
  <c r="Y640" i="1"/>
  <c r="Y123" i="1" s="1"/>
  <c r="Y206" i="1"/>
  <c r="AA540" i="2"/>
  <c r="AB540" i="2" s="1"/>
  <c r="X659" i="1"/>
  <c r="X158" i="1"/>
  <c r="X164" i="1" s="1"/>
  <c r="AA317" i="2"/>
  <c r="AB317" i="2" s="1"/>
  <c r="Z298" i="1"/>
  <c r="Z304" i="1"/>
  <c r="Z411" i="1"/>
  <c r="Z159" i="1"/>
  <c r="Z160" i="1"/>
  <c r="Z494" i="1"/>
  <c r="Z512" i="1"/>
  <c r="Z19" i="1"/>
  <c r="Z133" i="1"/>
  <c r="Z174" i="1"/>
  <c r="Z506" i="1"/>
  <c r="Z171" i="1"/>
  <c r="Z66" i="1"/>
  <c r="Z204" i="1"/>
  <c r="Z387" i="1"/>
  <c r="Z368" i="1"/>
  <c r="Z400" i="1"/>
  <c r="Z412" i="1"/>
  <c r="Z170" i="1"/>
  <c r="Z46" i="1"/>
  <c r="Z367" i="1"/>
  <c r="Z642" i="1"/>
  <c r="Z45" i="1"/>
  <c r="Z269" i="1" s="1"/>
  <c r="Z191" i="1"/>
  <c r="Z192" i="1"/>
  <c r="Z379" i="1"/>
  <c r="Z289" i="1"/>
  <c r="Z193" i="1"/>
  <c r="Z217" i="1"/>
  <c r="Z419" i="1"/>
  <c r="Z505" i="1"/>
  <c r="Z431" i="1"/>
  <c r="Z508" i="1"/>
  <c r="Z218" i="1"/>
  <c r="Z153" i="1"/>
  <c r="Z101" i="1"/>
  <c r="Z180" i="1"/>
  <c r="Z183" i="1"/>
  <c r="Z39" i="1"/>
  <c r="Z266" i="1" s="1"/>
  <c r="Z161" i="1"/>
  <c r="Z366" i="1"/>
  <c r="Z573" i="1"/>
  <c r="Z376" i="1"/>
  <c r="Z296" i="1"/>
  <c r="Z301" i="1"/>
  <c r="Z295" i="1"/>
  <c r="Z496" i="1"/>
  <c r="Z41" i="1"/>
  <c r="Z268" i="1" s="1"/>
  <c r="Z74" i="1"/>
  <c r="Z399" i="1"/>
  <c r="Z302" i="1"/>
  <c r="Z203" i="1"/>
  <c r="Z503" i="1"/>
  <c r="Z432" i="1"/>
  <c r="Z493" i="1"/>
  <c r="Z23" i="1"/>
  <c r="Z33" i="1"/>
  <c r="Z44" i="1"/>
  <c r="Z461" i="1" s="1"/>
  <c r="Z150" i="1"/>
  <c r="Z75" i="1"/>
  <c r="Z172" i="1"/>
  <c r="Z115" i="1"/>
  <c r="Z497" i="1"/>
  <c r="Z152" i="1"/>
  <c r="Z162" i="1"/>
  <c r="Z413" i="1"/>
  <c r="Z398" i="1"/>
  <c r="Z287" i="1"/>
  <c r="Z288" i="1"/>
  <c r="Z510" i="1"/>
  <c r="Z297" i="1"/>
  <c r="Z378" i="1"/>
  <c r="Z460" i="1"/>
  <c r="Z202" i="1"/>
  <c r="Z572" i="1"/>
  <c r="Z370" i="1"/>
  <c r="Z504" i="1"/>
  <c r="Z38" i="1"/>
  <c r="Z265" i="1" s="1"/>
  <c r="Z151" i="1"/>
  <c r="Z27" i="1"/>
  <c r="Z182" i="1"/>
  <c r="Z377" i="1"/>
  <c r="Z509" i="1"/>
  <c r="Z388" i="1"/>
  <c r="Z389" i="1"/>
  <c r="Z391" i="1"/>
  <c r="Z418" i="1"/>
  <c r="Z365" i="1"/>
  <c r="Z286" i="1"/>
  <c r="AA2" i="1"/>
  <c r="Z511" i="1"/>
  <c r="Z495" i="1"/>
  <c r="Z201" i="1"/>
  <c r="Z148" i="1"/>
  <c r="Z253" i="1"/>
  <c r="Z299" i="1"/>
  <c r="Z571" i="1"/>
  <c r="Z420" i="1"/>
  <c r="Z421" i="1"/>
  <c r="Z369" i="1"/>
  <c r="Z583" i="1"/>
  <c r="Z507" i="1"/>
  <c r="Z641" i="1"/>
  <c r="Z149" i="1"/>
  <c r="Z43" i="1"/>
  <c r="Z252" i="1" s="1"/>
  <c r="Z147" i="1"/>
  <c r="Z591" i="1"/>
  <c r="Z303" i="1"/>
  <c r="Z294" i="1"/>
  <c r="Z173" i="1"/>
  <c r="Z409" i="1"/>
  <c r="Z42" i="1"/>
  <c r="Z40" i="1"/>
  <c r="Z267" i="1" s="1"/>
  <c r="Z65" i="1"/>
  <c r="Z194" i="1"/>
  <c r="Z410" i="1"/>
  <c r="Z285" i="1"/>
  <c r="Z181" i="1"/>
  <c r="Z219" i="1"/>
  <c r="Z390" i="1"/>
  <c r="Z300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Z249" i="2"/>
  <c r="R249" i="2"/>
  <c r="O249" i="2"/>
  <c r="I249" i="2"/>
  <c r="G249" i="2"/>
  <c r="M249" i="2"/>
  <c r="H249" i="2"/>
  <c r="K249" i="2"/>
  <c r="P335" i="1"/>
  <c r="P610" i="1"/>
  <c r="F193" i="2"/>
  <c r="T279" i="1"/>
  <c r="G130" i="2"/>
  <c r="K130" i="2"/>
  <c r="M130" i="2"/>
  <c r="Q130" i="2"/>
  <c r="S130" i="2"/>
  <c r="U130" i="2"/>
  <c r="W130" i="2"/>
  <c r="Y130" i="2"/>
  <c r="I130" i="2"/>
  <c r="H130" i="2"/>
  <c r="N130" i="2"/>
  <c r="L130" i="2"/>
  <c r="R130" i="2"/>
  <c r="T130" i="2"/>
  <c r="V130" i="2"/>
  <c r="X130" i="2"/>
  <c r="Z130" i="2"/>
  <c r="J130" i="2"/>
  <c r="O130" i="2"/>
  <c r="P130" i="2"/>
  <c r="L654" i="1"/>
  <c r="L112" i="1"/>
  <c r="X668" i="1"/>
  <c r="X572" i="1"/>
  <c r="X573" i="1"/>
  <c r="X571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6" i="1"/>
  <c r="R542" i="1"/>
  <c r="R119" i="1"/>
  <c r="F257" i="2"/>
  <c r="R657" i="1"/>
  <c r="R120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667" i="1"/>
  <c r="W536" i="1"/>
  <c r="W328" i="1"/>
  <c r="W577" i="1"/>
  <c r="W586" i="1"/>
  <c r="W588" i="1" s="1"/>
  <c r="F378" i="2" s="1"/>
  <c r="W535" i="1"/>
  <c r="W594" i="1"/>
  <c r="W596" i="1" s="1"/>
  <c r="F436" i="2" s="1"/>
  <c r="W329" i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Y243" i="2"/>
  <c r="W243" i="2"/>
  <c r="H243" i="2"/>
  <c r="I243" i="2"/>
  <c r="M243" i="2"/>
  <c r="K243" i="2"/>
  <c r="U243" i="2"/>
  <c r="R243" i="2"/>
  <c r="X243" i="2"/>
  <c r="V243" i="2"/>
  <c r="Z243" i="2"/>
  <c r="O243" i="2"/>
  <c r="P243" i="2"/>
  <c r="J243" i="2"/>
  <c r="F245" i="2"/>
  <c r="Y48" i="1"/>
  <c r="Y633" i="1"/>
  <c r="Y375" i="1" s="1"/>
  <c r="Y381" i="1" s="1"/>
  <c r="Y265" i="1"/>
  <c r="Y455" i="1"/>
  <c r="Y415" i="1"/>
  <c r="Y29" i="1"/>
  <c r="Y291" i="1"/>
  <c r="AA543" i="2"/>
  <c r="AB543" i="2" s="1"/>
  <c r="AA601" i="2"/>
  <c r="AB601" i="2" s="1"/>
  <c r="AA83" i="2"/>
  <c r="AB83" i="2" s="1"/>
  <c r="AA655" i="2"/>
  <c r="AB655" i="2" s="1"/>
  <c r="V210" i="1"/>
  <c r="V223" i="1" s="1"/>
  <c r="AA86" i="2"/>
  <c r="AB86" i="2" s="1"/>
  <c r="AA658" i="2"/>
  <c r="AB658" i="2" s="1"/>
  <c r="V241" i="1"/>
  <c r="AA598" i="2"/>
  <c r="AB598" i="2" s="1"/>
  <c r="Y192" i="2" l="1"/>
  <c r="AA192" i="2" s="1"/>
  <c r="AB192" i="2" s="1"/>
  <c r="Y19" i="2"/>
  <c r="AA19" i="2" s="1"/>
  <c r="AB19" i="2" s="1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1" i="1"/>
  <c r="Z31" i="2"/>
  <c r="I31" i="2"/>
  <c r="X31" i="2"/>
  <c r="W31" i="2"/>
  <c r="T31" i="2"/>
  <c r="V31" i="2"/>
  <c r="R31" i="2"/>
  <c r="L31" i="2"/>
  <c r="Q31" i="2"/>
  <c r="O31" i="2"/>
  <c r="M31" i="2"/>
  <c r="S31" i="2"/>
  <c r="J31" i="2"/>
  <c r="P31" i="2"/>
  <c r="N31" i="2"/>
  <c r="Y31" i="2"/>
  <c r="K31" i="2"/>
  <c r="G31" i="2"/>
  <c r="U31" i="2"/>
  <c r="Z592" i="1"/>
  <c r="Q254" i="2"/>
  <c r="V254" i="2"/>
  <c r="T254" i="2"/>
  <c r="T130" i="1"/>
  <c r="W107" i="1"/>
  <c r="S254" i="2"/>
  <c r="M254" i="2"/>
  <c r="L254" i="2"/>
  <c r="I254" i="2"/>
  <c r="O254" i="2"/>
  <c r="J254" i="2"/>
  <c r="U113" i="1"/>
  <c r="U125" i="1"/>
  <c r="U114" i="1"/>
  <c r="T600" i="1"/>
  <c r="F547" i="2" s="1"/>
  <c r="Y547" i="2" s="1"/>
  <c r="T109" i="1"/>
  <c r="F90" i="2" s="1"/>
  <c r="J90" i="2" s="1"/>
  <c r="S335" i="1"/>
  <c r="S112" i="1" s="1"/>
  <c r="S116" i="1" s="1"/>
  <c r="U81" i="1"/>
  <c r="T602" i="1"/>
  <c r="F605" i="2" s="1"/>
  <c r="L605" i="2" s="1"/>
  <c r="X187" i="1"/>
  <c r="T529" i="1"/>
  <c r="U126" i="1"/>
  <c r="U655" i="1"/>
  <c r="T604" i="1"/>
  <c r="F662" i="2" s="1"/>
  <c r="S662" i="2" s="1"/>
  <c r="X227" i="1"/>
  <c r="F32" i="2"/>
  <c r="X32" i="2" s="1"/>
  <c r="U95" i="1"/>
  <c r="U98" i="1" s="1"/>
  <c r="U600" i="1" s="1"/>
  <c r="F548" i="2" s="1"/>
  <c r="T606" i="1"/>
  <c r="X234" i="1"/>
  <c r="T598" i="1"/>
  <c r="U127" i="1"/>
  <c r="T325" i="1"/>
  <c r="T532" i="1"/>
  <c r="X233" i="1"/>
  <c r="T324" i="1"/>
  <c r="X229" i="1"/>
  <c r="V277" i="1"/>
  <c r="Z574" i="1"/>
  <c r="W275" i="1"/>
  <c r="U435" i="2"/>
  <c r="W664" i="1"/>
  <c r="Y435" i="2"/>
  <c r="W486" i="1"/>
  <c r="W488" i="1" s="1"/>
  <c r="W490" i="1" s="1"/>
  <c r="W516" i="1" s="1"/>
  <c r="L435" i="2"/>
  <c r="X235" i="1"/>
  <c r="X228" i="1"/>
  <c r="X237" i="1"/>
  <c r="X663" i="1"/>
  <c r="Y179" i="1"/>
  <c r="Y185" i="1" s="1"/>
  <c r="X230" i="1"/>
  <c r="W15" i="1"/>
  <c r="W69" i="1" s="1"/>
  <c r="X226" i="1"/>
  <c r="X236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F437" i="2"/>
  <c r="O435" i="2"/>
  <c r="S435" i="2"/>
  <c r="Z435" i="2"/>
  <c r="M435" i="2"/>
  <c r="P435" i="2"/>
  <c r="X435" i="2"/>
  <c r="K435" i="2"/>
  <c r="R197" i="2"/>
  <c r="X197" i="2"/>
  <c r="W223" i="1"/>
  <c r="K197" i="2"/>
  <c r="W241" i="1"/>
  <c r="G197" i="2"/>
  <c r="V197" i="2"/>
  <c r="Z248" i="1"/>
  <c r="O197" i="2"/>
  <c r="Z455" i="1"/>
  <c r="Z643" i="1"/>
  <c r="Z430" i="1" s="1"/>
  <c r="Z434" i="1" s="1"/>
  <c r="Q140" i="1"/>
  <c r="F140" i="2" s="1"/>
  <c r="P140" i="2" s="1"/>
  <c r="N197" i="2"/>
  <c r="Y197" i="2"/>
  <c r="J197" i="2"/>
  <c r="L197" i="2"/>
  <c r="U197" i="2"/>
  <c r="Z197" i="2"/>
  <c r="H197" i="2"/>
  <c r="Z249" i="1"/>
  <c r="Q197" i="2"/>
  <c r="W197" i="2"/>
  <c r="I197" i="2"/>
  <c r="M197" i="2"/>
  <c r="S197" i="2"/>
  <c r="P1056" i="2"/>
  <c r="Y450" i="1"/>
  <c r="Y226" i="1" s="1"/>
  <c r="Z479" i="1"/>
  <c r="Z456" i="1"/>
  <c r="P197" i="2"/>
  <c r="Y249" i="2"/>
  <c r="AA249" i="2" s="1"/>
  <c r="AB249" i="2" s="1"/>
  <c r="Z134" i="1"/>
  <c r="Z440" i="1"/>
  <c r="Z635" i="1"/>
  <c r="Z396" i="1" s="1"/>
  <c r="Z402" i="1" s="1"/>
  <c r="Z661" i="1" s="1"/>
  <c r="Z1056" i="2"/>
  <c r="I1056" i="2"/>
  <c r="X636" i="1"/>
  <c r="X453" i="1" s="1"/>
  <c r="X465" i="1" s="1"/>
  <c r="X486" i="1" s="1"/>
  <c r="X488" i="1" s="1"/>
  <c r="Z478" i="1"/>
  <c r="Z251" i="1"/>
  <c r="X1056" i="2"/>
  <c r="U1056" i="2"/>
  <c r="X427" i="1"/>
  <c r="Z584" i="1"/>
  <c r="Z446" i="1"/>
  <c r="Z457" i="1"/>
  <c r="S1056" i="2"/>
  <c r="Z270" i="1"/>
  <c r="Z102" i="1"/>
  <c r="Z458" i="1"/>
  <c r="Y354" i="2"/>
  <c r="AA354" i="2" s="1"/>
  <c r="AB354" i="2" s="1"/>
  <c r="Y126" i="2"/>
  <c r="AA126" i="2" s="1"/>
  <c r="AB126" i="2" s="1"/>
  <c r="Y10" i="2"/>
  <c r="AA10" i="2" s="1"/>
  <c r="AB10" i="2" s="1"/>
  <c r="Y297" i="2"/>
  <c r="AA297" i="2" s="1"/>
  <c r="AB297" i="2" s="1"/>
  <c r="Y641" i="2"/>
  <c r="AA641" i="2" s="1"/>
  <c r="AB641" i="2" s="1"/>
  <c r="Y306" i="2"/>
  <c r="AA306" i="2" s="1"/>
  <c r="AB306" i="2" s="1"/>
  <c r="Y584" i="2"/>
  <c r="AA584" i="2" s="1"/>
  <c r="AB584" i="2" s="1"/>
  <c r="Y69" i="2"/>
  <c r="AA69" i="2" s="1"/>
  <c r="AB69" i="2" s="1"/>
  <c r="Y183" i="2"/>
  <c r="AA183" i="2" s="1"/>
  <c r="AB183" i="2" s="1"/>
  <c r="Y412" i="2"/>
  <c r="AA412" i="2" s="1"/>
  <c r="AB412" i="2" s="1"/>
  <c r="Y421" i="2"/>
  <c r="AA421" i="2" s="1"/>
  <c r="AB421" i="2" s="1"/>
  <c r="Y469" i="2"/>
  <c r="AA469" i="2" s="1"/>
  <c r="AB469" i="2" s="1"/>
  <c r="Y363" i="2"/>
  <c r="AA363" i="2" s="1"/>
  <c r="AB363" i="2" s="1"/>
  <c r="Y526" i="2"/>
  <c r="AA526" i="2" s="1"/>
  <c r="AB526" i="2" s="1"/>
  <c r="Y240" i="2"/>
  <c r="AA240" i="2" s="1"/>
  <c r="AB240" i="2" s="1"/>
  <c r="AA1049" i="2"/>
  <c r="AB1049" i="2" s="1"/>
  <c r="Y78" i="2"/>
  <c r="AA78" i="2" s="1"/>
  <c r="AB78" i="2" s="1"/>
  <c r="Y650" i="2"/>
  <c r="AA650" i="2" s="1"/>
  <c r="AB650" i="2" s="1"/>
  <c r="Y593" i="2"/>
  <c r="AA593" i="2" s="1"/>
  <c r="AB593" i="2" s="1"/>
  <c r="Y478" i="2"/>
  <c r="AA478" i="2" s="1"/>
  <c r="AB478" i="2" s="1"/>
  <c r="Y535" i="2"/>
  <c r="AA535" i="2" s="1"/>
  <c r="AB535" i="2" s="1"/>
  <c r="Z1063" i="2"/>
  <c r="AA1062" i="2"/>
  <c r="AB1062" i="2" s="1"/>
  <c r="K1056" i="2"/>
  <c r="Z481" i="1"/>
  <c r="Z459" i="1"/>
  <c r="Z447" i="1"/>
  <c r="Z444" i="1"/>
  <c r="Z445" i="1"/>
  <c r="Z575" i="1"/>
  <c r="Z238" i="1"/>
  <c r="Z443" i="1"/>
  <c r="Z247" i="1"/>
  <c r="Z448" i="1"/>
  <c r="Z231" i="1"/>
  <c r="Z291" i="1"/>
  <c r="Z480" i="1"/>
  <c r="O1056" i="2"/>
  <c r="M1056" i="2"/>
  <c r="H1056" i="2"/>
  <c r="H20" i="2" s="1"/>
  <c r="H21" i="2" s="1"/>
  <c r="V279" i="1"/>
  <c r="V308" i="1" s="1"/>
  <c r="Z514" i="1"/>
  <c r="Z415" i="1"/>
  <c r="Z190" i="1" s="1"/>
  <c r="Z196" i="1" s="1"/>
  <c r="Z206" i="1"/>
  <c r="X665" i="1"/>
  <c r="X263" i="1"/>
  <c r="X273" i="1" s="1"/>
  <c r="Y668" i="1"/>
  <c r="Y571" i="1"/>
  <c r="Y572" i="1"/>
  <c r="Y573" i="1"/>
  <c r="Y659" i="1"/>
  <c r="Y158" i="1"/>
  <c r="Y164" i="1" s="1"/>
  <c r="Y652" i="1"/>
  <c r="Y585" i="1"/>
  <c r="Y254" i="1"/>
  <c r="Y255" i="1"/>
  <c r="Y256" i="1"/>
  <c r="Y463" i="1"/>
  <c r="Y67" i="1"/>
  <c r="Y271" i="1"/>
  <c r="Y135" i="1"/>
  <c r="Y64" i="1"/>
  <c r="Y482" i="1"/>
  <c r="Y637" i="1" s="1"/>
  <c r="Y474" i="1" s="1"/>
  <c r="Y484" i="1" s="1"/>
  <c r="Y76" i="1"/>
  <c r="Y257" i="1"/>
  <c r="Y593" i="1"/>
  <c r="Y576" i="1"/>
  <c r="Y462" i="1"/>
  <c r="Y103" i="1"/>
  <c r="O436" i="2"/>
  <c r="Z436" i="2"/>
  <c r="N436" i="2"/>
  <c r="N437" i="2" s="1"/>
  <c r="T436" i="2"/>
  <c r="I436" i="2"/>
  <c r="P436" i="2"/>
  <c r="J436" i="2"/>
  <c r="Q436" i="2"/>
  <c r="Y436" i="2"/>
  <c r="G436" i="2"/>
  <c r="W436" i="2"/>
  <c r="L436" i="2"/>
  <c r="R436" i="2"/>
  <c r="V436" i="2"/>
  <c r="K436" i="2"/>
  <c r="X436" i="2"/>
  <c r="M436" i="2"/>
  <c r="S436" i="2"/>
  <c r="H436" i="2"/>
  <c r="U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6" i="1"/>
  <c r="P654" i="1"/>
  <c r="P112" i="1"/>
  <c r="P116" i="1" s="1"/>
  <c r="P140" i="1" s="1"/>
  <c r="F136" i="2" s="1"/>
  <c r="AA431" i="1"/>
  <c r="AB2" i="1"/>
  <c r="AA153" i="1"/>
  <c r="AA289" i="1"/>
  <c r="AA150" i="1"/>
  <c r="AA288" i="1"/>
  <c r="AA203" i="1"/>
  <c r="AA41" i="1"/>
  <c r="AA268" i="1" s="1"/>
  <c r="AA115" i="1"/>
  <c r="AA365" i="1"/>
  <c r="AA297" i="1"/>
  <c r="AA193" i="1"/>
  <c r="AA387" i="1"/>
  <c r="AA302" i="1"/>
  <c r="AA45" i="1"/>
  <c r="AA269" i="1" s="1"/>
  <c r="AA286" i="1"/>
  <c r="AA377" i="1"/>
  <c r="AA510" i="1"/>
  <c r="AA495" i="1"/>
  <c r="AA23" i="1"/>
  <c r="AA40" i="1"/>
  <c r="AA250" i="1" s="1"/>
  <c r="AA75" i="1"/>
  <c r="AA171" i="1"/>
  <c r="AA496" i="1"/>
  <c r="AA182" i="1"/>
  <c r="AA301" i="1"/>
  <c r="AA298" i="1"/>
  <c r="AA508" i="1"/>
  <c r="AA389" i="1"/>
  <c r="AA149" i="1"/>
  <c r="AA378" i="1"/>
  <c r="AA493" i="1"/>
  <c r="AA170" i="1"/>
  <c r="AA192" i="1"/>
  <c r="AA512" i="1"/>
  <c r="AA39" i="1"/>
  <c r="AA477" i="1" s="1"/>
  <c r="AA411" i="1"/>
  <c r="AA101" i="1"/>
  <c r="AA641" i="1"/>
  <c r="AA219" i="1"/>
  <c r="AA38" i="1"/>
  <c r="AA247" i="1" s="1"/>
  <c r="AA460" i="1"/>
  <c r="AA418" i="1"/>
  <c r="AA398" i="1"/>
  <c r="AA506" i="1"/>
  <c r="AA571" i="1"/>
  <c r="AA173" i="1"/>
  <c r="AA27" i="1"/>
  <c r="AA161" i="1"/>
  <c r="AA432" i="1"/>
  <c r="AA642" i="1"/>
  <c r="AA174" i="1"/>
  <c r="AA397" i="1"/>
  <c r="AA497" i="1"/>
  <c r="AA368" i="1"/>
  <c r="AA502" i="1"/>
  <c r="AA511" i="1"/>
  <c r="AA390" i="1"/>
  <c r="AA43" i="1"/>
  <c r="AA270" i="1" s="1"/>
  <c r="AA160" i="1"/>
  <c r="AA181" i="1"/>
  <c r="AA159" i="1"/>
  <c r="AA66" i="1"/>
  <c r="AA287" i="1"/>
  <c r="AA366" i="1"/>
  <c r="AA583" i="1"/>
  <c r="AA296" i="1"/>
  <c r="AA410" i="1"/>
  <c r="AA409" i="1"/>
  <c r="AA304" i="1"/>
  <c r="AA303" i="1"/>
  <c r="AA591" i="1"/>
  <c r="AA148" i="1"/>
  <c r="AA367" i="1"/>
  <c r="AA46" i="1"/>
  <c r="AA504" i="1"/>
  <c r="AA19" i="1"/>
  <c r="AA162" i="1"/>
  <c r="AA253" i="1"/>
  <c r="AA183" i="1"/>
  <c r="AA202" i="1"/>
  <c r="AA379" i="1"/>
  <c r="AA413" i="1"/>
  <c r="AA573" i="1"/>
  <c r="AA421" i="1"/>
  <c r="AA65" i="1"/>
  <c r="AA42" i="1"/>
  <c r="AA44" i="1"/>
  <c r="AA461" i="1" s="1"/>
  <c r="AA133" i="1"/>
  <c r="AA370" i="1"/>
  <c r="AA295" i="1"/>
  <c r="AA505" i="1"/>
  <c r="AA172" i="1"/>
  <c r="AA391" i="1"/>
  <c r="AA503" i="1"/>
  <c r="AA412" i="1"/>
  <c r="AA33" i="1"/>
  <c r="AA152" i="1"/>
  <c r="AA294" i="1"/>
  <c r="AA376" i="1"/>
  <c r="AA74" i="1"/>
  <c r="AA218" i="1"/>
  <c r="AA180" i="1"/>
  <c r="AA151" i="1"/>
  <c r="AA509" i="1"/>
  <c r="AA191" i="1"/>
  <c r="AA217" i="1"/>
  <c r="AA300" i="1"/>
  <c r="AA147" i="1"/>
  <c r="AA400" i="1"/>
  <c r="AA388" i="1"/>
  <c r="AA369" i="1"/>
  <c r="AA299" i="1"/>
  <c r="AA494" i="1"/>
  <c r="AA507" i="1"/>
  <c r="AA399" i="1"/>
  <c r="AA204" i="1"/>
  <c r="AA201" i="1"/>
  <c r="AA194" i="1"/>
  <c r="AA285" i="1"/>
  <c r="AA419" i="1"/>
  <c r="AA420" i="1"/>
  <c r="AA572" i="1"/>
  <c r="Y213" i="1"/>
  <c r="Y430" i="1"/>
  <c r="Y434" i="1" s="1"/>
  <c r="Y216" i="1"/>
  <c r="Y214" i="1"/>
  <c r="Y215" i="1"/>
  <c r="Y404" i="1"/>
  <c r="Y660" i="1"/>
  <c r="Y169" i="1"/>
  <c r="Y176" i="1" s="1"/>
  <c r="AA186" i="2"/>
  <c r="AB186" i="2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0" i="1"/>
  <c r="AA243" i="2"/>
  <c r="AB243" i="2" s="1"/>
  <c r="AA377" i="2"/>
  <c r="AB377" i="2" s="1"/>
  <c r="R122" i="1"/>
  <c r="Z250" i="1"/>
  <c r="Z232" i="1"/>
  <c r="Z475" i="1"/>
  <c r="Z454" i="1"/>
  <c r="Z306" i="1"/>
  <c r="Z477" i="1"/>
  <c r="Z631" i="1"/>
  <c r="Z364" i="1" s="1"/>
  <c r="Z372" i="1" s="1"/>
  <c r="Z634" i="1"/>
  <c r="Z386" i="1" s="1"/>
  <c r="Z393" i="1" s="1"/>
  <c r="Y1056" i="2"/>
  <c r="Y20" i="2" s="1"/>
  <c r="Q1056" i="2"/>
  <c r="Q20" i="2" s="1"/>
  <c r="Q21" i="2" s="1"/>
  <c r="R1056" i="2"/>
  <c r="R20" i="2" s="1"/>
  <c r="R21" i="2" s="1"/>
  <c r="N1056" i="2"/>
  <c r="N20" i="2" s="1"/>
  <c r="N21" i="2" s="1"/>
  <c r="X166" i="1"/>
  <c r="AA434" i="2"/>
  <c r="AB434" i="2" s="1"/>
  <c r="F379" i="2"/>
  <c r="Y662" i="1"/>
  <c r="Y425" i="1"/>
  <c r="Y190" i="1"/>
  <c r="Y196" i="1" s="1"/>
  <c r="Y208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6" i="1"/>
  <c r="X138" i="1" s="1"/>
  <c r="X77" i="1"/>
  <c r="X79" i="1" s="1"/>
  <c r="X96" i="1" s="1"/>
  <c r="X13" i="1"/>
  <c r="X9" i="1"/>
  <c r="X11" i="1"/>
  <c r="X60" i="1"/>
  <c r="X63" i="1"/>
  <c r="X105" i="1"/>
  <c r="X10" i="1"/>
  <c r="T308" i="1"/>
  <c r="AA376" i="2"/>
  <c r="AB376" i="2" s="1"/>
  <c r="Z653" i="1"/>
  <c r="Y383" i="1"/>
  <c r="Y658" i="1"/>
  <c r="Y146" i="1"/>
  <c r="Y155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Z135" i="2"/>
  <c r="R135" i="2"/>
  <c r="H135" i="2"/>
  <c r="G135" i="2"/>
  <c r="I135" i="2"/>
  <c r="M135" i="2"/>
  <c r="K135" i="2"/>
  <c r="V250" i="2"/>
  <c r="V298" i="2"/>
  <c r="V302" i="2" s="1"/>
  <c r="V801" i="2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G1055" i="2"/>
  <c r="AA1054" i="2"/>
  <c r="AB1054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19" i="1"/>
  <c r="R654" i="1"/>
  <c r="R112" i="1"/>
  <c r="R116" i="1" s="1"/>
  <c r="AA130" i="2"/>
  <c r="AB130" i="2" s="1"/>
  <c r="Z423" i="1"/>
  <c r="Z48" i="1"/>
  <c r="Z476" i="1"/>
  <c r="Z499" i="1"/>
  <c r="Z633" i="1"/>
  <c r="Z375" i="1" s="1"/>
  <c r="Z381" i="1" s="1"/>
  <c r="Z640" i="1"/>
  <c r="Z123" i="1" s="1"/>
  <c r="Z264" i="1"/>
  <c r="W1056" i="2"/>
  <c r="W20" i="2" s="1"/>
  <c r="W21" i="2" s="1"/>
  <c r="T1056" i="2"/>
  <c r="T20" i="2" s="1"/>
  <c r="T21" i="2" s="1"/>
  <c r="L1056" i="2"/>
  <c r="L20" i="2" s="1"/>
  <c r="L21" i="2" s="1"/>
  <c r="J1056" i="2"/>
  <c r="J20" i="2" s="1"/>
  <c r="J21" i="2" s="1"/>
  <c r="AA486" i="2"/>
  <c r="AB486" i="2" s="1"/>
  <c r="AA483" i="2"/>
  <c r="AB483" i="2" s="1"/>
  <c r="P479" i="2" l="1"/>
  <c r="P480" i="2" s="1"/>
  <c r="P20" i="2"/>
  <c r="P21" i="2" s="1"/>
  <c r="P802" i="2" s="1"/>
  <c r="I651" i="2"/>
  <c r="I652" i="2" s="1"/>
  <c r="I20" i="2"/>
  <c r="I21" i="2" s="1"/>
  <c r="I799" i="2" s="1"/>
  <c r="Z11" i="2"/>
  <c r="Z1095" i="2" s="1"/>
  <c r="Z20" i="2"/>
  <c r="K413" i="2"/>
  <c r="K417" i="2" s="1"/>
  <c r="K20" i="2"/>
  <c r="K21" i="2" s="1"/>
  <c r="U364" i="2"/>
  <c r="U365" i="2" s="1"/>
  <c r="U20" i="2"/>
  <c r="U21" i="2" s="1"/>
  <c r="U802" i="2" s="1"/>
  <c r="O250" i="2"/>
  <c r="O20" i="2"/>
  <c r="O21" i="2" s="1"/>
  <c r="O802" i="2" s="1"/>
  <c r="M355" i="2"/>
  <c r="M359" i="2" s="1"/>
  <c r="M20" i="2"/>
  <c r="M21" i="2" s="1"/>
  <c r="M802" i="2" s="1"/>
  <c r="X250" i="2"/>
  <c r="X20" i="2"/>
  <c r="X21" i="2" s="1"/>
  <c r="X799" i="2" s="1"/>
  <c r="S642" i="2"/>
  <c r="S646" i="2" s="1"/>
  <c r="S20" i="2"/>
  <c r="S21" i="2" s="1"/>
  <c r="Y21" i="2"/>
  <c r="Z50" i="1"/>
  <c r="Z62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19" i="1"/>
  <c r="S122" i="1" s="1"/>
  <c r="S140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Z355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7" i="1"/>
  <c r="Z307" i="2"/>
  <c r="V547" i="2"/>
  <c r="S547" i="2"/>
  <c r="AA31" i="2"/>
  <c r="AB31" i="2" s="1"/>
  <c r="Y605" i="2"/>
  <c r="J32" i="2"/>
  <c r="Y32" i="2"/>
  <c r="K536" i="2"/>
  <c r="K537" i="2" s="1"/>
  <c r="U109" i="1"/>
  <c r="F91" i="2" s="1"/>
  <c r="P91" i="2" s="1"/>
  <c r="X210" i="1"/>
  <c r="X223" i="1" s="1"/>
  <c r="L547" i="2"/>
  <c r="H547" i="2"/>
  <c r="Y234" i="1"/>
  <c r="Z527" i="2"/>
  <c r="Z298" i="2"/>
  <c r="Z547" i="2"/>
  <c r="P547" i="2"/>
  <c r="Y228" i="1"/>
  <c r="Y229" i="1"/>
  <c r="Z193" i="2"/>
  <c r="Z479" i="2"/>
  <c r="K364" i="2"/>
  <c r="K365" i="2" s="1"/>
  <c r="Z241" i="2"/>
  <c r="J547" i="2"/>
  <c r="Y236" i="1"/>
  <c r="Y233" i="1"/>
  <c r="Z213" i="1"/>
  <c r="K307" i="2"/>
  <c r="K308" i="2" s="1"/>
  <c r="Z422" i="2"/>
  <c r="V126" i="1"/>
  <c r="K470" i="2"/>
  <c r="K474" i="2" s="1"/>
  <c r="Z70" i="2"/>
  <c r="F33" i="2"/>
  <c r="L33" i="2" s="1"/>
  <c r="Z184" i="2"/>
  <c r="X547" i="2"/>
  <c r="T547" i="2"/>
  <c r="K799" i="2"/>
  <c r="Z536" i="2"/>
  <c r="M547" i="2"/>
  <c r="N547" i="2"/>
  <c r="W547" i="2"/>
  <c r="Y239" i="1"/>
  <c r="Y235" i="1"/>
  <c r="Z215" i="1"/>
  <c r="Z594" i="2"/>
  <c r="Z651" i="2"/>
  <c r="Z364" i="2"/>
  <c r="I547" i="2"/>
  <c r="Q547" i="2"/>
  <c r="R547" i="2"/>
  <c r="Y230" i="1"/>
  <c r="Y663" i="1"/>
  <c r="Z214" i="1"/>
  <c r="Z642" i="2"/>
  <c r="Z413" i="2"/>
  <c r="Z585" i="2"/>
  <c r="U547" i="2"/>
  <c r="K547" i="2"/>
  <c r="G547" i="2"/>
  <c r="Y237" i="1"/>
  <c r="Z216" i="1"/>
  <c r="W277" i="1"/>
  <c r="Z250" i="2"/>
  <c r="Z470" i="2"/>
  <c r="O547" i="2"/>
  <c r="H437" i="2"/>
  <c r="S184" i="2"/>
  <c r="S188" i="2" s="1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0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M437" i="2"/>
  <c r="I184" i="2"/>
  <c r="I188" i="2" s="1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79" i="1"/>
  <c r="Z185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1" i="1"/>
  <c r="M140" i="2"/>
  <c r="T140" i="2"/>
  <c r="H662" i="2"/>
  <c r="X662" i="2"/>
  <c r="U437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I302" i="2" s="1"/>
  <c r="I801" i="2" s="1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7" i="1"/>
  <c r="L437" i="2"/>
  <c r="T437" i="2"/>
  <c r="M241" i="2"/>
  <c r="M245" i="2" s="1"/>
  <c r="M479" i="2"/>
  <c r="M480" i="2" s="1"/>
  <c r="W125" i="1"/>
  <c r="W81" i="1"/>
  <c r="W95" i="1"/>
  <c r="W98" i="1" s="1"/>
  <c r="W321" i="1" s="1"/>
  <c r="W655" i="1"/>
  <c r="W127" i="1"/>
  <c r="F34" i="2"/>
  <c r="Z34" i="2" s="1"/>
  <c r="W114" i="1"/>
  <c r="W669" i="1"/>
  <c r="M536" i="2"/>
  <c r="M537" i="2" s="1"/>
  <c r="O193" i="2"/>
  <c r="X241" i="2"/>
  <c r="X245" i="2" s="1"/>
  <c r="AA291" i="1"/>
  <c r="V114" i="1"/>
  <c r="X470" i="2"/>
  <c r="X474" i="2" s="1"/>
  <c r="H193" i="2"/>
  <c r="X184" i="2"/>
  <c r="X188" i="2" s="1"/>
  <c r="O437" i="2"/>
  <c r="W128" i="1"/>
  <c r="S527" i="2"/>
  <c r="S531" i="2" s="1"/>
  <c r="W113" i="1"/>
  <c r="M364" i="2"/>
  <c r="M365" i="2" s="1"/>
  <c r="O651" i="2"/>
  <c r="O652" i="2" s="1"/>
  <c r="O413" i="2"/>
  <c r="O417" i="2" s="1"/>
  <c r="X193" i="2"/>
  <c r="K437" i="2"/>
  <c r="J437" i="2"/>
  <c r="W279" i="1"/>
  <c r="W308" i="1" s="1"/>
  <c r="H355" i="2"/>
  <c r="H359" i="2" s="1"/>
  <c r="S437" i="2"/>
  <c r="V113" i="1"/>
  <c r="S651" i="2"/>
  <c r="S652" i="2" s="1"/>
  <c r="M193" i="2"/>
  <c r="V128" i="1"/>
  <c r="S802" i="2"/>
  <c r="V655" i="1"/>
  <c r="V127" i="1"/>
  <c r="V95" i="1"/>
  <c r="V98" i="1" s="1"/>
  <c r="V532" i="1" s="1"/>
  <c r="S479" i="2"/>
  <c r="S480" i="2" s="1"/>
  <c r="W126" i="1"/>
  <c r="H413" i="2"/>
  <c r="H417" i="2" s="1"/>
  <c r="M79" i="2"/>
  <c r="M80" i="2" s="1"/>
  <c r="O298" i="2"/>
  <c r="O302" i="2" s="1"/>
  <c r="O594" i="2"/>
  <c r="O595" i="2" s="1"/>
  <c r="X355" i="2"/>
  <c r="X359" i="2" s="1"/>
  <c r="V437" i="2"/>
  <c r="S422" i="2"/>
  <c r="S423" i="2" s="1"/>
  <c r="V125" i="1"/>
  <c r="H79" i="2"/>
  <c r="H80" i="2" s="1"/>
  <c r="M422" i="2"/>
  <c r="M423" i="2" s="1"/>
  <c r="O470" i="2"/>
  <c r="O474" i="2" s="1"/>
  <c r="R437" i="2"/>
  <c r="H307" i="2"/>
  <c r="H308" i="2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4" i="1"/>
  <c r="AA197" i="2"/>
  <c r="AB197" i="2" s="1"/>
  <c r="AA480" i="1"/>
  <c r="K651" i="2"/>
  <c r="K652" i="2" s="1"/>
  <c r="K79" i="2"/>
  <c r="K80" i="2" s="1"/>
  <c r="I70" i="2"/>
  <c r="I74" i="2" s="1"/>
  <c r="K70" i="2"/>
  <c r="K74" i="2" s="1"/>
  <c r="K184" i="2"/>
  <c r="I11" i="2"/>
  <c r="I1095" i="2" s="1"/>
  <c r="I470" i="2"/>
  <c r="I474" i="2" s="1"/>
  <c r="K298" i="2"/>
  <c r="K302" i="2" s="1"/>
  <c r="K527" i="2"/>
  <c r="K531" i="2" s="1"/>
  <c r="I241" i="2"/>
  <c r="I245" i="2" s="1"/>
  <c r="I307" i="2"/>
  <c r="I308" i="2" s="1"/>
  <c r="Z136" i="2"/>
  <c r="M136" i="2"/>
  <c r="V136" i="2"/>
  <c r="P355" i="2"/>
  <c r="P359" i="2" s="1"/>
  <c r="P594" i="2"/>
  <c r="P595" i="2" s="1"/>
  <c r="P70" i="2"/>
  <c r="P74" i="2" s="1"/>
  <c r="H184" i="2"/>
  <c r="U11" i="2"/>
  <c r="U1095" i="2" s="1"/>
  <c r="P184" i="2"/>
  <c r="S585" i="2"/>
  <c r="S589" i="2" s="1"/>
  <c r="H594" i="2"/>
  <c r="H595" i="2" s="1"/>
  <c r="H651" i="2"/>
  <c r="H652" i="2" s="1"/>
  <c r="M250" i="2"/>
  <c r="P250" i="2"/>
  <c r="P241" i="2"/>
  <c r="P245" i="2" s="1"/>
  <c r="S594" i="2"/>
  <c r="S595" i="2" s="1"/>
  <c r="S193" i="2"/>
  <c r="S79" i="2"/>
  <c r="S80" i="2" s="1"/>
  <c r="H70" i="2"/>
  <c r="H74" i="2" s="1"/>
  <c r="H298" i="2"/>
  <c r="H302" i="2" s="1"/>
  <c r="H642" i="2"/>
  <c r="H646" i="2" s="1"/>
  <c r="M470" i="2"/>
  <c r="M474" i="2" s="1"/>
  <c r="M651" i="2"/>
  <c r="M652" i="2" s="1"/>
  <c r="M413" i="2"/>
  <c r="M417" i="2" s="1"/>
  <c r="O364" i="2"/>
  <c r="O365" i="2" s="1"/>
  <c r="O70" i="2"/>
  <c r="O74" i="2" s="1"/>
  <c r="O11" i="2"/>
  <c r="O1095" i="2" s="1"/>
  <c r="U585" i="2"/>
  <c r="U589" i="2" s="1"/>
  <c r="U479" i="2"/>
  <c r="U480" i="2" s="1"/>
  <c r="X585" i="2"/>
  <c r="X589" i="2" s="1"/>
  <c r="X527" i="2"/>
  <c r="X531" i="2" s="1"/>
  <c r="X70" i="2"/>
  <c r="X74" i="2" s="1"/>
  <c r="AA248" i="1"/>
  <c r="AA574" i="1"/>
  <c r="AA476" i="1"/>
  <c r="Z450" i="1"/>
  <c r="Z235" i="1" s="1"/>
  <c r="U250" i="2"/>
  <c r="U70" i="2"/>
  <c r="U74" i="2" s="1"/>
  <c r="P298" i="2"/>
  <c r="P302" i="2" s="1"/>
  <c r="S355" i="2"/>
  <c r="S359" i="2" s="1"/>
  <c r="H422" i="2"/>
  <c r="H423" i="2" s="1"/>
  <c r="U241" i="2"/>
  <c r="U245" i="2" s="1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2" i="2" s="1"/>
  <c r="X801" i="2" s="1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095" i="2" s="1"/>
  <c r="H136" i="2"/>
  <c r="M70" i="2"/>
  <c r="M74" i="2" s="1"/>
  <c r="M307" i="2"/>
  <c r="M308" i="2" s="1"/>
  <c r="M184" i="2"/>
  <c r="M188" i="2" s="1"/>
  <c r="O642" i="2"/>
  <c r="O646" i="2" s="1"/>
  <c r="O527" i="2"/>
  <c r="O531" i="2" s="1"/>
  <c r="U184" i="2"/>
  <c r="U188" i="2" s="1"/>
  <c r="U527" i="2"/>
  <c r="U531" i="2" s="1"/>
  <c r="U355" i="2"/>
  <c r="U359" i="2" s="1"/>
  <c r="X11" i="2"/>
  <c r="X1095" i="2" s="1"/>
  <c r="X422" i="2"/>
  <c r="X423" i="2" s="1"/>
  <c r="X364" i="2"/>
  <c r="X365" i="2" s="1"/>
  <c r="AA455" i="1"/>
  <c r="AA134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S302" i="2" s="1"/>
  <c r="S801" i="2" s="1"/>
  <c r="H127" i="2"/>
  <c r="P193" i="2"/>
  <c r="S307" i="2"/>
  <c r="S308" i="2" s="1"/>
  <c r="H536" i="2"/>
  <c r="H537" i="2" s="1"/>
  <c r="H364" i="2"/>
  <c r="H365" i="2" s="1"/>
  <c r="H241" i="2"/>
  <c r="H245" i="2" s="1"/>
  <c r="M11" i="2"/>
  <c r="M1095" i="2" s="1"/>
  <c r="M594" i="2"/>
  <c r="M595" i="2" s="1"/>
  <c r="O479" i="2"/>
  <c r="O480" i="2" s="1"/>
  <c r="O536" i="2"/>
  <c r="O537" i="2" s="1"/>
  <c r="O241" i="2"/>
  <c r="O245" i="2" s="1"/>
  <c r="U651" i="2"/>
  <c r="U652" i="2" s="1"/>
  <c r="U642" i="2"/>
  <c r="U646" i="2" s="1"/>
  <c r="U298" i="2"/>
  <c r="U302" i="2" s="1"/>
  <c r="U801" i="2" s="1"/>
  <c r="X642" i="2"/>
  <c r="X646" i="2" s="1"/>
  <c r="X413" i="2"/>
  <c r="X417" i="2" s="1"/>
  <c r="X594" i="2"/>
  <c r="X595" i="2" s="1"/>
  <c r="AA265" i="1"/>
  <c r="AA633" i="1"/>
  <c r="AA375" i="1" s="1"/>
  <c r="AA381" i="1" s="1"/>
  <c r="AA158" i="1" s="1"/>
  <c r="AA164" i="1" s="1"/>
  <c r="P422" i="2"/>
  <c r="P423" i="2" s="1"/>
  <c r="S11" i="2"/>
  <c r="S1095" i="2" s="1"/>
  <c r="U193" i="2"/>
  <c r="Y166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S70" i="2"/>
  <c r="S74" i="2" s="1"/>
  <c r="H470" i="2"/>
  <c r="H474" i="2" s="1"/>
  <c r="M642" i="2"/>
  <c r="M646" i="2" s="1"/>
  <c r="M298" i="2"/>
  <c r="M302" i="2" s="1"/>
  <c r="M801" i="2" s="1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6" i="1"/>
  <c r="AA459" i="1"/>
  <c r="X664" i="1"/>
  <c r="AA252" i="1"/>
  <c r="K193" i="2"/>
  <c r="K11" i="2"/>
  <c r="K1095" i="2" s="1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6" i="1"/>
  <c r="X259" i="1" s="1"/>
  <c r="X275" i="1" s="1"/>
  <c r="AA478" i="1"/>
  <c r="AA481" i="1"/>
  <c r="AA592" i="1"/>
  <c r="AA446" i="1"/>
  <c r="AA456" i="1"/>
  <c r="AA445" i="1"/>
  <c r="AA249" i="1"/>
  <c r="R140" i="1"/>
  <c r="F143" i="2" s="1"/>
  <c r="L143" i="2" s="1"/>
  <c r="AA267" i="1"/>
  <c r="AA232" i="1"/>
  <c r="K241" i="2"/>
  <c r="K245" i="2" s="1"/>
  <c r="K642" i="2"/>
  <c r="K646" i="2" s="1"/>
  <c r="I536" i="2"/>
  <c r="I537" i="2" s="1"/>
  <c r="I422" i="2"/>
  <c r="I423" i="2" s="1"/>
  <c r="AA575" i="1"/>
  <c r="Z353" i="2"/>
  <c r="AA353" i="2" s="1"/>
  <c r="AB353" i="2" s="1"/>
  <c r="Z18" i="2"/>
  <c r="Z477" i="2"/>
  <c r="AA477" i="2" s="1"/>
  <c r="AB477" i="2" s="1"/>
  <c r="Z77" i="2"/>
  <c r="AA77" i="2" s="1"/>
  <c r="AB77" i="2" s="1"/>
  <c r="Z534" i="2"/>
  <c r="AA534" i="2" s="1"/>
  <c r="AB534" i="2" s="1"/>
  <c r="Z125" i="2"/>
  <c r="AA125" i="2" s="1"/>
  <c r="AB125" i="2" s="1"/>
  <c r="Z362" i="2"/>
  <c r="AA362" i="2" s="1"/>
  <c r="AB362" i="2" s="1"/>
  <c r="Z640" i="2"/>
  <c r="AA640" i="2" s="1"/>
  <c r="AB640" i="2" s="1"/>
  <c r="Z592" i="2"/>
  <c r="AA592" i="2" s="1"/>
  <c r="AB592" i="2" s="1"/>
  <c r="Z296" i="2"/>
  <c r="AA296" i="2" s="1"/>
  <c r="AB296" i="2" s="1"/>
  <c r="Z420" i="2"/>
  <c r="AA420" i="2" s="1"/>
  <c r="AB420" i="2" s="1"/>
  <c r="Z9" i="2"/>
  <c r="AA9" i="2" s="1"/>
  <c r="AB9" i="2" s="1"/>
  <c r="Z182" i="2"/>
  <c r="AA182" i="2" s="1"/>
  <c r="AB182" i="2" s="1"/>
  <c r="Z525" i="2"/>
  <c r="AA525" i="2" s="1"/>
  <c r="AB525" i="2" s="1"/>
  <c r="Z68" i="2"/>
  <c r="AA68" i="2" s="1"/>
  <c r="AB68" i="2" s="1"/>
  <c r="Z411" i="2"/>
  <c r="AA411" i="2" s="1"/>
  <c r="AB411" i="2" s="1"/>
  <c r="Z583" i="2"/>
  <c r="AA583" i="2" s="1"/>
  <c r="AB583" i="2" s="1"/>
  <c r="Z649" i="2"/>
  <c r="AA649" i="2" s="1"/>
  <c r="AB649" i="2" s="1"/>
  <c r="Z468" i="2"/>
  <c r="AA468" i="2" s="1"/>
  <c r="AB468" i="2" s="1"/>
  <c r="Z305" i="2"/>
  <c r="AA305" i="2" s="1"/>
  <c r="AB305" i="2" s="1"/>
  <c r="Z239" i="2"/>
  <c r="AA239" i="2" s="1"/>
  <c r="AB239" i="2" s="1"/>
  <c r="AA1063" i="2"/>
  <c r="AB1063" i="2" s="1"/>
  <c r="AA643" i="1"/>
  <c r="AA430" i="1" s="1"/>
  <c r="AA434" i="1" s="1"/>
  <c r="X107" i="1"/>
  <c r="AA206" i="1"/>
  <c r="AA458" i="1"/>
  <c r="AA457" i="1"/>
  <c r="AA251" i="1"/>
  <c r="AA640" i="1"/>
  <c r="AA123" i="1" s="1"/>
  <c r="Z208" i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J307" i="2"/>
  <c r="J308" i="2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J413" i="2"/>
  <c r="J417" i="2" s="1"/>
  <c r="J184" i="2"/>
  <c r="J364" i="2"/>
  <c r="J365" i="2" s="1"/>
  <c r="J355" i="2"/>
  <c r="J359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9" i="1"/>
  <c r="Z158" i="1"/>
  <c r="Z164" i="1" s="1"/>
  <c r="N122" i="1"/>
  <c r="N654" i="1"/>
  <c r="N112" i="1"/>
  <c r="V807" i="2"/>
  <c r="V802" i="2"/>
  <c r="V799" i="2"/>
  <c r="AA135" i="2"/>
  <c r="AB135" i="2" s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0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0" i="1"/>
  <c r="N536" i="2"/>
  <c r="N537" i="2" s="1"/>
  <c r="N193" i="2"/>
  <c r="N184" i="2"/>
  <c r="N250" i="2"/>
  <c r="N642" i="2"/>
  <c r="N646" i="2" s="1"/>
  <c r="N651" i="2"/>
  <c r="N652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Z383" i="1"/>
  <c r="Z658" i="1"/>
  <c r="Z146" i="1"/>
  <c r="Z155" i="1" s="1"/>
  <c r="AA200" i="2"/>
  <c r="AB200" i="2" s="1"/>
  <c r="AA319" i="2"/>
  <c r="AB319" i="2" s="1"/>
  <c r="H802" i="2"/>
  <c r="H807" i="2"/>
  <c r="H799" i="2"/>
  <c r="AA653" i="1"/>
  <c r="AB204" i="1"/>
  <c r="AB217" i="1"/>
  <c r="AB432" i="1"/>
  <c r="AB410" i="1"/>
  <c r="AB502" i="1"/>
  <c r="AB33" i="1"/>
  <c r="AB35" i="1" s="1"/>
  <c r="AB44" i="1"/>
  <c r="AB461" i="1" s="1"/>
  <c r="AB297" i="1"/>
  <c r="AB377" i="1"/>
  <c r="AB303" i="1"/>
  <c r="AB496" i="1"/>
  <c r="AB504" i="1"/>
  <c r="AB46" i="1"/>
  <c r="AB294" i="1"/>
  <c r="AB194" i="1"/>
  <c r="AB287" i="1"/>
  <c r="AB387" i="1"/>
  <c r="AB365" i="1"/>
  <c r="AB493" i="1"/>
  <c r="AB509" i="1"/>
  <c r="AB27" i="1"/>
  <c r="AB202" i="1"/>
  <c r="AB180" i="1"/>
  <c r="AB192" i="1"/>
  <c r="AB286" i="1"/>
  <c r="AB366" i="1"/>
  <c r="AB298" i="1"/>
  <c r="AB510" i="1"/>
  <c r="AB642" i="1"/>
  <c r="AB74" i="1"/>
  <c r="AB150" i="1"/>
  <c r="AB43" i="1"/>
  <c r="AB459" i="1" s="1"/>
  <c r="AB115" i="1"/>
  <c r="AB172" i="1"/>
  <c r="AB296" i="1"/>
  <c r="AB299" i="1"/>
  <c r="AB304" i="1"/>
  <c r="AB295" i="1"/>
  <c r="AB583" i="1"/>
  <c r="AB506" i="1"/>
  <c r="AB159" i="1"/>
  <c r="AB191" i="1"/>
  <c r="AB203" i="1"/>
  <c r="AB379" i="1"/>
  <c r="AB409" i="1"/>
  <c r="AB302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1" i="1"/>
  <c r="AB431" i="1"/>
  <c r="AB508" i="1"/>
  <c r="AB495" i="1"/>
  <c r="AC2" i="1"/>
  <c r="AB148" i="1"/>
  <c r="AB285" i="1"/>
  <c r="AB193" i="1"/>
  <c r="AB152" i="1"/>
  <c r="AB45" i="1"/>
  <c r="AB480" i="1" s="1"/>
  <c r="AB153" i="1"/>
  <c r="AB161" i="1"/>
  <c r="AB171" i="1"/>
  <c r="AB218" i="1"/>
  <c r="AB390" i="1"/>
  <c r="AB411" i="1"/>
  <c r="AB503" i="1"/>
  <c r="AB41" i="1"/>
  <c r="AB268" i="1" s="1"/>
  <c r="AB23" i="1"/>
  <c r="AB149" i="1"/>
  <c r="AB147" i="1"/>
  <c r="AB173" i="1"/>
  <c r="AB391" i="1"/>
  <c r="AB370" i="1"/>
  <c r="AB460" i="1"/>
  <c r="AB494" i="1"/>
  <c r="AB421" i="1"/>
  <c r="AB591" i="1"/>
  <c r="AB160" i="1"/>
  <c r="AB170" i="1"/>
  <c r="AB388" i="1"/>
  <c r="AB397" i="1"/>
  <c r="AB505" i="1"/>
  <c r="AB378" i="1"/>
  <c r="AB300" i="1"/>
  <c r="AB512" i="1"/>
  <c r="AB38" i="1"/>
  <c r="AB248" i="1" s="1"/>
  <c r="AB75" i="1"/>
  <c r="AB65" i="1"/>
  <c r="AB497" i="1"/>
  <c r="AB219" i="1"/>
  <c r="AB288" i="1"/>
  <c r="AB400" i="1"/>
  <c r="AB301" i="1"/>
  <c r="AB420" i="1"/>
  <c r="AB151" i="1"/>
  <c r="AB40" i="1"/>
  <c r="AB457" i="1" s="1"/>
  <c r="AB66" i="1"/>
  <c r="AB174" i="1"/>
  <c r="AB182" i="1"/>
  <c r="AB376" i="1"/>
  <c r="AB19" i="1"/>
  <c r="AB181" i="1"/>
  <c r="AB162" i="1"/>
  <c r="AB389" i="1"/>
  <c r="AB289" i="1"/>
  <c r="AB369" i="1"/>
  <c r="AB412" i="1"/>
  <c r="AB183" i="1"/>
  <c r="AB253" i="1"/>
  <c r="AB399" i="1"/>
  <c r="AB133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K127" i="2"/>
  <c r="P127" i="2"/>
  <c r="S127" i="2"/>
  <c r="Z127" i="2"/>
  <c r="X15" i="1"/>
  <c r="Y221" i="1"/>
  <c r="AA306" i="1"/>
  <c r="AA238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127" i="2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45" i="2" s="1"/>
  <c r="T298" i="2"/>
  <c r="T302" i="2" s="1"/>
  <c r="T70" i="2"/>
  <c r="T74" i="2" s="1"/>
  <c r="T355" i="2"/>
  <c r="T359" i="2" s="1"/>
  <c r="T594" i="2"/>
  <c r="T595" i="2" s="1"/>
  <c r="T250" i="2"/>
  <c r="T422" i="2"/>
  <c r="T423" i="2" s="1"/>
  <c r="Z652" i="1"/>
  <c r="Z593" i="1"/>
  <c r="Z576" i="1"/>
  <c r="Z255" i="1"/>
  <c r="Z462" i="1"/>
  <c r="Z482" i="1"/>
  <c r="Z637" i="1" s="1"/>
  <c r="Z474" i="1" s="1"/>
  <c r="Z484" i="1" s="1"/>
  <c r="Z254" i="1"/>
  <c r="Z103" i="1"/>
  <c r="Z463" i="1"/>
  <c r="Z135" i="1"/>
  <c r="Z585" i="1"/>
  <c r="Z67" i="1"/>
  <c r="Z64" i="1"/>
  <c r="Z271" i="1"/>
  <c r="Z76" i="1"/>
  <c r="Z257" i="1"/>
  <c r="Z256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G1056" i="2"/>
  <c r="G20" i="2" s="1"/>
  <c r="AA1055" i="2"/>
  <c r="AB1055" i="2" s="1"/>
  <c r="V1095" i="2"/>
  <c r="V15" i="2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127" i="2"/>
  <c r="R364" i="2"/>
  <c r="R365" i="2" s="1"/>
  <c r="R241" i="2"/>
  <c r="R245" i="2" s="1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R250" i="2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60" i="1"/>
  <c r="Z404" i="1"/>
  <c r="Z169" i="1"/>
  <c r="Z176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0" i="1"/>
  <c r="AA436" i="2"/>
  <c r="AB436" i="2" s="1"/>
  <c r="G437" i="2"/>
  <c r="Y665" i="1"/>
  <c r="Y263" i="1"/>
  <c r="Y273" i="1" s="1"/>
  <c r="Y651" i="1"/>
  <c r="Y77" i="1"/>
  <c r="Y79" i="1" s="1"/>
  <c r="Y96" i="1" s="1"/>
  <c r="Y9" i="1"/>
  <c r="Y136" i="1"/>
  <c r="Y138" i="1" s="1"/>
  <c r="Y10" i="1"/>
  <c r="Y60" i="1"/>
  <c r="Y12" i="1"/>
  <c r="Y105" i="1"/>
  <c r="Y104" i="1"/>
  <c r="Y62" i="1"/>
  <c r="Y63" i="1"/>
  <c r="Y13" i="1"/>
  <c r="Y11" i="1"/>
  <c r="AA604" i="2"/>
  <c r="AB604" i="2" s="1"/>
  <c r="I127" i="2"/>
  <c r="V127" i="2"/>
  <c r="AA257" i="2"/>
  <c r="AB257" i="2" s="1"/>
  <c r="M127" i="2"/>
  <c r="O127" i="2"/>
  <c r="U127" i="2"/>
  <c r="X127" i="2"/>
  <c r="AA415" i="1"/>
  <c r="AA231" i="1"/>
  <c r="AA448" i="1"/>
  <c r="AA447" i="1"/>
  <c r="AA514" i="1"/>
  <c r="AA499" i="1"/>
  <c r="AA634" i="1"/>
  <c r="AA386" i="1" s="1"/>
  <c r="AA393" i="1" s="1"/>
  <c r="G379" i="2"/>
  <c r="AA379" i="2" s="1"/>
  <c r="AB379" i="2" s="1"/>
  <c r="K965" i="2" l="1"/>
  <c r="K892" i="2"/>
  <c r="H965" i="2"/>
  <c r="H892" i="2"/>
  <c r="O965" i="2"/>
  <c r="O892" i="2"/>
  <c r="I965" i="2"/>
  <c r="I892" i="2"/>
  <c r="Z965" i="2"/>
  <c r="Z892" i="2"/>
  <c r="V965" i="2"/>
  <c r="V892" i="2"/>
  <c r="M965" i="2"/>
  <c r="M892" i="2"/>
  <c r="X965" i="2"/>
  <c r="X892" i="2"/>
  <c r="S965" i="2"/>
  <c r="S892" i="2"/>
  <c r="U965" i="2"/>
  <c r="U892" i="2"/>
  <c r="O188" i="2"/>
  <c r="H188" i="2"/>
  <c r="Z136" i="1"/>
  <c r="Z9" i="1"/>
  <c r="Z60" i="1"/>
  <c r="Z105" i="1"/>
  <c r="Z10" i="1"/>
  <c r="Z651" i="1"/>
  <c r="Z13" i="1"/>
  <c r="Z77" i="1"/>
  <c r="Z79" i="1" s="1"/>
  <c r="Z96" i="1" s="1"/>
  <c r="Z12" i="1"/>
  <c r="Z11" i="1"/>
  <c r="Z104" i="1"/>
  <c r="Z63" i="1"/>
  <c r="O251" i="2"/>
  <c r="X251" i="2"/>
  <c r="AA20" i="2"/>
  <c r="AB20" i="2" s="1"/>
  <c r="G21" i="2"/>
  <c r="AA18" i="2"/>
  <c r="AB18" i="2" s="1"/>
  <c r="Z21" i="2"/>
  <c r="O703" i="2"/>
  <c r="K703" i="2"/>
  <c r="M703" i="2"/>
  <c r="I703" i="2"/>
  <c r="X703" i="2"/>
  <c r="V703" i="2"/>
  <c r="S703" i="2"/>
  <c r="Z703" i="2"/>
  <c r="H703" i="2"/>
  <c r="U703" i="2"/>
  <c r="O801" i="2"/>
  <c r="K801" i="2"/>
  <c r="H801" i="2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U807" i="2"/>
  <c r="V260" i="2"/>
  <c r="Z260" i="2"/>
  <c r="K260" i="2"/>
  <c r="X260" i="2"/>
  <c r="U260" i="2"/>
  <c r="T260" i="2"/>
  <c r="H260" i="2"/>
  <c r="AA203" i="2"/>
  <c r="AB203" i="2" s="1"/>
  <c r="P799" i="2"/>
  <c r="P807" i="2"/>
  <c r="M799" i="2"/>
  <c r="K802" i="2"/>
  <c r="K807" i="2"/>
  <c r="U799" i="2"/>
  <c r="I802" i="2"/>
  <c r="I807" i="2"/>
  <c r="O799" i="2"/>
  <c r="X807" i="2"/>
  <c r="O807" i="2"/>
  <c r="X802" i="2"/>
  <c r="S799" i="2"/>
  <c r="S807" i="2"/>
  <c r="I91" i="2"/>
  <c r="I251" i="2"/>
  <c r="V606" i="2"/>
  <c r="H91" i="2"/>
  <c r="F204" i="2"/>
  <c r="R606" i="2"/>
  <c r="AA90" i="2"/>
  <c r="AB90" i="2" s="1"/>
  <c r="Z251" i="2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W321" i="2"/>
  <c r="W322" i="2" s="1"/>
  <c r="K663" i="2"/>
  <c r="S663" i="2"/>
  <c r="L663" i="2"/>
  <c r="T34" i="2"/>
  <c r="T610" i="1"/>
  <c r="J34" i="2"/>
  <c r="Y34" i="2"/>
  <c r="H34" i="2"/>
  <c r="R34" i="2"/>
  <c r="P34" i="2"/>
  <c r="P146" i="2"/>
  <c r="H146" i="2"/>
  <c r="M321" i="2"/>
  <c r="M322" i="2" s="1"/>
  <c r="Z194" i="2"/>
  <c r="S321" i="2"/>
  <c r="S322" i="2" s="1"/>
  <c r="V146" i="2"/>
  <c r="R146" i="2"/>
  <c r="Z146" i="2"/>
  <c r="Z221" i="1"/>
  <c r="Z663" i="1"/>
  <c r="Q146" i="2"/>
  <c r="W146" i="2"/>
  <c r="G146" i="2"/>
  <c r="X279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35" i="2" s="1"/>
  <c r="Z166" i="1"/>
  <c r="V33" i="2"/>
  <c r="Y33" i="2"/>
  <c r="V324" i="1"/>
  <c r="W33" i="2"/>
  <c r="V490" i="2"/>
  <c r="T490" i="2"/>
  <c r="AA547" i="2"/>
  <c r="AB547" i="2" s="1"/>
  <c r="Y241" i="1"/>
  <c r="T33" i="2"/>
  <c r="K33" i="2"/>
  <c r="S33" i="2"/>
  <c r="Q33" i="2"/>
  <c r="U33" i="2"/>
  <c r="M33" i="2"/>
  <c r="Z228" i="1"/>
  <c r="Z239" i="1"/>
  <c r="N33" i="2"/>
  <c r="R33" i="2"/>
  <c r="J33" i="2"/>
  <c r="Z234" i="1"/>
  <c r="Z226" i="1"/>
  <c r="W251" i="2"/>
  <c r="I33" i="2"/>
  <c r="P33" i="2"/>
  <c r="U331" i="1"/>
  <c r="U333" i="1" s="1"/>
  <c r="U335" i="1" s="1"/>
  <c r="U112" i="1" s="1"/>
  <c r="U116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6" i="1"/>
  <c r="Y259" i="1" s="1"/>
  <c r="Y275" i="1" s="1"/>
  <c r="V325" i="1"/>
  <c r="V34" i="2"/>
  <c r="K34" i="2"/>
  <c r="N34" i="2"/>
  <c r="V604" i="1"/>
  <c r="F664" i="2" s="1"/>
  <c r="N664" i="2" s="1"/>
  <c r="U538" i="1"/>
  <c r="U540" i="1" s="1"/>
  <c r="S34" i="2"/>
  <c r="V109" i="1"/>
  <c r="F92" i="2" s="1"/>
  <c r="P92" i="2" s="1"/>
  <c r="G34" i="2"/>
  <c r="X15" i="2"/>
  <c r="X34" i="2"/>
  <c r="I34" i="2"/>
  <c r="M34" i="2"/>
  <c r="O34" i="2"/>
  <c r="L34" i="2"/>
  <c r="L35" i="2" s="1"/>
  <c r="Q34" i="2"/>
  <c r="F35" i="2"/>
  <c r="U34" i="2"/>
  <c r="W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I322" i="2" s="1"/>
  <c r="R321" i="2"/>
  <c r="R322" i="2" s="1"/>
  <c r="G321" i="2"/>
  <c r="G322" i="2" s="1"/>
  <c r="F322" i="2"/>
  <c r="J321" i="2"/>
  <c r="O321" i="2"/>
  <c r="N321" i="2"/>
  <c r="V321" i="2"/>
  <c r="V322" i="2" s="1"/>
  <c r="Z187" i="1"/>
  <c r="L321" i="2"/>
  <c r="L322" i="2" s="1"/>
  <c r="K143" i="2"/>
  <c r="Z233" i="1"/>
  <c r="Z227" i="1"/>
  <c r="Z15" i="2"/>
  <c r="Z229" i="1"/>
  <c r="Y210" i="1"/>
  <c r="Y223" i="1" s="1"/>
  <c r="Z138" i="1"/>
  <c r="Y143" i="2"/>
  <c r="Y486" i="1"/>
  <c r="Y488" i="1" s="1"/>
  <c r="Y490" i="1" s="1"/>
  <c r="Y516" i="1" s="1"/>
  <c r="AB481" i="1"/>
  <c r="O15" i="2"/>
  <c r="K251" i="2"/>
  <c r="M251" i="2"/>
  <c r="AB231" i="1"/>
  <c r="AB238" i="1"/>
  <c r="AB447" i="1"/>
  <c r="X194" i="2"/>
  <c r="S251" i="2"/>
  <c r="W600" i="1"/>
  <c r="F550" i="2" s="1"/>
  <c r="J550" i="2" s="1"/>
  <c r="W109" i="1"/>
  <c r="F93" i="2" s="1"/>
  <c r="F94" i="2" s="1"/>
  <c r="AA659" i="1"/>
  <c r="W529" i="1"/>
  <c r="W324" i="1"/>
  <c r="W606" i="1"/>
  <c r="W532" i="1"/>
  <c r="W604" i="1"/>
  <c r="F665" i="2" s="1"/>
  <c r="Z665" i="2" s="1"/>
  <c r="Z480" i="2"/>
  <c r="V130" i="1"/>
  <c r="W130" i="1"/>
  <c r="W325" i="1"/>
  <c r="AB270" i="1"/>
  <c r="AB252" i="1"/>
  <c r="AB456" i="1"/>
  <c r="K188" i="2"/>
  <c r="V321" i="1"/>
  <c r="AB266" i="1"/>
  <c r="AB444" i="1"/>
  <c r="I15" i="2"/>
  <c r="AA437" i="2"/>
  <c r="AB437" i="2" s="1"/>
  <c r="P1095" i="2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7" i="1"/>
  <c r="Z308" i="2"/>
  <c r="Z537" i="2"/>
  <c r="K15" i="2"/>
  <c r="M807" i="2"/>
  <c r="P188" i="2"/>
  <c r="U15" i="2"/>
  <c r="Z237" i="1"/>
  <c r="Z236" i="1"/>
  <c r="P251" i="2"/>
  <c r="AB478" i="1"/>
  <c r="AB443" i="1"/>
  <c r="P801" i="2"/>
  <c r="Z359" i="2"/>
  <c r="Z652" i="2"/>
  <c r="Z595" i="2"/>
  <c r="U251" i="2"/>
  <c r="Z74" i="2"/>
  <c r="Z230" i="1"/>
  <c r="R251" i="2"/>
  <c r="N251" i="2"/>
  <c r="AB441" i="1"/>
  <c r="AB29" i="1"/>
  <c r="H15" i="2"/>
  <c r="AA215" i="1"/>
  <c r="Z80" i="2"/>
  <c r="AB269" i="1"/>
  <c r="H251" i="2"/>
  <c r="AB592" i="1"/>
  <c r="AB249" i="1"/>
  <c r="Y107" i="1"/>
  <c r="Z322" i="2"/>
  <c r="AB251" i="1"/>
  <c r="AB265" i="1"/>
  <c r="V143" i="2"/>
  <c r="Z143" i="2"/>
  <c r="H143" i="2"/>
  <c r="X277" i="1"/>
  <c r="Z646" i="2"/>
  <c r="J143" i="2"/>
  <c r="J251" i="2"/>
  <c r="AB102" i="1"/>
  <c r="AB574" i="1"/>
  <c r="AB232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Z423" i="2"/>
  <c r="W194" i="2"/>
  <c r="M143" i="2"/>
  <c r="Q143" i="2"/>
  <c r="Z365" i="2"/>
  <c r="L251" i="2"/>
  <c r="N143" i="2"/>
  <c r="O143" i="2"/>
  <c r="X143" i="2"/>
  <c r="I143" i="2"/>
  <c r="Z417" i="2"/>
  <c r="Z245" i="2"/>
  <c r="Z531" i="2"/>
  <c r="Z188" i="2"/>
  <c r="Z474" i="2"/>
  <c r="Z589" i="2"/>
  <c r="Z302" i="2"/>
  <c r="Z801" i="2" s="1"/>
  <c r="AA213" i="1"/>
  <c r="AA216" i="1"/>
  <c r="AA214" i="1"/>
  <c r="AB247" i="1"/>
  <c r="AB476" i="1"/>
  <c r="AB643" i="1"/>
  <c r="Z636" i="1"/>
  <c r="Z453" i="1" s="1"/>
  <c r="Z465" i="1" s="1"/>
  <c r="Z486" i="1" s="1"/>
  <c r="Z488" i="1" s="1"/>
  <c r="AA450" i="1"/>
  <c r="AA237" i="1" s="1"/>
  <c r="T251" i="2"/>
  <c r="AB264" i="1"/>
  <c r="AB475" i="1"/>
  <c r="AB454" i="1"/>
  <c r="AB479" i="1"/>
  <c r="AB445" i="1"/>
  <c r="AB134" i="1"/>
  <c r="AB458" i="1"/>
  <c r="AA404" i="1"/>
  <c r="AA660" i="1"/>
  <c r="AA169" i="1"/>
  <c r="AA176" i="1" s="1"/>
  <c r="Z665" i="1"/>
  <c r="Z263" i="1"/>
  <c r="Z273" i="1" s="1"/>
  <c r="Y801" i="2"/>
  <c r="R1095" i="2"/>
  <c r="R15" i="2"/>
  <c r="R802" i="2"/>
  <c r="R807" i="2"/>
  <c r="R799" i="2"/>
  <c r="T542" i="1"/>
  <c r="T656" i="1"/>
  <c r="F261" i="2"/>
  <c r="T119" i="1"/>
  <c r="V785" i="2"/>
  <c r="S785" i="2"/>
  <c r="AA191" i="2"/>
  <c r="AB191" i="2" s="1"/>
  <c r="J194" i="2"/>
  <c r="O194" i="2"/>
  <c r="P194" i="2"/>
  <c r="M194" i="2"/>
  <c r="T194" i="2"/>
  <c r="Q194" i="2"/>
  <c r="T807" i="2"/>
  <c r="T802" i="2"/>
  <c r="T799" i="2"/>
  <c r="AA652" i="1"/>
  <c r="AA482" i="1"/>
  <c r="AA637" i="1" s="1"/>
  <c r="AA474" i="1" s="1"/>
  <c r="AA484" i="1" s="1"/>
  <c r="AA64" i="1"/>
  <c r="AA76" i="1"/>
  <c r="AA67" i="1"/>
  <c r="AA256" i="1"/>
  <c r="AA103" i="1"/>
  <c r="AA585" i="1"/>
  <c r="AA257" i="1"/>
  <c r="AA576" i="1"/>
  <c r="AA462" i="1"/>
  <c r="AA255" i="1"/>
  <c r="AA135" i="1"/>
  <c r="AA271" i="1"/>
  <c r="AA463" i="1"/>
  <c r="AA593" i="1"/>
  <c r="AA254" i="1"/>
  <c r="AA661" i="1"/>
  <c r="AA179" i="1"/>
  <c r="AA185" i="1" s="1"/>
  <c r="X785" i="2"/>
  <c r="H785" i="2"/>
  <c r="Q801" i="2"/>
  <c r="N801" i="2"/>
  <c r="N1095" i="2"/>
  <c r="N15" i="2"/>
  <c r="N194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85" i="2"/>
  <c r="K785" i="2"/>
  <c r="N116" i="1"/>
  <c r="W1095" i="2"/>
  <c r="W15" i="2"/>
  <c r="L188" i="2"/>
  <c r="L807" i="2"/>
  <c r="L802" i="2"/>
  <c r="L799" i="2"/>
  <c r="L1095" i="2"/>
  <c r="L15" i="2"/>
  <c r="L801" i="2"/>
  <c r="J188" i="2"/>
  <c r="J802" i="2"/>
  <c r="J799" i="2"/>
  <c r="J807" i="2"/>
  <c r="J1095" i="2"/>
  <c r="J15" i="2"/>
  <c r="J801" i="2"/>
  <c r="Z667" i="1"/>
  <c r="Z535" i="1"/>
  <c r="Z577" i="1"/>
  <c r="Z536" i="1"/>
  <c r="Z594" i="1"/>
  <c r="Z596" i="1" s="1"/>
  <c r="F445" i="2" s="1"/>
  <c r="Z329" i="1"/>
  <c r="Z586" i="1"/>
  <c r="Z588" i="1" s="1"/>
  <c r="F387" i="2" s="1"/>
  <c r="Z328" i="1"/>
  <c r="Y15" i="1"/>
  <c r="AA248" i="2"/>
  <c r="AB248" i="2" s="1"/>
  <c r="AB250" i="1"/>
  <c r="AB48" i="1"/>
  <c r="AB635" i="1"/>
  <c r="AB396" i="1" s="1"/>
  <c r="AB402" i="1" s="1"/>
  <c r="AB206" i="1"/>
  <c r="AB640" i="1"/>
  <c r="AB123" i="1" s="1"/>
  <c r="AB423" i="1"/>
  <c r="AB499" i="1"/>
  <c r="AB634" i="1"/>
  <c r="AB386" i="1" s="1"/>
  <c r="AB393" i="1" s="1"/>
  <c r="Q251" i="2"/>
  <c r="AA662" i="1"/>
  <c r="AA425" i="1"/>
  <c r="AA190" i="1"/>
  <c r="AA196" i="1" s="1"/>
  <c r="AA208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85" i="2"/>
  <c r="O785" i="2"/>
  <c r="M785" i="2"/>
  <c r="Y802" i="2"/>
  <c r="Y807" i="2"/>
  <c r="Y799" i="2"/>
  <c r="Y1095" i="2"/>
  <c r="Y15" i="2"/>
  <c r="R801" i="2"/>
  <c r="R188" i="2"/>
  <c r="T654" i="1"/>
  <c r="T112" i="1"/>
  <c r="T116" i="1" s="1"/>
  <c r="V803" i="2"/>
  <c r="V804" i="2"/>
  <c r="V831" i="2"/>
  <c r="V808" i="2"/>
  <c r="G355" i="2"/>
  <c r="G136" i="2"/>
  <c r="G298" i="2"/>
  <c r="G527" i="2"/>
  <c r="G479" i="2"/>
  <c r="G241" i="2"/>
  <c r="G127" i="2"/>
  <c r="G536" i="2"/>
  <c r="G364" i="2"/>
  <c r="G470" i="2"/>
  <c r="G79" i="2"/>
  <c r="G642" i="2"/>
  <c r="G307" i="2"/>
  <c r="G651" i="2"/>
  <c r="G594" i="2"/>
  <c r="G193" i="2"/>
  <c r="G194" i="2" s="1"/>
  <c r="G27" i="15" s="1"/>
  <c r="G422" i="2"/>
  <c r="G184" i="2"/>
  <c r="E27" i="15" s="1"/>
  <c r="G11" i="2"/>
  <c r="G250" i="2"/>
  <c r="G585" i="2"/>
  <c r="G70" i="2"/>
  <c r="G413" i="2"/>
  <c r="AA1056" i="2"/>
  <c r="AB1056" i="2" s="1"/>
  <c r="S194" i="2"/>
  <c r="I194" i="2"/>
  <c r="K194" i="2"/>
  <c r="H194" i="2"/>
  <c r="R194" i="2"/>
  <c r="U194" i="2"/>
  <c r="T801" i="2"/>
  <c r="T1095" i="2"/>
  <c r="T15" i="2"/>
  <c r="T188" i="2"/>
  <c r="AA658" i="1"/>
  <c r="AA383" i="1"/>
  <c r="AA146" i="1"/>
  <c r="AA155" i="1" s="1"/>
  <c r="AA166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2" i="1"/>
  <c r="AC377" i="1"/>
  <c r="AC366" i="1"/>
  <c r="AC410" i="1"/>
  <c r="AC298" i="1"/>
  <c r="AC376" i="1"/>
  <c r="AC413" i="1"/>
  <c r="AC192" i="1"/>
  <c r="AC388" i="1"/>
  <c r="AC495" i="1"/>
  <c r="AC19" i="1"/>
  <c r="AC174" i="1"/>
  <c r="AC421" i="1"/>
  <c r="AC502" i="1"/>
  <c r="AC41" i="1"/>
  <c r="AC268" i="1" s="1"/>
  <c r="AC160" i="1"/>
  <c r="AC44" i="1"/>
  <c r="AC461" i="1" s="1"/>
  <c r="AC504" i="1"/>
  <c r="AD2" i="1"/>
  <c r="AC153" i="1"/>
  <c r="AC182" i="1"/>
  <c r="AC23" i="1"/>
  <c r="AC509" i="1"/>
  <c r="AC39" i="1"/>
  <c r="AC266" i="1" s="1"/>
  <c r="AC411" i="1"/>
  <c r="AC40" i="1"/>
  <c r="AC267" i="1" s="1"/>
  <c r="AC368" i="1"/>
  <c r="AC204" i="1"/>
  <c r="AC42" i="1"/>
  <c r="AC162" i="1"/>
  <c r="AC511" i="1"/>
  <c r="AC494" i="1"/>
  <c r="AC506" i="1"/>
  <c r="AC510" i="1"/>
  <c r="AC170" i="1"/>
  <c r="AC294" i="1"/>
  <c r="AC147" i="1"/>
  <c r="AC496" i="1"/>
  <c r="AC151" i="1"/>
  <c r="AC419" i="1"/>
  <c r="AC379" i="1"/>
  <c r="AC287" i="1"/>
  <c r="AC300" i="1"/>
  <c r="AC191" i="1"/>
  <c r="AC45" i="1"/>
  <c r="AC251" i="1" s="1"/>
  <c r="AC152" i="1"/>
  <c r="AC194" i="1"/>
  <c r="AC512" i="1"/>
  <c r="AC642" i="1"/>
  <c r="AC505" i="1"/>
  <c r="AC507" i="1"/>
  <c r="AC400" i="1"/>
  <c r="AC390" i="1"/>
  <c r="AC391" i="1"/>
  <c r="AC370" i="1"/>
  <c r="AC583" i="1"/>
  <c r="AC27" i="1"/>
  <c r="AC133" i="1"/>
  <c r="AC173" i="1"/>
  <c r="AC398" i="1"/>
  <c r="AC148" i="1"/>
  <c r="AC115" i="1"/>
  <c r="AC159" i="1"/>
  <c r="AC217" i="1"/>
  <c r="AC641" i="1"/>
  <c r="AC43" i="1"/>
  <c r="AC481" i="1" s="1"/>
  <c r="AC150" i="1"/>
  <c r="AC409" i="1"/>
  <c r="AC149" i="1"/>
  <c r="AC33" i="1"/>
  <c r="AC35" i="1" s="1"/>
  <c r="AC180" i="1"/>
  <c r="AC303" i="1"/>
  <c r="AC389" i="1"/>
  <c r="AC38" i="1"/>
  <c r="AC265" i="1" s="1"/>
  <c r="AC75" i="1"/>
  <c r="AC218" i="1"/>
  <c r="AC503" i="1"/>
  <c r="AC193" i="1"/>
  <c r="AC172" i="1"/>
  <c r="AC387" i="1"/>
  <c r="AC412" i="1"/>
  <c r="AC378" i="1"/>
  <c r="AC297" i="1"/>
  <c r="AC286" i="1"/>
  <c r="AC161" i="1"/>
  <c r="AC253" i="1"/>
  <c r="AC101" i="1"/>
  <c r="AC203" i="1"/>
  <c r="AC171" i="1"/>
  <c r="AC365" i="1"/>
  <c r="AC397" i="1"/>
  <c r="AC183" i="1"/>
  <c r="AC201" i="1"/>
  <c r="AC181" i="1"/>
  <c r="AC304" i="1"/>
  <c r="AC431" i="1"/>
  <c r="AC295" i="1"/>
  <c r="AC418" i="1"/>
  <c r="AC288" i="1"/>
  <c r="AC399" i="1"/>
  <c r="AC296" i="1"/>
  <c r="AC46" i="1"/>
  <c r="AC66" i="1"/>
  <c r="AC493" i="1"/>
  <c r="AC420" i="1"/>
  <c r="AC432" i="1"/>
  <c r="AC299" i="1"/>
  <c r="AC497" i="1"/>
  <c r="AC285" i="1"/>
  <c r="AC591" i="1"/>
  <c r="AC202" i="1"/>
  <c r="AC219" i="1"/>
  <c r="AC74" i="1"/>
  <c r="AC367" i="1"/>
  <c r="AC65" i="1"/>
  <c r="AC289" i="1"/>
  <c r="AC301" i="1"/>
  <c r="W657" i="1"/>
  <c r="W120" i="1"/>
  <c r="Q15" i="2"/>
  <c r="Q1095" i="2"/>
  <c r="Q802" i="2"/>
  <c r="Q799" i="2"/>
  <c r="Q807" i="2"/>
  <c r="Q188" i="2"/>
  <c r="N802" i="2"/>
  <c r="N807" i="2"/>
  <c r="N799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Z785" i="2"/>
  <c r="P831" i="2"/>
  <c r="P808" i="2"/>
  <c r="P803" i="2"/>
  <c r="P804" i="2"/>
  <c r="W801" i="2"/>
  <c r="W799" i="2"/>
  <c r="W802" i="2"/>
  <c r="W807" i="2"/>
  <c r="L194" i="2"/>
  <c r="Y194" i="2"/>
  <c r="Y251" i="2"/>
  <c r="AB291" i="1"/>
  <c r="AB415" i="1"/>
  <c r="AB455" i="1"/>
  <c r="AB631" i="1"/>
  <c r="AB364" i="1" s="1"/>
  <c r="AB372" i="1" s="1"/>
  <c r="AB306" i="1"/>
  <c r="AB514" i="1"/>
  <c r="Z427" i="1"/>
  <c r="AA548" i="2"/>
  <c r="AB548" i="2" s="1"/>
  <c r="AA127" i="2" l="1"/>
  <c r="AB127" i="2" s="1"/>
  <c r="E13" i="15"/>
  <c r="P965" i="2"/>
  <c r="P892" i="2"/>
  <c r="T965" i="2"/>
  <c r="T892" i="2"/>
  <c r="R965" i="2"/>
  <c r="R892" i="2"/>
  <c r="J965" i="2"/>
  <c r="J892" i="2"/>
  <c r="N965" i="2"/>
  <c r="N892" i="2"/>
  <c r="W965" i="2"/>
  <c r="W892" i="2"/>
  <c r="Y965" i="2"/>
  <c r="Y892" i="2"/>
  <c r="L965" i="2"/>
  <c r="L892" i="2"/>
  <c r="Q965" i="2"/>
  <c r="Q892" i="2"/>
  <c r="I204" i="2"/>
  <c r="P322" i="2"/>
  <c r="J322" i="2"/>
  <c r="T322" i="2"/>
  <c r="K322" i="2"/>
  <c r="N322" i="2"/>
  <c r="O322" i="2"/>
  <c r="H322" i="2"/>
  <c r="Z15" i="1"/>
  <c r="Z69" i="1" s="1"/>
  <c r="Z107" i="1"/>
  <c r="AA21" i="2"/>
  <c r="AB21" i="2" s="1"/>
  <c r="Z808" i="2"/>
  <c r="I803" i="2"/>
  <c r="S804" i="2"/>
  <c r="O808" i="2"/>
  <c r="M803" i="2"/>
  <c r="H808" i="2"/>
  <c r="U804" i="2"/>
  <c r="N703" i="2"/>
  <c r="Y703" i="2"/>
  <c r="W703" i="2"/>
  <c r="J703" i="2"/>
  <c r="L703" i="2"/>
  <c r="P703" i="2"/>
  <c r="Q703" i="2"/>
  <c r="T703" i="2"/>
  <c r="R703" i="2"/>
  <c r="AB572" i="1"/>
  <c r="AB50" i="1"/>
  <c r="AB13" i="1" s="1"/>
  <c r="AC653" i="1"/>
  <c r="T204" i="2"/>
  <c r="AA260" i="2"/>
  <c r="AB260" i="2" s="1"/>
  <c r="H831" i="2"/>
  <c r="M831" i="2"/>
  <c r="O831" i="2"/>
  <c r="I831" i="2"/>
  <c r="M804" i="2"/>
  <c r="H804" i="2"/>
  <c r="M808" i="2"/>
  <c r="H803" i="2"/>
  <c r="S204" i="2"/>
  <c r="O803" i="2"/>
  <c r="V204" i="2"/>
  <c r="H204" i="2"/>
  <c r="O804" i="2"/>
  <c r="O204" i="2"/>
  <c r="U831" i="2"/>
  <c r="U803" i="2"/>
  <c r="U808" i="2"/>
  <c r="X803" i="2"/>
  <c r="X804" i="2"/>
  <c r="K803" i="2"/>
  <c r="P204" i="2"/>
  <c r="K804" i="2"/>
  <c r="L204" i="2"/>
  <c r="Y204" i="2"/>
  <c r="I808" i="2"/>
  <c r="S803" i="2"/>
  <c r="K204" i="2"/>
  <c r="M204" i="2"/>
  <c r="Z804" i="2"/>
  <c r="I804" i="2"/>
  <c r="S808" i="2"/>
  <c r="G204" i="2"/>
  <c r="J204" i="2"/>
  <c r="X204" i="2"/>
  <c r="Z204" i="2"/>
  <c r="Z831" i="2"/>
  <c r="K831" i="2"/>
  <c r="R204" i="2"/>
  <c r="U204" i="2"/>
  <c r="X831" i="2"/>
  <c r="X808" i="2"/>
  <c r="S831" i="2"/>
  <c r="W204" i="2"/>
  <c r="N204" i="2"/>
  <c r="Z803" i="2"/>
  <c r="Q204" i="2"/>
  <c r="O35" i="2"/>
  <c r="W92" i="2"/>
  <c r="H35" i="2"/>
  <c r="N92" i="2"/>
  <c r="G92" i="2"/>
  <c r="Z92" i="2"/>
  <c r="X120" i="1"/>
  <c r="Y35" i="2"/>
  <c r="V35" i="2"/>
  <c r="AA91" i="2"/>
  <c r="AB91" i="2" s="1"/>
  <c r="Y92" i="2"/>
  <c r="U92" i="2"/>
  <c r="T92" i="2"/>
  <c r="M92" i="2"/>
  <c r="O92" i="2"/>
  <c r="R92" i="2"/>
  <c r="Q92" i="2"/>
  <c r="L92" i="2"/>
  <c r="P35" i="2"/>
  <c r="T35" i="2"/>
  <c r="R35" i="2"/>
  <c r="X35" i="2"/>
  <c r="U35" i="2"/>
  <c r="Y277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0" i="1"/>
  <c r="Z223" i="1" s="1"/>
  <c r="I35" i="2"/>
  <c r="U654" i="1"/>
  <c r="N35" i="2"/>
  <c r="V93" i="2"/>
  <c r="M607" i="2"/>
  <c r="U93" i="2"/>
  <c r="U610" i="1"/>
  <c r="K665" i="2"/>
  <c r="W35" i="2"/>
  <c r="G3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J35" i="2"/>
  <c r="AC575" i="1"/>
  <c r="Q607" i="2"/>
  <c r="G607" i="2"/>
  <c r="L607" i="2"/>
  <c r="N607" i="2"/>
  <c r="W607" i="2"/>
  <c r="J607" i="2"/>
  <c r="J609" i="2" s="1"/>
  <c r="S35" i="2"/>
  <c r="P205" i="2"/>
  <c r="Z607" i="2"/>
  <c r="S607" i="2"/>
  <c r="G550" i="2"/>
  <c r="Q35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AA34" i="2"/>
  <c r="AB34" i="2" s="1"/>
  <c r="Y93" i="2"/>
  <c r="J93" i="2"/>
  <c r="O93" i="2"/>
  <c r="X93" i="2"/>
  <c r="M93" i="2"/>
  <c r="K35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19" i="1"/>
  <c r="U122" i="1" s="1"/>
  <c r="U140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1" i="1"/>
  <c r="AC480" i="1"/>
  <c r="AC443" i="1"/>
  <c r="V542" i="1"/>
  <c r="V656" i="1"/>
  <c r="V119" i="1"/>
  <c r="V122" i="1" s="1"/>
  <c r="F263" i="2"/>
  <c r="L263" i="2" s="1"/>
  <c r="AC441" i="1"/>
  <c r="AC447" i="1"/>
  <c r="AC444" i="1"/>
  <c r="K808" i="2"/>
  <c r="P785" i="2"/>
  <c r="AC448" i="1"/>
  <c r="AC574" i="1"/>
  <c r="Z669" i="1"/>
  <c r="AC445" i="1"/>
  <c r="Z241" i="1"/>
  <c r="Z578" i="1"/>
  <c r="Z580" i="1" s="1"/>
  <c r="F330" i="2" s="1"/>
  <c r="AA239" i="1"/>
  <c r="AC455" i="1"/>
  <c r="AC459" i="1"/>
  <c r="AC475" i="1"/>
  <c r="AC248" i="1"/>
  <c r="AB158" i="1"/>
  <c r="AB164" i="1" s="1"/>
  <c r="AC250" i="1"/>
  <c r="AC249" i="1"/>
  <c r="AA143" i="2"/>
  <c r="AB143" i="2" s="1"/>
  <c r="AB450" i="1"/>
  <c r="AB237" i="1" s="1"/>
  <c r="AC247" i="1"/>
  <c r="AC269" i="1"/>
  <c r="AA234" i="1"/>
  <c r="AA228" i="1"/>
  <c r="AA235" i="1"/>
  <c r="AA663" i="1"/>
  <c r="Z246" i="1"/>
  <c r="Z259" i="1" s="1"/>
  <c r="Z275" i="1" s="1"/>
  <c r="AA226" i="1"/>
  <c r="Z664" i="1"/>
  <c r="AA230" i="1"/>
  <c r="AC458" i="1"/>
  <c r="AC264" i="1"/>
  <c r="AC478" i="1"/>
  <c r="AA427" i="1"/>
  <c r="AA233" i="1"/>
  <c r="AA229" i="1"/>
  <c r="AA227" i="1"/>
  <c r="AA236" i="1"/>
  <c r="Z807" i="2"/>
  <c r="Z799" i="2"/>
  <c r="Z802" i="2"/>
  <c r="AB213" i="1"/>
  <c r="AB430" i="1"/>
  <c r="AB434" i="1" s="1"/>
  <c r="AB215" i="1"/>
  <c r="AB216" i="1"/>
  <c r="AB214" i="1"/>
  <c r="AA221" i="1"/>
  <c r="AC457" i="1"/>
  <c r="AC456" i="1"/>
  <c r="AC291" i="1"/>
  <c r="AC499" i="1"/>
  <c r="AC423" i="1"/>
  <c r="AC631" i="1"/>
  <c r="AC364" i="1" s="1"/>
  <c r="AC372" i="1" s="1"/>
  <c r="AC146" i="1" s="1"/>
  <c r="AC155" i="1" s="1"/>
  <c r="AC634" i="1"/>
  <c r="AC386" i="1" s="1"/>
  <c r="AC393" i="1" s="1"/>
  <c r="AC169" i="1" s="1"/>
  <c r="AC176" i="1" s="1"/>
  <c r="AC415" i="1"/>
  <c r="AC190" i="1" s="1"/>
  <c r="AC196" i="1" s="1"/>
  <c r="F325" i="2"/>
  <c r="G27" i="14"/>
  <c r="AA194" i="2"/>
  <c r="AB194" i="2" s="1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6" i="1"/>
  <c r="AB155" i="1" s="1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2" i="1"/>
  <c r="AB425" i="1"/>
  <c r="AB190" i="1"/>
  <c r="AB196" i="1" s="1"/>
  <c r="AB208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85" i="2"/>
  <c r="X95" i="1"/>
  <c r="X98" i="1" s="1"/>
  <c r="X655" i="1"/>
  <c r="X81" i="1"/>
  <c r="X113" i="1"/>
  <c r="X128" i="1"/>
  <c r="X125" i="1"/>
  <c r="F38" i="2"/>
  <c r="X114" i="1"/>
  <c r="X126" i="1"/>
  <c r="X127" i="1"/>
  <c r="T785" i="2"/>
  <c r="AA413" i="2"/>
  <c r="AB413" i="2" s="1"/>
  <c r="G417" i="2"/>
  <c r="AA585" i="2"/>
  <c r="AB585" i="2" s="1"/>
  <c r="G589" i="2"/>
  <c r="AA11" i="2"/>
  <c r="AB11" i="2" s="1"/>
  <c r="G1095" i="2"/>
  <c r="G892" i="2" s="1"/>
  <c r="G15" i="2"/>
  <c r="AA422" i="2"/>
  <c r="AB422" i="2" s="1"/>
  <c r="G423" i="2"/>
  <c r="AA423" i="2" s="1"/>
  <c r="AB423" i="2" s="1"/>
  <c r="AA594" i="2"/>
  <c r="AB594" i="2" s="1"/>
  <c r="G595" i="2"/>
  <c r="AA595" i="2" s="1"/>
  <c r="AB595" i="2" s="1"/>
  <c r="AA307" i="2"/>
  <c r="AB307" i="2" s="1"/>
  <c r="G308" i="2"/>
  <c r="G28" i="15" s="1"/>
  <c r="G80" i="2"/>
  <c r="AA80" i="2" s="1"/>
  <c r="AB80" i="2" s="1"/>
  <c r="AA79" i="2"/>
  <c r="AB79" i="2" s="1"/>
  <c r="AA364" i="2"/>
  <c r="AB364" i="2" s="1"/>
  <c r="G365" i="2"/>
  <c r="E13" i="14"/>
  <c r="AA479" i="2"/>
  <c r="AB479" i="2" s="1"/>
  <c r="G480" i="2"/>
  <c r="AA480" i="2" s="1"/>
  <c r="AB480" i="2" s="1"/>
  <c r="AA298" i="2"/>
  <c r="AB298" i="2" s="1"/>
  <c r="G302" i="2"/>
  <c r="E28" i="15" s="1"/>
  <c r="Y785" i="2"/>
  <c r="AB404" i="1"/>
  <c r="AB660" i="1"/>
  <c r="AB169" i="1"/>
  <c r="AB176" i="1" s="1"/>
  <c r="AB661" i="1"/>
  <c r="AB179" i="1"/>
  <c r="AB185" i="1" s="1"/>
  <c r="Y69" i="1"/>
  <c r="Y669" i="1"/>
  <c r="Y578" i="1"/>
  <c r="Y580" i="1" s="1"/>
  <c r="Z81" i="1"/>
  <c r="Z655" i="1"/>
  <c r="Z95" i="1"/>
  <c r="Z98" i="1" s="1"/>
  <c r="Z113" i="1"/>
  <c r="F43" i="2"/>
  <c r="Z126" i="1"/>
  <c r="Z128" i="1"/>
  <c r="Z127" i="1"/>
  <c r="Z125" i="1"/>
  <c r="Z114" i="1"/>
  <c r="J785" i="2"/>
  <c r="L803" i="2"/>
  <c r="L808" i="2"/>
  <c r="L804" i="2"/>
  <c r="L831" i="2"/>
  <c r="W803" i="2"/>
  <c r="W831" i="2"/>
  <c r="W804" i="2"/>
  <c r="W808" i="2"/>
  <c r="AA440" i="2"/>
  <c r="AB440" i="2" s="1"/>
  <c r="AA382" i="2"/>
  <c r="AB382" i="2" s="1"/>
  <c r="N808" i="2"/>
  <c r="N804" i="2"/>
  <c r="N831" i="2"/>
  <c r="N803" i="2"/>
  <c r="T122" i="1"/>
  <c r="T140" i="1" s="1"/>
  <c r="F147" i="2" s="1"/>
  <c r="R785" i="2"/>
  <c r="AA491" i="2"/>
  <c r="AB491" i="2" s="1"/>
  <c r="AC206" i="1"/>
  <c r="AC635" i="1"/>
  <c r="AC396" i="1" s="1"/>
  <c r="AC402" i="1" s="1"/>
  <c r="AC643" i="1"/>
  <c r="AC454" i="1"/>
  <c r="AC232" i="1"/>
  <c r="AC238" i="1"/>
  <c r="AC592" i="1"/>
  <c r="AC252" i="1"/>
  <c r="AC446" i="1"/>
  <c r="AC306" i="1"/>
  <c r="AC640" i="1"/>
  <c r="AC123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7" i="1"/>
  <c r="AA210" i="1" s="1"/>
  <c r="Q803" i="2"/>
  <c r="Q808" i="2"/>
  <c r="Q804" i="2"/>
  <c r="Q831" i="2"/>
  <c r="AD217" i="1"/>
  <c r="AD253" i="1"/>
  <c r="AD296" i="1"/>
  <c r="AD642" i="1"/>
  <c r="AD419" i="1"/>
  <c r="AD421" i="1"/>
  <c r="AD303" i="1"/>
  <c r="AD180" i="1"/>
  <c r="AD194" i="1"/>
  <c r="AD285" i="1"/>
  <c r="AE2" i="1"/>
  <c r="AD505" i="1"/>
  <c r="AD412" i="1"/>
  <c r="AD287" i="1"/>
  <c r="AD171" i="1"/>
  <c r="AD203" i="1"/>
  <c r="AD170" i="1"/>
  <c r="AD365" i="1"/>
  <c r="AD387" i="1"/>
  <c r="AD389" i="1"/>
  <c r="AD504" i="1"/>
  <c r="AD160" i="1"/>
  <c r="AD101" i="1"/>
  <c r="AD204" i="1"/>
  <c r="AD44" i="1"/>
  <c r="AD461" i="1" s="1"/>
  <c r="AD133" i="1"/>
  <c r="AD45" i="1"/>
  <c r="AD251" i="1" s="1"/>
  <c r="AD150" i="1"/>
  <c r="AD183" i="1"/>
  <c r="AD510" i="1"/>
  <c r="AD147" i="1"/>
  <c r="AD115" i="1"/>
  <c r="AD75" i="1"/>
  <c r="AD153" i="1"/>
  <c r="AD286" i="1"/>
  <c r="AD288" i="1"/>
  <c r="AD496" i="1"/>
  <c r="AD65" i="1"/>
  <c r="AD42" i="1"/>
  <c r="AD159" i="1"/>
  <c r="AD41" i="1"/>
  <c r="AD268" i="1" s="1"/>
  <c r="AD411" i="1"/>
  <c r="AD298" i="1"/>
  <c r="AD300" i="1"/>
  <c r="AD191" i="1"/>
  <c r="AD378" i="1"/>
  <c r="AD302" i="1"/>
  <c r="AD304" i="1"/>
  <c r="AD297" i="1"/>
  <c r="AD388" i="1"/>
  <c r="AD201" i="1"/>
  <c r="AD182" i="1"/>
  <c r="AD494" i="1"/>
  <c r="AD377" i="1"/>
  <c r="AD295" i="1"/>
  <c r="AD409" i="1"/>
  <c r="AD289" i="1"/>
  <c r="AD507" i="1"/>
  <c r="AD506" i="1"/>
  <c r="AD591" i="1"/>
  <c r="AD511" i="1"/>
  <c r="AD148" i="1"/>
  <c r="AD152" i="1"/>
  <c r="AD162" i="1"/>
  <c r="AD398" i="1"/>
  <c r="AD202" i="1"/>
  <c r="AD493" i="1"/>
  <c r="AD503" i="1"/>
  <c r="AD508" i="1"/>
  <c r="AD192" i="1"/>
  <c r="AD173" i="1"/>
  <c r="AD376" i="1"/>
  <c r="AD66" i="1"/>
  <c r="AD509" i="1"/>
  <c r="AD413" i="1"/>
  <c r="AD38" i="1"/>
  <c r="AD248" i="1" s="1"/>
  <c r="AD502" i="1"/>
  <c r="AD149" i="1"/>
  <c r="AD39" i="1"/>
  <c r="AD477" i="1" s="1"/>
  <c r="AD74" i="1"/>
  <c r="AD151" i="1"/>
  <c r="AD420" i="1"/>
  <c r="AD432" i="1"/>
  <c r="AD366" i="1"/>
  <c r="AD431" i="1"/>
  <c r="AD294" i="1"/>
  <c r="AD369" i="1"/>
  <c r="AD397" i="1"/>
  <c r="AD193" i="1"/>
  <c r="AD399" i="1"/>
  <c r="AD410" i="1"/>
  <c r="AD368" i="1"/>
  <c r="AD370" i="1"/>
  <c r="AD641" i="1"/>
  <c r="AD174" i="1"/>
  <c r="AD172" i="1"/>
  <c r="AD391" i="1"/>
  <c r="AD379" i="1"/>
  <c r="AD418" i="1"/>
  <c r="AD460" i="1"/>
  <c r="AD27" i="1"/>
  <c r="AD40" i="1"/>
  <c r="AD267" i="1" s="1"/>
  <c r="AD512" i="1"/>
  <c r="AD19" i="1"/>
  <c r="AD46" i="1"/>
  <c r="AD367" i="1"/>
  <c r="AD161" i="1"/>
  <c r="AD583" i="1"/>
  <c r="AD33" i="1"/>
  <c r="AD43" i="1"/>
  <c r="AD481" i="1" s="1"/>
  <c r="AD301" i="1"/>
  <c r="AD181" i="1"/>
  <c r="AD23" i="1"/>
  <c r="AD495" i="1"/>
  <c r="AD400" i="1"/>
  <c r="AD218" i="1"/>
  <c r="AD497" i="1"/>
  <c r="AD219" i="1"/>
  <c r="AD390" i="1"/>
  <c r="AD299" i="1"/>
  <c r="T803" i="2"/>
  <c r="T808" i="2"/>
  <c r="T831" i="2"/>
  <c r="T804" i="2"/>
  <c r="G74" i="2"/>
  <c r="AA70" i="2"/>
  <c r="AB70" i="2" s="1"/>
  <c r="G251" i="2"/>
  <c r="AA251" i="2" s="1"/>
  <c r="AB251" i="2" s="1"/>
  <c r="AA250" i="2"/>
  <c r="AB250" i="2" s="1"/>
  <c r="AA184" i="2"/>
  <c r="AB184" i="2" s="1"/>
  <c r="E27" i="14"/>
  <c r="G188" i="2"/>
  <c r="AA193" i="2"/>
  <c r="AB193" i="2" s="1"/>
  <c r="AA651" i="2"/>
  <c r="AB651" i="2" s="1"/>
  <c r="G652" i="2"/>
  <c r="AA652" i="2" s="1"/>
  <c r="AB652" i="2" s="1"/>
  <c r="G646" i="2"/>
  <c r="AA642" i="2"/>
  <c r="AB642" i="2" s="1"/>
  <c r="AA470" i="2"/>
  <c r="AB470" i="2" s="1"/>
  <c r="G474" i="2"/>
  <c r="AA536" i="2"/>
  <c r="AB536" i="2" s="1"/>
  <c r="G537" i="2"/>
  <c r="AA537" i="2" s="1"/>
  <c r="AB537" i="2" s="1"/>
  <c r="AA241" i="2"/>
  <c r="AB241" i="2" s="1"/>
  <c r="G245" i="2"/>
  <c r="AA527" i="2"/>
  <c r="AB527" i="2" s="1"/>
  <c r="G531" i="2"/>
  <c r="AA136" i="2"/>
  <c r="AB136" i="2" s="1"/>
  <c r="AA355" i="2"/>
  <c r="AB355" i="2" s="1"/>
  <c r="G359" i="2"/>
  <c r="Y804" i="2"/>
  <c r="Y803" i="2"/>
  <c r="Y808" i="2"/>
  <c r="Y831" i="2"/>
  <c r="H129" i="2"/>
  <c r="G129" i="2"/>
  <c r="M129" i="2"/>
  <c r="Q129" i="2"/>
  <c r="T129" i="2"/>
  <c r="W129" i="2"/>
  <c r="W131" i="2" s="1"/>
  <c r="Z129" i="2"/>
  <c r="Z131" i="2" s="1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L384" i="2" s="1"/>
  <c r="T383" i="2"/>
  <c r="Z383" i="2"/>
  <c r="Z384" i="2" s="1"/>
  <c r="I383" i="2"/>
  <c r="I384" i="2" s="1"/>
  <c r="H383" i="2"/>
  <c r="K383" i="2"/>
  <c r="U383" i="2"/>
  <c r="AA651" i="1"/>
  <c r="AA12" i="1"/>
  <c r="AA13" i="1"/>
  <c r="AA104" i="1"/>
  <c r="AA10" i="1"/>
  <c r="AA63" i="1"/>
  <c r="AA60" i="1"/>
  <c r="AA62" i="1"/>
  <c r="AA136" i="1"/>
  <c r="AA138" i="1" s="1"/>
  <c r="AA105" i="1"/>
  <c r="AA77" i="1"/>
  <c r="AA79" i="1" s="1"/>
  <c r="AA96" i="1" s="1"/>
  <c r="AA11" i="1"/>
  <c r="AA9" i="1"/>
  <c r="AB652" i="1"/>
  <c r="AB482" i="1"/>
  <c r="AB637" i="1" s="1"/>
  <c r="AB474" i="1" s="1"/>
  <c r="AB484" i="1" s="1"/>
  <c r="AB257" i="1"/>
  <c r="AB76" i="1"/>
  <c r="AB271" i="1"/>
  <c r="AB576" i="1"/>
  <c r="AB64" i="1"/>
  <c r="AB585" i="1"/>
  <c r="AB103" i="1"/>
  <c r="AB256" i="1"/>
  <c r="AB463" i="1"/>
  <c r="AB254" i="1"/>
  <c r="AB593" i="1"/>
  <c r="AB462" i="1"/>
  <c r="AB67" i="1"/>
  <c r="AB135" i="1"/>
  <c r="AB255" i="1"/>
  <c r="J804" i="2"/>
  <c r="J808" i="2"/>
  <c r="J803" i="2"/>
  <c r="J831" i="2"/>
  <c r="L785" i="2"/>
  <c r="W785" i="2"/>
  <c r="N140" i="1"/>
  <c r="N785" i="2"/>
  <c r="AA665" i="1"/>
  <c r="AA263" i="1"/>
  <c r="AA273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R808" i="2"/>
  <c r="R831" i="2"/>
  <c r="R804" i="2"/>
  <c r="R803" i="2"/>
  <c r="AC48" i="1"/>
  <c r="AC584" i="1"/>
  <c r="AC442" i="1"/>
  <c r="AC134" i="1"/>
  <c r="AC476" i="1"/>
  <c r="AC102" i="1"/>
  <c r="AC270" i="1"/>
  <c r="Y279" i="1"/>
  <c r="F384" i="2"/>
  <c r="Z490" i="1"/>
  <c r="E29" i="15" l="1"/>
  <c r="G29" i="15"/>
  <c r="L666" i="2"/>
  <c r="AA892" i="2"/>
  <c r="AB892" i="2" s="1"/>
  <c r="G965" i="2"/>
  <c r="D36" i="15" s="1"/>
  <c r="E36" i="15" s="1"/>
  <c r="L36" i="15" s="1"/>
  <c r="AA322" i="2"/>
  <c r="AB322" i="2" s="1"/>
  <c r="N384" i="2"/>
  <c r="T384" i="2"/>
  <c r="K384" i="2"/>
  <c r="O384" i="2"/>
  <c r="P384" i="2"/>
  <c r="AD35" i="1"/>
  <c r="G703" i="2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AA35" i="2"/>
  <c r="AB35" i="2" s="1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39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19" i="1"/>
  <c r="W122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2" i="1"/>
  <c r="V116" i="1" s="1"/>
  <c r="V140" i="1" s="1"/>
  <c r="F149" i="2" s="1"/>
  <c r="Q149" i="2" s="1"/>
  <c r="G666" i="2"/>
  <c r="Y551" i="2"/>
  <c r="S263" i="2"/>
  <c r="AB77" i="1"/>
  <c r="AB79" i="1" s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5" i="1"/>
  <c r="AB9" i="1"/>
  <c r="AD456" i="1"/>
  <c r="M263" i="2"/>
  <c r="V263" i="2"/>
  <c r="AB62" i="1"/>
  <c r="AB136" i="1"/>
  <c r="AB138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29" i="1"/>
  <c r="AB230" i="1"/>
  <c r="U494" i="2"/>
  <c r="AB236" i="1"/>
  <c r="AB235" i="1"/>
  <c r="AB234" i="1"/>
  <c r="AB226" i="1"/>
  <c r="AA490" i="1"/>
  <c r="AA516" i="1" s="1"/>
  <c r="AB227" i="1"/>
  <c r="AB663" i="1"/>
  <c r="AB233" i="1"/>
  <c r="AB228" i="1"/>
  <c r="J494" i="2"/>
  <c r="M494" i="2"/>
  <c r="P494" i="2"/>
  <c r="H494" i="2"/>
  <c r="AD458" i="1"/>
  <c r="AD480" i="1"/>
  <c r="AD475" i="1"/>
  <c r="AD643" i="1"/>
  <c r="AD214" i="1" s="1"/>
  <c r="AB166" i="1"/>
  <c r="AD266" i="1"/>
  <c r="AC660" i="1"/>
  <c r="T494" i="2"/>
  <c r="AD264" i="1"/>
  <c r="AD479" i="1"/>
  <c r="I494" i="2"/>
  <c r="AC658" i="1"/>
  <c r="X494" i="2"/>
  <c r="AA223" i="1"/>
  <c r="AD584" i="1"/>
  <c r="AD443" i="1"/>
  <c r="AC208" i="1"/>
  <c r="AD232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1" i="1"/>
  <c r="AD444" i="1"/>
  <c r="AD250" i="1"/>
  <c r="AD478" i="1"/>
  <c r="Z277" i="1"/>
  <c r="Z279" i="1"/>
  <c r="Z308" i="1" s="1"/>
  <c r="AD454" i="1"/>
  <c r="AD445" i="1"/>
  <c r="AD448" i="1"/>
  <c r="AD231" i="1"/>
  <c r="AD265" i="1"/>
  <c r="AD269" i="1"/>
  <c r="V494" i="2"/>
  <c r="AD455" i="1"/>
  <c r="W494" i="2"/>
  <c r="AD457" i="1"/>
  <c r="AD247" i="1"/>
  <c r="AD134" i="1"/>
  <c r="AC450" i="1"/>
  <c r="AC663" i="1" s="1"/>
  <c r="AD574" i="1"/>
  <c r="AD476" i="1"/>
  <c r="AD238" i="1"/>
  <c r="AB221" i="1"/>
  <c r="AB636" i="1"/>
  <c r="AB453" i="1" s="1"/>
  <c r="AB465" i="1" s="1"/>
  <c r="AB246" i="1" s="1"/>
  <c r="AB259" i="1" s="1"/>
  <c r="AD252" i="1"/>
  <c r="AA107" i="1"/>
  <c r="Z130" i="1"/>
  <c r="Z516" i="1"/>
  <c r="Y308" i="1"/>
  <c r="AB665" i="1"/>
  <c r="AB263" i="1"/>
  <c r="AB273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Y1084" i="2"/>
  <c r="Y1088" i="2"/>
  <c r="Y1089" i="2" s="1"/>
  <c r="W1088" i="2"/>
  <c r="W1089" i="2" s="1"/>
  <c r="V1084" i="2"/>
  <c r="W1084" i="2"/>
  <c r="V1088" i="2"/>
  <c r="V1089" i="2" s="1"/>
  <c r="X1084" i="2"/>
  <c r="X1088" i="2"/>
  <c r="X1089" i="2" s="1"/>
  <c r="Z1088" i="2"/>
  <c r="Z1089" i="2" s="1"/>
  <c r="Z1084" i="2"/>
  <c r="O1084" i="2"/>
  <c r="O1088" i="2"/>
  <c r="O1089" i="2" s="1"/>
  <c r="P131" i="2"/>
  <c r="P1088" i="2" s="1"/>
  <c r="P1089" i="2" s="1"/>
  <c r="U131" i="2"/>
  <c r="U1084" i="2" s="1"/>
  <c r="R131" i="2"/>
  <c r="R1088" i="2" s="1"/>
  <c r="R1089" i="2" s="1"/>
  <c r="L131" i="2"/>
  <c r="Q131" i="2"/>
  <c r="AA129" i="2"/>
  <c r="AB129" i="2" s="1"/>
  <c r="AA359" i="2"/>
  <c r="AB359" i="2" s="1"/>
  <c r="AA531" i="2"/>
  <c r="AB531" i="2" s="1"/>
  <c r="AA245" i="2"/>
  <c r="AB245" i="2" s="1"/>
  <c r="AA474" i="2"/>
  <c r="AB474" i="2" s="1"/>
  <c r="AA664" i="1"/>
  <c r="AA246" i="1"/>
  <c r="AA259" i="1" s="1"/>
  <c r="AA275" i="1" s="1"/>
  <c r="AC668" i="1"/>
  <c r="AC571" i="1"/>
  <c r="AC573" i="1"/>
  <c r="AC572" i="1"/>
  <c r="Y655" i="1"/>
  <c r="Y95" i="1"/>
  <c r="Y98" i="1" s="1"/>
  <c r="Y81" i="1"/>
  <c r="Y114" i="1"/>
  <c r="Y125" i="1"/>
  <c r="Y126" i="1"/>
  <c r="F39" i="2"/>
  <c r="F40" i="2" s="1"/>
  <c r="Y128" i="1"/>
  <c r="Y127" i="1"/>
  <c r="Y113" i="1"/>
  <c r="G802" i="2"/>
  <c r="AA802" i="2" s="1"/>
  <c r="AB802" i="2" s="1"/>
  <c r="G807" i="2"/>
  <c r="AA807" i="2" s="1"/>
  <c r="AB807" i="2" s="1"/>
  <c r="G799" i="2"/>
  <c r="D33" i="15" s="1"/>
  <c r="G33" i="15" s="1"/>
  <c r="L33" i="15" s="1"/>
  <c r="G29" i="14"/>
  <c r="AA365" i="2"/>
  <c r="AB365" i="2" s="1"/>
  <c r="G28" i="14"/>
  <c r="AA308" i="2"/>
  <c r="AB308" i="2" s="1"/>
  <c r="AA15" i="2"/>
  <c r="AB15" i="2" s="1"/>
  <c r="G831" i="2"/>
  <c r="G808" i="2"/>
  <c r="AA808" i="2" s="1"/>
  <c r="AB808" i="2" s="1"/>
  <c r="G803" i="2"/>
  <c r="AA803" i="2" s="1"/>
  <c r="AB803" i="2" s="1"/>
  <c r="G804" i="2"/>
  <c r="AA804" i="2" s="1"/>
  <c r="AB804" i="2" s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9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2" i="1"/>
  <c r="W116" i="1" s="1"/>
  <c r="AA15" i="1"/>
  <c r="AA441" i="2"/>
  <c r="AB441" i="2" s="1"/>
  <c r="AD459" i="1"/>
  <c r="AD29" i="1"/>
  <c r="AD423" i="1"/>
  <c r="AD635" i="1"/>
  <c r="AD396" i="1" s="1"/>
  <c r="AD402" i="1" s="1"/>
  <c r="AD640" i="1"/>
  <c r="AD123" i="1" s="1"/>
  <c r="AD514" i="1"/>
  <c r="AD499" i="1"/>
  <c r="AD270" i="1"/>
  <c r="AD446" i="1"/>
  <c r="AD415" i="1"/>
  <c r="AD634" i="1"/>
  <c r="AD386" i="1" s="1"/>
  <c r="AD393" i="1" s="1"/>
  <c r="AD291" i="1"/>
  <c r="G384" i="2"/>
  <c r="M384" i="2"/>
  <c r="G131" i="2"/>
  <c r="G1084" i="2" s="1"/>
  <c r="S494" i="2"/>
  <c r="AA387" i="2"/>
  <c r="AB387" i="2" s="1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4" i="1"/>
  <c r="AC255" i="1"/>
  <c r="AC135" i="1"/>
  <c r="AC576" i="1"/>
  <c r="AC64" i="1"/>
  <c r="AC257" i="1"/>
  <c r="AC585" i="1"/>
  <c r="AC463" i="1"/>
  <c r="AC593" i="1"/>
  <c r="AC256" i="1"/>
  <c r="AC462" i="1"/>
  <c r="AC67" i="1"/>
  <c r="AC76" i="1"/>
  <c r="AC103" i="1"/>
  <c r="AC271" i="1"/>
  <c r="AA261" i="2"/>
  <c r="AB261" i="2" s="1"/>
  <c r="F134" i="2"/>
  <c r="U384" i="2"/>
  <c r="J131" i="2"/>
  <c r="J1088" i="2" s="1"/>
  <c r="J1089" i="2" s="1"/>
  <c r="K131" i="2"/>
  <c r="K1084" i="2" s="1"/>
  <c r="S131" i="2"/>
  <c r="S1084" i="2" s="1"/>
  <c r="N131" i="2"/>
  <c r="N1088" i="2" s="1"/>
  <c r="N1089" i="2" s="1"/>
  <c r="I131" i="2"/>
  <c r="I1084" i="2" s="1"/>
  <c r="T131" i="2"/>
  <c r="T1084" i="2" s="1"/>
  <c r="M131" i="2"/>
  <c r="M1088" i="2" s="1"/>
  <c r="M1089" i="2" s="1"/>
  <c r="H131" i="2"/>
  <c r="H1084" i="2" s="1"/>
  <c r="AA646" i="2"/>
  <c r="AB646" i="2" s="1"/>
  <c r="AA188" i="2"/>
  <c r="AB188" i="2" s="1"/>
  <c r="AA74" i="2"/>
  <c r="AB74" i="2" s="1"/>
  <c r="AE368" i="1"/>
  <c r="AF368" i="1" s="1"/>
  <c r="AG368" i="1" s="1"/>
  <c r="AE288" i="1"/>
  <c r="AF288" i="1" s="1"/>
  <c r="AG288" i="1" s="1"/>
  <c r="AE418" i="1"/>
  <c r="AE387" i="1"/>
  <c r="AE253" i="1"/>
  <c r="AF253" i="1" s="1"/>
  <c r="AG253" i="1" s="1"/>
  <c r="AE162" i="1"/>
  <c r="AF162" i="1" s="1"/>
  <c r="AG162" i="1" s="1"/>
  <c r="AE409" i="1"/>
  <c r="AE289" i="1"/>
  <c r="AF289" i="1" s="1"/>
  <c r="AG289" i="1" s="1"/>
  <c r="AE219" i="1"/>
  <c r="AF219" i="1" s="1"/>
  <c r="AG219" i="1" s="1"/>
  <c r="AE287" i="1"/>
  <c r="AF287" i="1" s="1"/>
  <c r="AG287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5" i="1"/>
  <c r="AF295" i="1" s="1"/>
  <c r="AG295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3" i="1"/>
  <c r="AE286" i="1"/>
  <c r="AF286" i="1" s="1"/>
  <c r="AG286" i="1" s="1"/>
  <c r="AE460" i="1"/>
  <c r="AF460" i="1" s="1"/>
  <c r="AG460" i="1" s="1"/>
  <c r="AE147" i="1"/>
  <c r="AF147" i="1" s="1"/>
  <c r="AG147" i="1" s="1"/>
  <c r="AE171" i="1"/>
  <c r="AF171" i="1" s="1"/>
  <c r="AG171" i="1" s="1"/>
  <c r="AE148" i="1"/>
  <c r="AF148" i="1" s="1"/>
  <c r="AG148" i="1" s="1"/>
  <c r="AE39" i="1"/>
  <c r="AE477" i="1" s="1"/>
  <c r="AF477" i="1" s="1"/>
  <c r="AG477" i="1" s="1"/>
  <c r="AE38" i="1"/>
  <c r="AE247" i="1" s="1"/>
  <c r="AE367" i="1"/>
  <c r="AF367" i="1" s="1"/>
  <c r="AG367" i="1" s="1"/>
  <c r="AE159" i="1"/>
  <c r="AF159" i="1" s="1"/>
  <c r="AG159" i="1" s="1"/>
  <c r="AE504" i="1"/>
  <c r="AF504" i="1" s="1"/>
  <c r="AG504" i="1" s="1"/>
  <c r="AE298" i="1"/>
  <c r="AF298" i="1" s="1"/>
  <c r="AG298" i="1" s="1"/>
  <c r="AE44" i="1"/>
  <c r="AF44" i="1" s="1"/>
  <c r="AG44" i="1" s="1"/>
  <c r="AE149" i="1"/>
  <c r="AF149" i="1" s="1"/>
  <c r="AG149" i="1" s="1"/>
  <c r="AE413" i="1"/>
  <c r="AF413" i="1" s="1"/>
  <c r="AG413" i="1" s="1"/>
  <c r="AE583" i="1"/>
  <c r="AE419" i="1"/>
  <c r="AF419" i="1" s="1"/>
  <c r="AG419" i="1" s="1"/>
  <c r="AE301" i="1"/>
  <c r="AF301" i="1" s="1"/>
  <c r="AG301" i="1" s="1"/>
  <c r="AE398" i="1"/>
  <c r="AF398" i="1" s="1"/>
  <c r="AG398" i="1" s="1"/>
  <c r="AE151" i="1"/>
  <c r="AF151" i="1" s="1"/>
  <c r="AG151" i="1" s="1"/>
  <c r="AE494" i="1"/>
  <c r="AF494" i="1" s="1"/>
  <c r="AG494" i="1" s="1"/>
  <c r="AE388" i="1"/>
  <c r="AF388" i="1" s="1"/>
  <c r="AG388" i="1" s="1"/>
  <c r="AE217" i="1"/>
  <c r="AF217" i="1" s="1"/>
  <c r="AG217" i="1" s="1"/>
  <c r="AE173" i="1"/>
  <c r="AF173" i="1" s="1"/>
  <c r="AG173" i="1" s="1"/>
  <c r="AE296" i="1"/>
  <c r="AF296" i="1" s="1"/>
  <c r="AG296" i="1" s="1"/>
  <c r="AE397" i="1"/>
  <c r="AE193" i="1"/>
  <c r="AF193" i="1" s="1"/>
  <c r="AG193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299" i="1"/>
  <c r="AF299" i="1" s="1"/>
  <c r="AG299" i="1" s="1"/>
  <c r="AE285" i="1"/>
  <c r="AE496" i="1"/>
  <c r="AF496" i="1" s="1"/>
  <c r="AG496" i="1" s="1"/>
  <c r="AE161" i="1"/>
  <c r="AF161" i="1" s="1"/>
  <c r="AG161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1" i="1"/>
  <c r="AF191" i="1" s="1"/>
  <c r="AG191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2" i="1"/>
  <c r="AF192" i="1" s="1"/>
  <c r="AG192" i="1" s="1"/>
  <c r="AE160" i="1"/>
  <c r="AF160" i="1" s="1"/>
  <c r="AG160" i="1" s="1"/>
  <c r="AE202" i="1"/>
  <c r="AF202" i="1" s="1"/>
  <c r="AG202" i="1" s="1"/>
  <c r="AE294" i="1"/>
  <c r="AE170" i="1"/>
  <c r="AF170" i="1" s="1"/>
  <c r="AG170" i="1" s="1"/>
  <c r="AE19" i="1"/>
  <c r="AE115" i="1"/>
  <c r="AF115" i="1" s="1"/>
  <c r="AG115" i="1" s="1"/>
  <c r="AE183" i="1"/>
  <c r="AF183" i="1" s="1"/>
  <c r="AG183" i="1" s="1"/>
  <c r="AE369" i="1"/>
  <c r="AF369" i="1" s="1"/>
  <c r="AG369" i="1" s="1"/>
  <c r="AE642" i="1"/>
  <c r="AF642" i="1" s="1"/>
  <c r="AG642" i="1" s="1"/>
  <c r="AE204" i="1"/>
  <c r="AF204" i="1" s="1"/>
  <c r="AG204" i="1" s="1"/>
  <c r="AE23" i="1"/>
  <c r="AF23" i="1" s="1"/>
  <c r="AG23" i="1" s="1"/>
  <c r="AE180" i="1"/>
  <c r="AF180" i="1" s="1"/>
  <c r="AG180" i="1" s="1"/>
  <c r="AE182" i="1"/>
  <c r="AF182" i="1" s="1"/>
  <c r="AG182" i="1" s="1"/>
  <c r="AE174" i="1"/>
  <c r="AF174" i="1" s="1"/>
  <c r="AG174" i="1" s="1"/>
  <c r="AE303" i="1"/>
  <c r="AF303" i="1" s="1"/>
  <c r="AG303" i="1" s="1"/>
  <c r="AE370" i="1"/>
  <c r="AF370" i="1" s="1"/>
  <c r="AG370" i="1" s="1"/>
  <c r="AE43" i="1"/>
  <c r="AF43" i="1" s="1"/>
  <c r="AG43" i="1" s="1"/>
  <c r="AE421" i="1"/>
  <c r="AF421" i="1" s="1"/>
  <c r="AG421" i="1" s="1"/>
  <c r="AE218" i="1"/>
  <c r="AF218" i="1" s="1"/>
  <c r="AG218" i="1" s="1"/>
  <c r="AE181" i="1"/>
  <c r="AF181" i="1" s="1"/>
  <c r="AG181" i="1" s="1"/>
  <c r="AE152" i="1"/>
  <c r="AF152" i="1" s="1"/>
  <c r="AG152" i="1" s="1"/>
  <c r="AE510" i="1"/>
  <c r="AF510" i="1" s="1"/>
  <c r="AG510" i="1" s="1"/>
  <c r="AE75" i="1"/>
  <c r="AF75" i="1" s="1"/>
  <c r="AG75" i="1" s="1"/>
  <c r="AE391" i="1"/>
  <c r="AF391" i="1" s="1"/>
  <c r="AG391" i="1" s="1"/>
  <c r="AE172" i="1"/>
  <c r="AF172" i="1" s="1"/>
  <c r="AG172" i="1" s="1"/>
  <c r="AE509" i="1"/>
  <c r="AF509" i="1" s="1"/>
  <c r="AG509" i="1" s="1"/>
  <c r="AE33" i="1"/>
  <c r="AE35" i="1" s="1"/>
  <c r="AE378" i="1"/>
  <c r="AF378" i="1" s="1"/>
  <c r="AG378" i="1" s="1"/>
  <c r="AE302" i="1"/>
  <c r="AF302" i="1" s="1"/>
  <c r="AG302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3" i="1"/>
  <c r="AF153" i="1" s="1"/>
  <c r="AG153" i="1" s="1"/>
  <c r="AE46" i="1"/>
  <c r="AF46" i="1" s="1"/>
  <c r="AG46" i="1" s="1"/>
  <c r="AE400" i="1"/>
  <c r="AF400" i="1" s="1"/>
  <c r="AG400" i="1" s="1"/>
  <c r="AE150" i="1"/>
  <c r="AF150" i="1" s="1"/>
  <c r="AG150" i="1" s="1"/>
  <c r="AE203" i="1"/>
  <c r="AF203" i="1" s="1"/>
  <c r="AG203" i="1" s="1"/>
  <c r="AE194" i="1"/>
  <c r="AF194" i="1" s="1"/>
  <c r="AG194" i="1" s="1"/>
  <c r="AE300" i="1"/>
  <c r="AF300" i="1" s="1"/>
  <c r="AG300" i="1" s="1"/>
  <c r="AE379" i="1"/>
  <c r="AF379" i="1" s="1"/>
  <c r="AG379" i="1" s="1"/>
  <c r="AE297" i="1"/>
  <c r="AF297" i="1" s="1"/>
  <c r="AG297" i="1" s="1"/>
  <c r="AE389" i="1"/>
  <c r="AF389" i="1" s="1"/>
  <c r="AG389" i="1" s="1"/>
  <c r="AE201" i="1"/>
  <c r="AE508" i="1"/>
  <c r="AF508" i="1" s="1"/>
  <c r="AG508" i="1" s="1"/>
  <c r="AE399" i="1"/>
  <c r="AF399" i="1" s="1"/>
  <c r="AG399" i="1" s="1"/>
  <c r="F326" i="2"/>
  <c r="F327" i="2" s="1"/>
  <c r="AC659" i="1"/>
  <c r="AC158" i="1"/>
  <c r="AC164" i="1" s="1"/>
  <c r="AC166" i="1" s="1"/>
  <c r="AC213" i="1"/>
  <c r="AC215" i="1"/>
  <c r="AC214" i="1"/>
  <c r="AC430" i="1"/>
  <c r="AC434" i="1" s="1"/>
  <c r="AC216" i="1"/>
  <c r="AC661" i="1"/>
  <c r="AC179" i="1"/>
  <c r="AC185" i="1" s="1"/>
  <c r="AC187" i="1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9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E28" i="14"/>
  <c r="AA302" i="2"/>
  <c r="AB302" i="2" s="1"/>
  <c r="G801" i="2"/>
  <c r="D31" i="15" s="1"/>
  <c r="AA1095" i="2"/>
  <c r="AB1095" i="2" s="1"/>
  <c r="G785" i="2"/>
  <c r="AA785" i="2" s="1"/>
  <c r="AB785" i="2" s="1"/>
  <c r="AA589" i="2"/>
  <c r="AB589" i="2" s="1"/>
  <c r="E29" i="14"/>
  <c r="AA417" i="2"/>
  <c r="AB417" i="2" s="1"/>
  <c r="G494" i="2"/>
  <c r="AA493" i="2"/>
  <c r="AB493" i="2" s="1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H28" i="15" s="1"/>
  <c r="P325" i="2"/>
  <c r="Z325" i="2"/>
  <c r="AD306" i="1"/>
  <c r="AD48" i="1"/>
  <c r="AD633" i="1"/>
  <c r="AD375" i="1" s="1"/>
  <c r="AD381" i="1" s="1"/>
  <c r="AD441" i="1"/>
  <c r="AD206" i="1"/>
  <c r="AD249" i="1"/>
  <c r="AD631" i="1"/>
  <c r="AD364" i="1" s="1"/>
  <c r="AD372" i="1" s="1"/>
  <c r="H384" i="2"/>
  <c r="J384" i="2"/>
  <c r="Q384" i="2"/>
  <c r="G442" i="2"/>
  <c r="AA442" i="2" s="1"/>
  <c r="AB442" i="2" s="1"/>
  <c r="AB187" i="1"/>
  <c r="X130" i="1"/>
  <c r="AC383" i="1"/>
  <c r="AA492" i="2"/>
  <c r="AB492" i="2" s="1"/>
  <c r="E31" i="15" l="1"/>
  <c r="L31" i="15"/>
  <c r="D42" i="14"/>
  <c r="E42" i="14" s="1"/>
  <c r="K42" i="14" s="1"/>
  <c r="L42" i="14" s="1"/>
  <c r="D42" i="15"/>
  <c r="D36" i="14"/>
  <c r="E36" i="14" s="1"/>
  <c r="K36" i="14" s="1"/>
  <c r="L36" i="14" s="1"/>
  <c r="AA965" i="2"/>
  <c r="AB965" i="2" s="1"/>
  <c r="AA703" i="2"/>
  <c r="AB703" i="2" s="1"/>
  <c r="AD50" i="1"/>
  <c r="AE238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29" i="1"/>
  <c r="AA551" i="2"/>
  <c r="AB551" i="2" s="1"/>
  <c r="AA666" i="2"/>
  <c r="AB666" i="2" s="1"/>
  <c r="Q207" i="2"/>
  <c r="M149" i="2"/>
  <c r="O149" i="2"/>
  <c r="AB107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1" i="1"/>
  <c r="AF251" i="1" s="1"/>
  <c r="AG251" i="1" s="1"/>
  <c r="U207" i="2"/>
  <c r="V207" i="2"/>
  <c r="W207" i="2"/>
  <c r="AB210" i="1"/>
  <c r="AB223" i="1" s="1"/>
  <c r="AB15" i="1"/>
  <c r="AB69" i="1" s="1"/>
  <c r="Z207" i="2"/>
  <c r="J207" i="2"/>
  <c r="R207" i="2"/>
  <c r="AC227" i="1"/>
  <c r="P207" i="2"/>
  <c r="X207" i="2"/>
  <c r="M207" i="2"/>
  <c r="N207" i="2"/>
  <c r="S207" i="2"/>
  <c r="K207" i="2"/>
  <c r="O207" i="2"/>
  <c r="AD215" i="1"/>
  <c r="AE266" i="1"/>
  <c r="AF266" i="1" s="1"/>
  <c r="AG266" i="1" s="1"/>
  <c r="Y207" i="2"/>
  <c r="G207" i="2"/>
  <c r="G208" i="2" s="1"/>
  <c r="AE461" i="1"/>
  <c r="AF461" i="1" s="1"/>
  <c r="AG461" i="1" s="1"/>
  <c r="AB241" i="1"/>
  <c r="AA263" i="2"/>
  <c r="AB263" i="2" s="1"/>
  <c r="AE457" i="1"/>
  <c r="AF457" i="1" s="1"/>
  <c r="AG457" i="1" s="1"/>
  <c r="AE250" i="1"/>
  <c r="AF250" i="1" s="1"/>
  <c r="AG250" i="1" s="1"/>
  <c r="AC233" i="1"/>
  <c r="AE268" i="1"/>
  <c r="AF268" i="1" s="1"/>
  <c r="AG268" i="1" s="1"/>
  <c r="N265" i="2"/>
  <c r="AE269" i="1"/>
  <c r="AF269" i="1" s="1"/>
  <c r="AG269" i="1" s="1"/>
  <c r="AE456" i="1"/>
  <c r="AF456" i="1" s="1"/>
  <c r="AG456" i="1" s="1"/>
  <c r="AE480" i="1"/>
  <c r="AF480" i="1" s="1"/>
  <c r="AG480" i="1" s="1"/>
  <c r="AE249" i="1"/>
  <c r="AF249" i="1" s="1"/>
  <c r="AG249" i="1" s="1"/>
  <c r="AD213" i="1"/>
  <c r="AD216" i="1"/>
  <c r="AC226" i="1"/>
  <c r="AC427" i="1"/>
  <c r="AF238" i="1"/>
  <c r="AG238" i="1" s="1"/>
  <c r="AC234" i="1"/>
  <c r="AD430" i="1"/>
  <c r="AD434" i="1" s="1"/>
  <c r="AA277" i="1"/>
  <c r="AC237" i="1"/>
  <c r="AF247" i="1"/>
  <c r="AG247" i="1" s="1"/>
  <c r="AA279" i="1"/>
  <c r="AA308" i="1" s="1"/>
  <c r="AE458" i="1"/>
  <c r="AF458" i="1" s="1"/>
  <c r="AG458" i="1" s="1"/>
  <c r="AE267" i="1"/>
  <c r="AF267" i="1" s="1"/>
  <c r="AG267" i="1" s="1"/>
  <c r="AC239" i="1"/>
  <c r="AE481" i="1"/>
  <c r="AF481" i="1" s="1"/>
  <c r="AG481" i="1" s="1"/>
  <c r="AC230" i="1"/>
  <c r="AC236" i="1"/>
  <c r="AC228" i="1"/>
  <c r="AC235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2" i="1"/>
  <c r="AF232" i="1" s="1"/>
  <c r="AG232" i="1" s="1"/>
  <c r="AE446" i="1"/>
  <c r="AF446" i="1" s="1"/>
  <c r="AG446" i="1" s="1"/>
  <c r="AE265" i="1"/>
  <c r="AF265" i="1" s="1"/>
  <c r="AG265" i="1" s="1"/>
  <c r="AE102" i="1"/>
  <c r="AF102" i="1" s="1"/>
  <c r="AG102" i="1" s="1"/>
  <c r="AE448" i="1"/>
  <c r="AF448" i="1" s="1"/>
  <c r="AG448" i="1" s="1"/>
  <c r="AE264" i="1"/>
  <c r="AD450" i="1"/>
  <c r="AD226" i="1" s="1"/>
  <c r="AE252" i="1"/>
  <c r="AF252" i="1" s="1"/>
  <c r="AG252" i="1" s="1"/>
  <c r="AE441" i="1"/>
  <c r="AF441" i="1" s="1"/>
  <c r="AG441" i="1" s="1"/>
  <c r="AE584" i="1"/>
  <c r="AF584" i="1" s="1"/>
  <c r="AG584" i="1" s="1"/>
  <c r="AE248" i="1"/>
  <c r="AF248" i="1" s="1"/>
  <c r="AG248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0" i="1"/>
  <c r="AF270" i="1" s="1"/>
  <c r="AG270" i="1" s="1"/>
  <c r="AE440" i="1"/>
  <c r="AF440" i="1" s="1"/>
  <c r="AG440" i="1" s="1"/>
  <c r="W1091" i="2"/>
  <c r="AC636" i="1"/>
  <c r="AC453" i="1" s="1"/>
  <c r="AC465" i="1" s="1"/>
  <c r="AC246" i="1" s="1"/>
  <c r="AC259" i="1" s="1"/>
  <c r="X538" i="1"/>
  <c r="X540" i="1" s="1"/>
  <c r="X656" i="1" s="1"/>
  <c r="AB486" i="1"/>
  <c r="AB488" i="1" s="1"/>
  <c r="AB490" i="1" s="1"/>
  <c r="AA384" i="2"/>
  <c r="AB384" i="2" s="1"/>
  <c r="AA330" i="2"/>
  <c r="AB330" i="2" s="1"/>
  <c r="O1091" i="2"/>
  <c r="Y1091" i="2"/>
  <c r="V1091" i="2"/>
  <c r="V699" i="2" s="1"/>
  <c r="AC665" i="1"/>
  <c r="AC263" i="1"/>
  <c r="AC273" i="1" s="1"/>
  <c r="AD383" i="1"/>
  <c r="AD658" i="1"/>
  <c r="AD146" i="1"/>
  <c r="AD155" i="1" s="1"/>
  <c r="AD659" i="1"/>
  <c r="AD158" i="1"/>
  <c r="AD164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M327" i="2" s="1"/>
  <c r="R326" i="2"/>
  <c r="R327" i="2" s="1"/>
  <c r="I326" i="2"/>
  <c r="I327" i="2" s="1"/>
  <c r="H326" i="2"/>
  <c r="K326" i="2"/>
  <c r="U326" i="2"/>
  <c r="AE206" i="1"/>
  <c r="AF206" i="1" s="1"/>
  <c r="AG206" i="1" s="1"/>
  <c r="AF201" i="1"/>
  <c r="AG201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1" i="1"/>
  <c r="AF291" i="1" s="1"/>
  <c r="AG291" i="1" s="1"/>
  <c r="AF285" i="1"/>
  <c r="AG285" i="1" s="1"/>
  <c r="AE631" i="1"/>
  <c r="AF365" i="1"/>
  <c r="AG365" i="1" s="1"/>
  <c r="AE640" i="1"/>
  <c r="AF39" i="1"/>
  <c r="AG39" i="1" s="1"/>
  <c r="AF133" i="1"/>
  <c r="AG133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69" i="1"/>
  <c r="AD176" i="1" s="1"/>
  <c r="AD662" i="1"/>
  <c r="AD425" i="1"/>
  <c r="AD190" i="1"/>
  <c r="AD196" i="1" s="1"/>
  <c r="AD208" i="1" s="1"/>
  <c r="AD661" i="1"/>
  <c r="AD179" i="1"/>
  <c r="AD185" i="1" s="1"/>
  <c r="AD668" i="1"/>
  <c r="AD573" i="1"/>
  <c r="AD571" i="1"/>
  <c r="AD572" i="1"/>
  <c r="AA669" i="1"/>
  <c r="AA69" i="1"/>
  <c r="AA578" i="1"/>
  <c r="AA580" i="1" s="1"/>
  <c r="W140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D33" i="14"/>
  <c r="G33" i="14" s="1"/>
  <c r="AA799" i="2"/>
  <c r="AB799" i="2" s="1"/>
  <c r="Y109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7" i="1"/>
  <c r="AC79" i="1" s="1"/>
  <c r="AC96" i="1" s="1"/>
  <c r="AC10" i="1"/>
  <c r="AC11" i="1"/>
  <c r="AC136" i="1"/>
  <c r="AC138" i="1" s="1"/>
  <c r="AC60" i="1"/>
  <c r="AC105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0" i="1"/>
  <c r="AA43" i="2"/>
  <c r="AB43" i="2" s="1"/>
  <c r="AC210" i="1"/>
  <c r="AE231" i="1"/>
  <c r="AF231" i="1" s="1"/>
  <c r="AG231" i="1" s="1"/>
  <c r="AE134" i="1"/>
  <c r="AF134" i="1" s="1"/>
  <c r="AG134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P1084" i="2"/>
  <c r="P1091" i="2" s="1"/>
  <c r="M1084" i="2"/>
  <c r="M1091" i="2" s="1"/>
  <c r="U1088" i="2"/>
  <c r="U1089" i="2" s="1"/>
  <c r="U1091" i="2" s="1"/>
  <c r="Z1091" i="2"/>
  <c r="S1088" i="2"/>
  <c r="S1089" i="2" s="1"/>
  <c r="S1091" i="2" s="1"/>
  <c r="X1091" i="2"/>
  <c r="Q1084" i="2"/>
  <c r="N1084" i="2"/>
  <c r="N1091" i="2" s="1"/>
  <c r="AD652" i="1"/>
  <c r="AD256" i="1"/>
  <c r="AD64" i="1"/>
  <c r="AD257" i="1"/>
  <c r="AD255" i="1"/>
  <c r="AD463" i="1"/>
  <c r="AD482" i="1"/>
  <c r="AD637" i="1" s="1"/>
  <c r="AD474" i="1" s="1"/>
  <c r="AD484" i="1" s="1"/>
  <c r="AD271" i="1"/>
  <c r="AD76" i="1"/>
  <c r="AD135" i="1"/>
  <c r="AD67" i="1"/>
  <c r="AD254" i="1"/>
  <c r="AD576" i="1"/>
  <c r="AD593" i="1"/>
  <c r="AD585" i="1"/>
  <c r="AD103" i="1"/>
  <c r="AD462" i="1"/>
  <c r="AA325" i="2"/>
  <c r="AB325" i="2" s="1"/>
  <c r="H28" i="14"/>
  <c r="D31" i="14"/>
  <c r="AA801" i="2"/>
  <c r="AB801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4" i="1"/>
  <c r="AG294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0" i="1"/>
  <c r="AA147" i="2"/>
  <c r="AB147" i="2" s="1"/>
  <c r="AA131" i="2"/>
  <c r="AB131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AA831" i="2"/>
  <c r="AB831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1" i="1"/>
  <c r="AE442" i="1"/>
  <c r="AF442" i="1" s="1"/>
  <c r="AG442" i="1" s="1"/>
  <c r="AE443" i="1"/>
  <c r="AF443" i="1" s="1"/>
  <c r="AG443" i="1" s="1"/>
  <c r="AE444" i="1"/>
  <c r="AF444" i="1" s="1"/>
  <c r="AG444" i="1" s="1"/>
  <c r="Y130" i="1"/>
  <c r="I1088" i="2"/>
  <c r="I1089" i="2" s="1"/>
  <c r="I1091" i="2" s="1"/>
  <c r="K1088" i="2"/>
  <c r="K1089" i="2" s="1"/>
  <c r="K1091" i="2" s="1"/>
  <c r="H1088" i="2"/>
  <c r="H1089" i="2" s="1"/>
  <c r="H1091" i="2" s="1"/>
  <c r="J1084" i="2"/>
  <c r="J1091" i="2" s="1"/>
  <c r="L1088" i="2"/>
  <c r="L1089" i="2" s="1"/>
  <c r="G1088" i="2"/>
  <c r="L1084" i="2"/>
  <c r="T1088" i="2"/>
  <c r="T1089" i="2" s="1"/>
  <c r="T1091" i="2" s="1"/>
  <c r="Q1088" i="2"/>
  <c r="Q1089" i="2" s="1"/>
  <c r="R1084" i="2"/>
  <c r="R1091" i="2" s="1"/>
  <c r="AB275" i="1"/>
  <c r="E42" i="15" l="1"/>
  <c r="L42" i="15"/>
  <c r="K33" i="14"/>
  <c r="L33" i="14" s="1"/>
  <c r="E31" i="14"/>
  <c r="K31" i="14" s="1"/>
  <c r="L31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7" i="1"/>
  <c r="AD233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1" i="1"/>
  <c r="AA149" i="2"/>
  <c r="AB149" i="2" s="1"/>
  <c r="Y699" i="2"/>
  <c r="AA207" i="2"/>
  <c r="AB207" i="2" s="1"/>
  <c r="AB578" i="1"/>
  <c r="AB580" i="1" s="1"/>
  <c r="F336" i="2" s="1"/>
  <c r="AB669" i="1"/>
  <c r="O699" i="2"/>
  <c r="AC664" i="1"/>
  <c r="AC241" i="1"/>
  <c r="AD230" i="1"/>
  <c r="AD236" i="1"/>
  <c r="AD237" i="1"/>
  <c r="AD227" i="1"/>
  <c r="AD235" i="1"/>
  <c r="AD228" i="1"/>
  <c r="F268" i="2"/>
  <c r="G268" i="2" s="1"/>
  <c r="AD229" i="1"/>
  <c r="X119" i="1"/>
  <c r="X122" i="1" s="1"/>
  <c r="AD239" i="1"/>
  <c r="X542" i="1"/>
  <c r="AD234" i="1"/>
  <c r="W699" i="2"/>
  <c r="AA448" i="2"/>
  <c r="AB448" i="2" s="1"/>
  <c r="AC15" i="1"/>
  <c r="AC669" i="1" s="1"/>
  <c r="AC107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S699" i="2"/>
  <c r="H699" i="2"/>
  <c r="K699" i="2"/>
  <c r="R699" i="2"/>
  <c r="G1089" i="2"/>
  <c r="G1091" i="2" s="1"/>
  <c r="AA1088" i="2"/>
  <c r="AB1088" i="2" s="1"/>
  <c r="U699" i="2"/>
  <c r="I699" i="2"/>
  <c r="F333" i="2"/>
  <c r="J699" i="2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5" i="1"/>
  <c r="AF255" i="1" s="1"/>
  <c r="AG255" i="1" s="1"/>
  <c r="AE593" i="1"/>
  <c r="AF593" i="1" s="1"/>
  <c r="AG593" i="1" s="1"/>
  <c r="AE64" i="1"/>
  <c r="AF64" i="1" s="1"/>
  <c r="AG64" i="1" s="1"/>
  <c r="AE254" i="1"/>
  <c r="AF254" i="1" s="1"/>
  <c r="AG254" i="1" s="1"/>
  <c r="AE463" i="1"/>
  <c r="AF463" i="1" s="1"/>
  <c r="AG463" i="1" s="1"/>
  <c r="AE103" i="1"/>
  <c r="AE135" i="1"/>
  <c r="AF135" i="1" s="1"/>
  <c r="AG135" i="1" s="1"/>
  <c r="AE462" i="1"/>
  <c r="AE256" i="1"/>
  <c r="AF256" i="1" s="1"/>
  <c r="AG256" i="1" s="1"/>
  <c r="AE482" i="1"/>
  <c r="AE271" i="1"/>
  <c r="AF271" i="1" s="1"/>
  <c r="AG271" i="1" s="1"/>
  <c r="AE67" i="1"/>
  <c r="AF67" i="1" s="1"/>
  <c r="AG67" i="1" s="1"/>
  <c r="AE257" i="1"/>
  <c r="AF257" i="1" s="1"/>
  <c r="AG257" i="1" s="1"/>
  <c r="AF635" i="1"/>
  <c r="AG635" i="1" s="1"/>
  <c r="AE396" i="1"/>
  <c r="AA657" i="1"/>
  <c r="AA120" i="1"/>
  <c r="AD665" i="1"/>
  <c r="AD263" i="1"/>
  <c r="AD273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H29" i="15" s="1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F150" i="2"/>
  <c r="AA655" i="1"/>
  <c r="AA95" i="1"/>
  <c r="AA98" i="1" s="1"/>
  <c r="AA81" i="1"/>
  <c r="AA83" i="1" s="1"/>
  <c r="F46" i="2"/>
  <c r="AA114" i="1"/>
  <c r="AA125" i="1"/>
  <c r="AA113" i="1"/>
  <c r="AA127" i="1"/>
  <c r="AA126" i="1"/>
  <c r="AA128" i="1"/>
  <c r="AD651" i="1"/>
  <c r="AD9" i="1"/>
  <c r="AD77" i="1"/>
  <c r="AD79" i="1" s="1"/>
  <c r="AD96" i="1" s="1"/>
  <c r="AD62" i="1"/>
  <c r="AD104" i="1"/>
  <c r="AD105" i="1"/>
  <c r="AD13" i="1"/>
  <c r="AD10" i="1"/>
  <c r="AD11" i="1"/>
  <c r="AD63" i="1"/>
  <c r="AD60" i="1"/>
  <c r="AD136" i="1"/>
  <c r="AD138" i="1" s="1"/>
  <c r="AD12" i="1"/>
  <c r="G137" i="2"/>
  <c r="G13" i="15" s="1"/>
  <c r="AA134" i="2"/>
  <c r="AB134" i="2" s="1"/>
  <c r="M137" i="2"/>
  <c r="S137" i="2"/>
  <c r="K137" i="2"/>
  <c r="T137" i="2"/>
  <c r="U137" i="2"/>
  <c r="Q137" i="2"/>
  <c r="U327" i="2"/>
  <c r="AB279" i="1"/>
  <c r="L1091" i="2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Q1091" i="2"/>
  <c r="AC223" i="1"/>
  <c r="Y331" i="1"/>
  <c r="Y333" i="1" s="1"/>
  <c r="F614" i="2"/>
  <c r="AD187" i="1"/>
  <c r="AA674" i="2"/>
  <c r="AB674" i="2" s="1"/>
  <c r="AB81" i="1"/>
  <c r="AB95" i="1"/>
  <c r="AB98" i="1" s="1"/>
  <c r="AB655" i="1"/>
  <c r="AB125" i="1"/>
  <c r="F49" i="2"/>
  <c r="AB114" i="1"/>
  <c r="AB128" i="1"/>
  <c r="AB127" i="1"/>
  <c r="AB113" i="1"/>
  <c r="AB126" i="1"/>
  <c r="N699" i="2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I137" i="2"/>
  <c r="H137" i="2"/>
  <c r="P137" i="2"/>
  <c r="L137" i="2"/>
  <c r="N137" i="2"/>
  <c r="R137" i="2"/>
  <c r="AE425" i="1"/>
  <c r="AF425" i="1" s="1"/>
  <c r="AG425" i="1" s="1"/>
  <c r="AE662" i="1"/>
  <c r="AF662" i="1" s="1"/>
  <c r="AG662" i="1" s="1"/>
  <c r="AF415" i="1"/>
  <c r="AG415" i="1" s="1"/>
  <c r="AE190" i="1"/>
  <c r="AF640" i="1"/>
  <c r="AG640" i="1" s="1"/>
  <c r="AE123" i="1"/>
  <c r="AF123" i="1" s="1"/>
  <c r="AG123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4" i="1"/>
  <c r="AF214" i="1" s="1"/>
  <c r="AG214" i="1" s="1"/>
  <c r="AE216" i="1"/>
  <c r="AF216" i="1" s="1"/>
  <c r="AG216" i="1" s="1"/>
  <c r="AE215" i="1"/>
  <c r="AF215" i="1" s="1"/>
  <c r="AG215" i="1" s="1"/>
  <c r="AE430" i="1"/>
  <c r="AE213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6" i="1"/>
  <c r="AD427" i="1"/>
  <c r="AA1084" i="2"/>
  <c r="AB1084" i="2" s="1"/>
  <c r="AC275" i="1"/>
  <c r="AA208" i="2" l="1"/>
  <c r="AB208" i="2" s="1"/>
  <c r="AA394" i="2"/>
  <c r="AB394" i="2" s="1"/>
  <c r="AC277" i="1"/>
  <c r="F269" i="2"/>
  <c r="W269" i="2" s="1"/>
  <c r="AA451" i="2"/>
  <c r="AB451" i="2" s="1"/>
  <c r="U268" i="2"/>
  <c r="AC69" i="1"/>
  <c r="AC128" i="1" s="1"/>
  <c r="AC578" i="1"/>
  <c r="AC580" i="1" s="1"/>
  <c r="X268" i="2"/>
  <c r="S268" i="2"/>
  <c r="N268" i="2"/>
  <c r="L268" i="2"/>
  <c r="W268" i="2"/>
  <c r="V268" i="2"/>
  <c r="O268" i="2"/>
  <c r="P268" i="2"/>
  <c r="Y119" i="1"/>
  <c r="Y122" i="1" s="1"/>
  <c r="M268" i="2"/>
  <c r="H268" i="2"/>
  <c r="I268" i="2"/>
  <c r="Y542" i="1"/>
  <c r="Y268" i="2"/>
  <c r="Z268" i="2"/>
  <c r="Q268" i="2"/>
  <c r="R268" i="2"/>
  <c r="T268" i="2"/>
  <c r="K268" i="2"/>
  <c r="J268" i="2"/>
  <c r="AD241" i="1"/>
  <c r="AD107" i="1"/>
  <c r="AD490" i="1"/>
  <c r="AD516" i="1" s="1"/>
  <c r="AD210" i="1"/>
  <c r="AD223" i="1" s="1"/>
  <c r="AE663" i="1"/>
  <c r="AF663" i="1" s="1"/>
  <c r="AG663" i="1" s="1"/>
  <c r="AF450" i="1"/>
  <c r="AG450" i="1" s="1"/>
  <c r="AE228" i="1"/>
  <c r="AF228" i="1" s="1"/>
  <c r="AG228" i="1" s="1"/>
  <c r="AE230" i="1"/>
  <c r="AF230" i="1" s="1"/>
  <c r="AG230" i="1" s="1"/>
  <c r="AE226" i="1"/>
  <c r="AE229" i="1"/>
  <c r="AF229" i="1" s="1"/>
  <c r="AG229" i="1" s="1"/>
  <c r="AE239" i="1"/>
  <c r="AF239" i="1" s="1"/>
  <c r="AG239" i="1" s="1"/>
  <c r="AE235" i="1"/>
  <c r="AF235" i="1" s="1"/>
  <c r="AG235" i="1" s="1"/>
  <c r="AE227" i="1"/>
  <c r="AF227" i="1" s="1"/>
  <c r="AG227" i="1" s="1"/>
  <c r="AE234" i="1"/>
  <c r="AF234" i="1" s="1"/>
  <c r="AG234" i="1" s="1"/>
  <c r="AE236" i="1"/>
  <c r="AF236" i="1" s="1"/>
  <c r="AG236" i="1" s="1"/>
  <c r="AE237" i="1"/>
  <c r="AF237" i="1" s="1"/>
  <c r="AG237" i="1" s="1"/>
  <c r="AE233" i="1"/>
  <c r="AF233" i="1" s="1"/>
  <c r="AG233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L499" i="2" s="1"/>
  <c r="P498" i="2"/>
  <c r="R498" i="2"/>
  <c r="R499" i="2" s="1"/>
  <c r="W498" i="2"/>
  <c r="W499" i="2" s="1"/>
  <c r="M498" i="2"/>
  <c r="M499" i="2" s="1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29" i="14"/>
  <c r="AA497" i="2"/>
  <c r="AB497" i="2" s="1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H27" i="15" s="1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L333" i="2"/>
  <c r="V333" i="2"/>
  <c r="X333" i="2"/>
  <c r="Z333" i="2"/>
  <c r="I333" i="2"/>
  <c r="M333" i="2"/>
  <c r="W333" i="2"/>
  <c r="Y333" i="2"/>
  <c r="P333" i="2"/>
  <c r="O333" i="2"/>
  <c r="K333" i="2"/>
  <c r="U333" i="2"/>
  <c r="T333" i="2"/>
  <c r="S333" i="2"/>
  <c r="H333" i="2"/>
  <c r="Q333" i="2"/>
  <c r="J333" i="2"/>
  <c r="R333" i="2"/>
  <c r="G333" i="2"/>
  <c r="N333" i="2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1" i="1"/>
  <c r="AF221" i="1" s="1"/>
  <c r="AG221" i="1" s="1"/>
  <c r="AF213" i="1"/>
  <c r="AG213" i="1" s="1"/>
  <c r="AF571" i="1"/>
  <c r="AG571" i="1" s="1"/>
  <c r="AE651" i="1"/>
  <c r="AF651" i="1" s="1"/>
  <c r="AG651" i="1" s="1"/>
  <c r="AF50" i="1"/>
  <c r="AG50" i="1" s="1"/>
  <c r="AE77" i="1"/>
  <c r="AF77" i="1" s="1"/>
  <c r="AG77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6" i="1"/>
  <c r="AE62" i="1"/>
  <c r="AF62" i="1" s="1"/>
  <c r="AG62" i="1" s="1"/>
  <c r="AE105" i="1"/>
  <c r="AF105" i="1" s="1"/>
  <c r="AG105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6" i="1"/>
  <c r="AF190" i="1"/>
  <c r="AG190" i="1" s="1"/>
  <c r="AB109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6" i="1"/>
  <c r="AD259" i="1" s="1"/>
  <c r="AD275" i="1" s="1"/>
  <c r="Z542" i="1"/>
  <c r="Z656" i="1"/>
  <c r="F273" i="2"/>
  <c r="Z119" i="1"/>
  <c r="Z122" i="1" s="1"/>
  <c r="L699" i="2"/>
  <c r="G13" i="14"/>
  <c r="AA137" i="2"/>
  <c r="AB137" i="2" s="1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9" i="1"/>
  <c r="F105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2" i="1"/>
  <c r="X116" i="1" s="1"/>
  <c r="X140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AA1091" i="2"/>
  <c r="AB1091" i="2" s="1"/>
  <c r="AB130" i="1"/>
  <c r="AC279" i="1"/>
  <c r="AD15" i="1"/>
  <c r="AA130" i="1"/>
  <c r="F499" i="2"/>
  <c r="AA670" i="2"/>
  <c r="AB670" i="2" s="1"/>
  <c r="AA613" i="2"/>
  <c r="AB613" i="2" s="1"/>
  <c r="AA327" i="2"/>
  <c r="AB327" i="2" s="1"/>
  <c r="G671" i="2"/>
  <c r="G556" i="2"/>
  <c r="G99" i="2"/>
  <c r="D43" i="14" l="1"/>
  <c r="D43" i="15"/>
  <c r="I28" i="15"/>
  <c r="K28" i="15" s="1"/>
  <c r="I28" i="14"/>
  <c r="F43" i="14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7" i="1"/>
  <c r="AC126" i="1"/>
  <c r="AC114" i="1"/>
  <c r="AC113" i="1"/>
  <c r="AC81" i="1"/>
  <c r="AC125" i="1"/>
  <c r="AC95" i="1"/>
  <c r="AC98" i="1" s="1"/>
  <c r="AC532" i="1" s="1"/>
  <c r="F52" i="2"/>
  <c r="AC655" i="1"/>
  <c r="AE79" i="1"/>
  <c r="AE96" i="1" s="1"/>
  <c r="AF96" i="1" s="1"/>
  <c r="AG96" i="1" s="1"/>
  <c r="W270" i="2"/>
  <c r="AD277" i="1"/>
  <c r="AA268" i="2"/>
  <c r="AB268" i="2" s="1"/>
  <c r="N499" i="2"/>
  <c r="AE107" i="1"/>
  <c r="AF107" i="1" s="1"/>
  <c r="AG107" i="1" s="1"/>
  <c r="AA331" i="1"/>
  <c r="AA333" i="1" s="1"/>
  <c r="AA335" i="1" s="1"/>
  <c r="AD69" i="1"/>
  <c r="AD669" i="1"/>
  <c r="AD578" i="1"/>
  <c r="AD580" i="1" s="1"/>
  <c r="AC308" i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H13" i="15" s="1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8" i="1"/>
  <c r="M212" i="2"/>
  <c r="M213" i="2" s="1"/>
  <c r="O212" i="2"/>
  <c r="L212" i="2"/>
  <c r="L213" i="2" s="1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I213" i="2" s="1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A333" i="2"/>
  <c r="AB333" i="2" s="1"/>
  <c r="K28" i="14"/>
  <c r="AE660" i="1"/>
  <c r="AF660" i="1" s="1"/>
  <c r="AG660" i="1" s="1"/>
  <c r="AE404" i="1"/>
  <c r="AF404" i="1" s="1"/>
  <c r="AG404" i="1" s="1"/>
  <c r="AF393" i="1"/>
  <c r="AG393" i="1" s="1"/>
  <c r="AE169" i="1"/>
  <c r="AE659" i="1"/>
  <c r="AF659" i="1" s="1"/>
  <c r="AG659" i="1" s="1"/>
  <c r="AF381" i="1"/>
  <c r="AG381" i="1" s="1"/>
  <c r="AE158" i="1"/>
  <c r="AE661" i="1"/>
  <c r="AF661" i="1" s="1"/>
  <c r="AG661" i="1" s="1"/>
  <c r="AF402" i="1"/>
  <c r="AG402" i="1" s="1"/>
  <c r="AE179" i="1"/>
  <c r="AA211" i="2"/>
  <c r="AB211" i="2" s="1"/>
  <c r="H27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2" i="1"/>
  <c r="Z116" i="1" s="1"/>
  <c r="Z140" i="1" s="1"/>
  <c r="F159" i="2" s="1"/>
  <c r="AE241" i="1"/>
  <c r="AF241" i="1" s="1"/>
  <c r="AG241" i="1" s="1"/>
  <c r="AF226" i="1"/>
  <c r="AG226" i="1" s="1"/>
  <c r="AA538" i="1"/>
  <c r="AA540" i="1" s="1"/>
  <c r="AB538" i="1"/>
  <c r="AB540" i="1" s="1"/>
  <c r="AB331" i="1"/>
  <c r="AB333" i="1" s="1"/>
  <c r="F213" i="2"/>
  <c r="AA556" i="2"/>
  <c r="AB556" i="2" s="1"/>
  <c r="AA699" i="2"/>
  <c r="AB699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2" i="1"/>
  <c r="Y116" i="1" s="1"/>
  <c r="Y140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8" i="1"/>
  <c r="AF208" i="1" s="1"/>
  <c r="AG208" i="1" s="1"/>
  <c r="AF196" i="1"/>
  <c r="AG196" i="1" s="1"/>
  <c r="AE658" i="1"/>
  <c r="AF658" i="1" s="1"/>
  <c r="AG658" i="1" s="1"/>
  <c r="AE383" i="1"/>
  <c r="AF372" i="1"/>
  <c r="AG372" i="1" s="1"/>
  <c r="AE146" i="1"/>
  <c r="AF136" i="1"/>
  <c r="AG136" i="1" s="1"/>
  <c r="AE138" i="1"/>
  <c r="AF138" i="1" s="1"/>
  <c r="AG138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0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A46" i="2"/>
  <c r="AB46" i="2" s="1"/>
  <c r="AD279" i="1"/>
  <c r="AA336" i="2"/>
  <c r="AB336" i="2" s="1"/>
  <c r="AA671" i="2"/>
  <c r="AB671" i="2" s="1"/>
  <c r="AA49" i="2"/>
  <c r="AB49" i="2" s="1"/>
  <c r="AA99" i="2"/>
  <c r="AB99" i="2" s="1"/>
  <c r="F43" i="15" l="1"/>
  <c r="L43" i="15" s="1"/>
  <c r="K43" i="14"/>
  <c r="L43" i="14" s="1"/>
  <c r="P213" i="2"/>
  <c r="T213" i="2"/>
  <c r="H213" i="2"/>
  <c r="N213" i="2"/>
  <c r="O213" i="2"/>
  <c r="K213" i="2"/>
  <c r="J213" i="2"/>
  <c r="L52" i="2"/>
  <c r="AA269" i="2"/>
  <c r="AB269" i="2" s="1"/>
  <c r="AC130" i="1"/>
  <c r="AF79" i="1"/>
  <c r="AG79" i="1" s="1"/>
  <c r="AC598" i="1"/>
  <c r="F511" i="2" s="1"/>
  <c r="Z511" i="2" s="1"/>
  <c r="AC324" i="1"/>
  <c r="S52" i="2"/>
  <c r="Q52" i="2"/>
  <c r="K52" i="2"/>
  <c r="AC325" i="1"/>
  <c r="Y52" i="2"/>
  <c r="I52" i="2"/>
  <c r="G52" i="2"/>
  <c r="W52" i="2"/>
  <c r="AC604" i="1"/>
  <c r="F683" i="2" s="1"/>
  <c r="T683" i="2" s="1"/>
  <c r="AC109" i="1"/>
  <c r="F111" i="2" s="1"/>
  <c r="Y111" i="2" s="1"/>
  <c r="U52" i="2"/>
  <c r="Z52" i="2"/>
  <c r="X52" i="2"/>
  <c r="T52" i="2"/>
  <c r="AC602" i="1"/>
  <c r="F626" i="2" s="1"/>
  <c r="G626" i="2" s="1"/>
  <c r="J52" i="2"/>
  <c r="V52" i="2"/>
  <c r="P52" i="2"/>
  <c r="AC529" i="1"/>
  <c r="AC538" i="1" s="1"/>
  <c r="AC540" i="1" s="1"/>
  <c r="AC542" i="1" s="1"/>
  <c r="AC606" i="1"/>
  <c r="AC321" i="1"/>
  <c r="N52" i="2"/>
  <c r="R52" i="2"/>
  <c r="M52" i="2"/>
  <c r="AC600" i="1"/>
  <c r="F568" i="2" s="1"/>
  <c r="O568" i="2" s="1"/>
  <c r="H52" i="2"/>
  <c r="O52" i="2"/>
  <c r="F219" i="2"/>
  <c r="M219" i="2" s="1"/>
  <c r="AA610" i="1"/>
  <c r="AA216" i="2"/>
  <c r="AB216" i="2" s="1"/>
  <c r="AA273" i="2"/>
  <c r="AB273" i="2" s="1"/>
  <c r="AD308" i="1"/>
  <c r="AA151" i="2"/>
  <c r="AB151" i="2" s="1"/>
  <c r="AE155" i="1"/>
  <c r="AF146" i="1"/>
  <c r="AE427" i="1"/>
  <c r="AF427" i="1" s="1"/>
  <c r="AG427" i="1" s="1"/>
  <c r="AF383" i="1"/>
  <c r="AG383" i="1" s="1"/>
  <c r="J155" i="2"/>
  <c r="O155" i="2"/>
  <c r="M155" i="2"/>
  <c r="M156" i="2" s="1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L156" i="2" s="1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2" i="1"/>
  <c r="AA116" i="1" s="1"/>
  <c r="AA337" i="1"/>
  <c r="AA620" i="2"/>
  <c r="AB620" i="2" s="1"/>
  <c r="AB656" i="1"/>
  <c r="AB542" i="1"/>
  <c r="AB119" i="1"/>
  <c r="AB122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4" i="1"/>
  <c r="AF164" i="1" s="1"/>
  <c r="AG164" i="1" s="1"/>
  <c r="AF158" i="1"/>
  <c r="AG158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AD655" i="1"/>
  <c r="AD81" i="1"/>
  <c r="F55" i="2"/>
  <c r="AD127" i="1"/>
  <c r="AD113" i="1"/>
  <c r="AD125" i="1"/>
  <c r="AD128" i="1"/>
  <c r="AD114" i="1"/>
  <c r="AD126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19" i="1"/>
  <c r="AA122" i="1" s="1"/>
  <c r="AE185" i="1"/>
  <c r="AF185" i="1" s="1"/>
  <c r="AG185" i="1" s="1"/>
  <c r="AF179" i="1"/>
  <c r="AG179" i="1" s="1"/>
  <c r="AE176" i="1"/>
  <c r="AF169" i="1"/>
  <c r="AG169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M505" i="2"/>
  <c r="X505" i="2"/>
  <c r="L505" i="2"/>
  <c r="V505" i="2"/>
  <c r="Z505" i="2"/>
  <c r="W505" i="2"/>
  <c r="I505" i="2"/>
  <c r="Y505" i="2"/>
  <c r="P505" i="2"/>
  <c r="Q505" i="2"/>
  <c r="K505" i="2"/>
  <c r="S505" i="2"/>
  <c r="O505" i="2"/>
  <c r="H505" i="2"/>
  <c r="U505" i="2"/>
  <c r="T505" i="2"/>
  <c r="J505" i="2"/>
  <c r="N505" i="2"/>
  <c r="R505" i="2"/>
  <c r="G505" i="2"/>
  <c r="AA154" i="2"/>
  <c r="AB154" i="2" s="1"/>
  <c r="H13" i="14"/>
  <c r="AC657" i="1"/>
  <c r="AC120" i="1"/>
  <c r="AA108" i="2"/>
  <c r="AB108" i="2" s="1"/>
  <c r="AA680" i="2"/>
  <c r="AB680" i="2" s="1"/>
  <c r="AA105" i="2"/>
  <c r="AB105" i="2" s="1"/>
  <c r="AA400" i="2"/>
  <c r="AB400" i="2" s="1"/>
  <c r="AA270" i="2"/>
  <c r="AB270" i="2" s="1"/>
  <c r="I29" i="15" l="1"/>
  <c r="K29" i="15" s="1"/>
  <c r="I29" i="14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W219" i="2"/>
  <c r="H511" i="2"/>
  <c r="K511" i="2"/>
  <c r="M511" i="2"/>
  <c r="I511" i="2"/>
  <c r="U568" i="2"/>
  <c r="Q511" i="2"/>
  <c r="Y511" i="2"/>
  <c r="X511" i="2"/>
  <c r="X111" i="2"/>
  <c r="Y219" i="2"/>
  <c r="N219" i="2"/>
  <c r="H219" i="2"/>
  <c r="T219" i="2"/>
  <c r="K219" i="2"/>
  <c r="O219" i="2"/>
  <c r="V219" i="2"/>
  <c r="AC331" i="1"/>
  <c r="AC333" i="1" s="1"/>
  <c r="AC335" i="1" s="1"/>
  <c r="AC112" i="1" s="1"/>
  <c r="AC116" i="1" s="1"/>
  <c r="P219" i="2"/>
  <c r="G219" i="2"/>
  <c r="R219" i="2"/>
  <c r="Z219" i="2"/>
  <c r="Q219" i="2"/>
  <c r="X219" i="2"/>
  <c r="L219" i="2"/>
  <c r="U219" i="2"/>
  <c r="I219" i="2"/>
  <c r="J219" i="2"/>
  <c r="S219" i="2"/>
  <c r="H626" i="2"/>
  <c r="I626" i="2"/>
  <c r="M626" i="2"/>
  <c r="AA52" i="2"/>
  <c r="AB52" i="2" s="1"/>
  <c r="AC608" i="1"/>
  <c r="AC610" i="1" s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19" i="1"/>
  <c r="AC122" i="1" s="1"/>
  <c r="N156" i="2"/>
  <c r="AC656" i="1"/>
  <c r="AE580" i="1"/>
  <c r="F345" i="2" s="1"/>
  <c r="AD130" i="1"/>
  <c r="AE655" i="1"/>
  <c r="AF655" i="1" s="1"/>
  <c r="AG655" i="1" s="1"/>
  <c r="AE95" i="1"/>
  <c r="AE81" i="1"/>
  <c r="AF81" i="1" s="1"/>
  <c r="AG81" i="1" s="1"/>
  <c r="AF69" i="1"/>
  <c r="AG69" i="1" s="1"/>
  <c r="AE125" i="1"/>
  <c r="AE113" i="1"/>
  <c r="AF113" i="1" s="1"/>
  <c r="AG113" i="1" s="1"/>
  <c r="AE128" i="1"/>
  <c r="AF128" i="1" s="1"/>
  <c r="AG128" i="1" s="1"/>
  <c r="AE126" i="1"/>
  <c r="AF126" i="1" s="1"/>
  <c r="AG126" i="1" s="1"/>
  <c r="F58" i="2"/>
  <c r="F60" i="2" s="1"/>
  <c r="AE127" i="1"/>
  <c r="AF127" i="1" s="1"/>
  <c r="AG127" i="1" s="1"/>
  <c r="AE114" i="1"/>
  <c r="AF114" i="1" s="1"/>
  <c r="AG114" i="1" s="1"/>
  <c r="AE187" i="1"/>
  <c r="AF187" i="1" s="1"/>
  <c r="AG187" i="1" s="1"/>
  <c r="AF176" i="1"/>
  <c r="AG176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2" i="1"/>
  <c r="AB116" i="1" s="1"/>
  <c r="AB140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0" i="1"/>
  <c r="AA508" i="2"/>
  <c r="AB508" i="2" s="1"/>
  <c r="AA159" i="2"/>
  <c r="AB159" i="2" s="1"/>
  <c r="AA140" i="1"/>
  <c r="F162" i="2" s="1"/>
  <c r="AE166" i="1"/>
  <c r="AA505" i="2"/>
  <c r="AB505" i="2" s="1"/>
  <c r="K29" i="14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6" i="1"/>
  <c r="AE665" i="1"/>
  <c r="AF665" i="1" s="1"/>
  <c r="AG665" i="1" s="1"/>
  <c r="AE486" i="1"/>
  <c r="AF484" i="1"/>
  <c r="AG484" i="1" s="1"/>
  <c r="AE263" i="1"/>
  <c r="AD109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5" i="1"/>
  <c r="AG155" i="1" s="1"/>
  <c r="AG146" i="1"/>
  <c r="I27" i="15" l="1"/>
  <c r="I27" i="14"/>
  <c r="AA111" i="2"/>
  <c r="AB111" i="2" s="1"/>
  <c r="AA511" i="2"/>
  <c r="AB511" i="2" s="1"/>
  <c r="AC654" i="1"/>
  <c r="F225" i="2"/>
  <c r="I225" i="2" s="1"/>
  <c r="AA156" i="2"/>
  <c r="AB156" i="2" s="1"/>
  <c r="AA219" i="2"/>
  <c r="AB219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0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3" i="1"/>
  <c r="AF273" i="1" s="1"/>
  <c r="AG273" i="1" s="1"/>
  <c r="AF263" i="1"/>
  <c r="AG263" i="1" s="1"/>
  <c r="AE488" i="1"/>
  <c r="AF486" i="1"/>
  <c r="AG486" i="1" s="1"/>
  <c r="AE259" i="1"/>
  <c r="AF246" i="1"/>
  <c r="AG246" i="1" s="1"/>
  <c r="AA222" i="2"/>
  <c r="AB222" i="2" s="1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5" i="2" s="1"/>
  <c r="O403" i="2"/>
  <c r="O405" i="2" s="1"/>
  <c r="O715" i="2" s="1"/>
  <c r="M403" i="2"/>
  <c r="M405" i="2" s="1"/>
  <c r="M715" i="2" s="1"/>
  <c r="V403" i="2"/>
  <c r="V405" i="2" s="1"/>
  <c r="V715" i="2" s="1"/>
  <c r="V776" i="2" s="1"/>
  <c r="R403" i="2"/>
  <c r="R405" i="2" s="1"/>
  <c r="R715" i="2" s="1"/>
  <c r="R776" i="2" s="1"/>
  <c r="W403" i="2"/>
  <c r="W405" i="2" s="1"/>
  <c r="W715" i="2" s="1"/>
  <c r="W776" i="2" s="1"/>
  <c r="Y403" i="2"/>
  <c r="Y405" i="2" s="1"/>
  <c r="Y715" i="2" s="1"/>
  <c r="Y776" i="2" s="1"/>
  <c r="G403" i="2"/>
  <c r="G405" i="2" s="1"/>
  <c r="L403" i="2"/>
  <c r="L405" i="2" s="1"/>
  <c r="L715" i="2" s="1"/>
  <c r="T403" i="2"/>
  <c r="T405" i="2" s="1"/>
  <c r="T715" i="2" s="1"/>
  <c r="T776" i="2" s="1"/>
  <c r="P403" i="2"/>
  <c r="P405" i="2" s="1"/>
  <c r="P715" i="2" s="1"/>
  <c r="S403" i="2"/>
  <c r="S405" i="2" s="1"/>
  <c r="S715" i="2" s="1"/>
  <c r="S776" i="2" s="1"/>
  <c r="X403" i="2"/>
  <c r="X405" i="2" s="1"/>
  <c r="X715" i="2" s="1"/>
  <c r="X776" i="2" s="1"/>
  <c r="Z403" i="2"/>
  <c r="Z405" i="2" s="1"/>
  <c r="Z715" i="2" s="1"/>
  <c r="Z776" i="2" s="1"/>
  <c r="Q403" i="2"/>
  <c r="Q405" i="2" s="1"/>
  <c r="Q715" i="2" s="1"/>
  <c r="K403" i="2"/>
  <c r="K405" i="2" s="1"/>
  <c r="K715" i="2" s="1"/>
  <c r="H403" i="2"/>
  <c r="H405" i="2" s="1"/>
  <c r="H715" i="2" s="1"/>
  <c r="N403" i="2"/>
  <c r="N405" i="2" s="1"/>
  <c r="N715" i="2" s="1"/>
  <c r="J403" i="2"/>
  <c r="J405" i="2" s="1"/>
  <c r="J715" i="2" s="1"/>
  <c r="U403" i="2"/>
  <c r="F405" i="2"/>
  <c r="F715" i="2" s="1"/>
  <c r="F776" i="2" s="1"/>
  <c r="M58" i="2"/>
  <c r="M60" i="2" s="1"/>
  <c r="P58" i="2"/>
  <c r="P60" i="2" s="1"/>
  <c r="T58" i="2"/>
  <c r="T60" i="2" s="1"/>
  <c r="S58" i="2"/>
  <c r="S60" i="2" s="1"/>
  <c r="Z58" i="2"/>
  <c r="Z60" i="2" s="1"/>
  <c r="Y58" i="2"/>
  <c r="Y60" i="2" s="1"/>
  <c r="I58" i="2"/>
  <c r="I60" i="2" s="1"/>
  <c r="G58" i="2"/>
  <c r="G60" i="2" s="1"/>
  <c r="L58" i="2"/>
  <c r="L60" i="2" s="1"/>
  <c r="O58" i="2"/>
  <c r="O60" i="2" s="1"/>
  <c r="R58" i="2"/>
  <c r="R60" i="2" s="1"/>
  <c r="V58" i="2"/>
  <c r="V60" i="2" s="1"/>
  <c r="W58" i="2"/>
  <c r="W60" i="2" s="1"/>
  <c r="X58" i="2"/>
  <c r="X60" i="2" s="1"/>
  <c r="Q58" i="2"/>
  <c r="Q60" i="2" s="1"/>
  <c r="K58" i="2"/>
  <c r="K60" i="2" s="1"/>
  <c r="H58" i="2"/>
  <c r="H60" i="2" s="1"/>
  <c r="N58" i="2"/>
  <c r="N60" i="2" s="1"/>
  <c r="U58" i="2"/>
  <c r="U60" i="2" s="1"/>
  <c r="J58" i="2"/>
  <c r="J60" i="2" s="1"/>
  <c r="AE130" i="1"/>
  <c r="AF130" i="1" s="1"/>
  <c r="AG130" i="1" s="1"/>
  <c r="AF125" i="1"/>
  <c r="AG125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6" i="2" s="1"/>
  <c r="O777" i="2" s="1"/>
  <c r="T460" i="2"/>
  <c r="T462" i="2" s="1"/>
  <c r="T716" i="2" s="1"/>
  <c r="T777" i="2" s="1"/>
  <c r="P460" i="2"/>
  <c r="P462" i="2" s="1"/>
  <c r="P716" i="2" s="1"/>
  <c r="P777" i="2" s="1"/>
  <c r="X460" i="2"/>
  <c r="X462" i="2" s="1"/>
  <c r="X716" i="2" s="1"/>
  <c r="X777" i="2" s="1"/>
  <c r="W460" i="2"/>
  <c r="W462" i="2" s="1"/>
  <c r="W716" i="2" s="1"/>
  <c r="W777" i="2" s="1"/>
  <c r="I460" i="2"/>
  <c r="I462" i="2" s="1"/>
  <c r="I716" i="2" s="1"/>
  <c r="I777" i="2" s="1"/>
  <c r="M460" i="2"/>
  <c r="M462" i="2" s="1"/>
  <c r="M716" i="2" s="1"/>
  <c r="M777" i="2" s="1"/>
  <c r="L460" i="2"/>
  <c r="L462" i="2" s="1"/>
  <c r="L716" i="2" s="1"/>
  <c r="L777" i="2" s="1"/>
  <c r="R460" i="2"/>
  <c r="R462" i="2" s="1"/>
  <c r="R716" i="2" s="1"/>
  <c r="R777" i="2" s="1"/>
  <c r="V460" i="2"/>
  <c r="V462" i="2" s="1"/>
  <c r="V716" i="2" s="1"/>
  <c r="V777" i="2" s="1"/>
  <c r="S460" i="2"/>
  <c r="S462" i="2" s="1"/>
  <c r="S716" i="2" s="1"/>
  <c r="S777" i="2" s="1"/>
  <c r="Y460" i="2"/>
  <c r="Y462" i="2" s="1"/>
  <c r="Y716" i="2" s="1"/>
  <c r="Y777" i="2" s="1"/>
  <c r="Z460" i="2"/>
  <c r="Z462" i="2" s="1"/>
  <c r="Z716" i="2" s="1"/>
  <c r="Z777" i="2" s="1"/>
  <c r="Q460" i="2"/>
  <c r="Q462" i="2" s="1"/>
  <c r="Q716" i="2" s="1"/>
  <c r="Q777" i="2" s="1"/>
  <c r="K460" i="2"/>
  <c r="K462" i="2" s="1"/>
  <c r="K716" i="2" s="1"/>
  <c r="K777" i="2" s="1"/>
  <c r="H460" i="2"/>
  <c r="H462" i="2" s="1"/>
  <c r="H716" i="2" s="1"/>
  <c r="H777" i="2" s="1"/>
  <c r="N460" i="2"/>
  <c r="N462" i="2" s="1"/>
  <c r="N716" i="2" s="1"/>
  <c r="N777" i="2" s="1"/>
  <c r="J460" i="2"/>
  <c r="J462" i="2" s="1"/>
  <c r="J716" i="2" s="1"/>
  <c r="J777" i="2" s="1"/>
  <c r="U460" i="2"/>
  <c r="F462" i="2"/>
  <c r="F716" i="2" s="1"/>
  <c r="F777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0" i="1"/>
  <c r="AF166" i="1"/>
  <c r="AG166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AF95" i="1"/>
  <c r="AG95" i="1" s="1"/>
  <c r="F347" i="2"/>
  <c r="AA342" i="2"/>
  <c r="AB342" i="2" s="1"/>
  <c r="I13" i="15" l="1"/>
  <c r="I13" i="14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76" i="2"/>
  <c r="F714" i="2"/>
  <c r="F775" i="2"/>
  <c r="V832" i="2"/>
  <c r="V718" i="2"/>
  <c r="V779" i="2" s="1"/>
  <c r="V717" i="2"/>
  <c r="V778" i="2" s="1"/>
  <c r="L795" i="2"/>
  <c r="L832" i="2"/>
  <c r="R717" i="2"/>
  <c r="R778" i="2" s="1"/>
  <c r="S832" i="2"/>
  <c r="S718" i="2"/>
  <c r="S779" i="2" s="1"/>
  <c r="S795" i="2"/>
  <c r="V795" i="2"/>
  <c r="L718" i="2"/>
  <c r="L779" i="2" s="1"/>
  <c r="L717" i="2"/>
  <c r="R832" i="2"/>
  <c r="S717" i="2"/>
  <c r="S778" i="2" s="1"/>
  <c r="R795" i="2"/>
  <c r="Q718" i="2"/>
  <c r="Q779" i="2" s="1"/>
  <c r="Q832" i="2"/>
  <c r="Q717" i="2"/>
  <c r="J717" i="2"/>
  <c r="W795" i="2"/>
  <c r="R718" i="2"/>
  <c r="R779" i="2" s="1"/>
  <c r="Q795" i="2"/>
  <c r="J718" i="2"/>
  <c r="J779" i="2" s="1"/>
  <c r="J832" i="2"/>
  <c r="J795" i="2"/>
  <c r="W832" i="2"/>
  <c r="W718" i="2"/>
  <c r="W779" i="2" s="1"/>
  <c r="W717" i="2"/>
  <c r="W778" i="2" s="1"/>
  <c r="N832" i="2"/>
  <c r="N795" i="2"/>
  <c r="X795" i="2"/>
  <c r="X717" i="2"/>
  <c r="X778" i="2" s="1"/>
  <c r="O718" i="2"/>
  <c r="O779" i="2" s="1"/>
  <c r="O717" i="2"/>
  <c r="Z718" i="2"/>
  <c r="Z795" i="2"/>
  <c r="Z832" i="2"/>
  <c r="T832" i="2"/>
  <c r="T718" i="2"/>
  <c r="T779" i="2" s="1"/>
  <c r="M717" i="2"/>
  <c r="M832" i="2"/>
  <c r="P832" i="2"/>
  <c r="N718" i="2"/>
  <c r="N779" i="2" s="1"/>
  <c r="N717" i="2"/>
  <c r="X832" i="2"/>
  <c r="X718" i="2"/>
  <c r="O832" i="2"/>
  <c r="O795" i="2"/>
  <c r="Z717" i="2"/>
  <c r="Z778" i="2" s="1"/>
  <c r="T717" i="2"/>
  <c r="T795" i="2"/>
  <c r="M795" i="2"/>
  <c r="M718" i="2"/>
  <c r="M779" i="2" s="1"/>
  <c r="P717" i="2"/>
  <c r="P718" i="2"/>
  <c r="P779" i="2" s="1"/>
  <c r="P795" i="2"/>
  <c r="Y832" i="2"/>
  <c r="Y718" i="2"/>
  <c r="Y717" i="2"/>
  <c r="Y778" i="2" s="1"/>
  <c r="Y795" i="2"/>
  <c r="G718" i="2"/>
  <c r="G795" i="2"/>
  <c r="G717" i="2"/>
  <c r="D30" i="15" s="1"/>
  <c r="G832" i="2"/>
  <c r="H832" i="2"/>
  <c r="H795" i="2"/>
  <c r="H717" i="2"/>
  <c r="H718" i="2"/>
  <c r="H779" i="2" s="1"/>
  <c r="K718" i="2"/>
  <c r="K779" i="2" s="1"/>
  <c r="K795" i="2"/>
  <c r="I717" i="2"/>
  <c r="I795" i="2"/>
  <c r="K832" i="2"/>
  <c r="K717" i="2"/>
  <c r="I718" i="2"/>
  <c r="I779" i="2" s="1"/>
  <c r="I832" i="2"/>
  <c r="AA345" i="2"/>
  <c r="AB345" i="2" s="1"/>
  <c r="U347" i="2"/>
  <c r="U717" i="2" s="1"/>
  <c r="N775" i="2"/>
  <c r="N714" i="2"/>
  <c r="K775" i="2"/>
  <c r="K714" i="2"/>
  <c r="Y775" i="2"/>
  <c r="Y714" i="2"/>
  <c r="V775" i="2"/>
  <c r="V714" i="2"/>
  <c r="P714" i="2"/>
  <c r="P775" i="2"/>
  <c r="X775" i="2"/>
  <c r="X714" i="2"/>
  <c r="T714" i="2"/>
  <c r="T775" i="2"/>
  <c r="O714" i="2"/>
  <c r="O775" i="2"/>
  <c r="G714" i="2"/>
  <c r="G775" i="2"/>
  <c r="G716" i="2"/>
  <c r="AA571" i="2"/>
  <c r="AB571" i="2" s="1"/>
  <c r="AD656" i="1"/>
  <c r="AD542" i="1"/>
  <c r="AD119" i="1"/>
  <c r="AD122" i="1" s="1"/>
  <c r="F285" i="2"/>
  <c r="AA403" i="2"/>
  <c r="AB403" i="2" s="1"/>
  <c r="U405" i="2"/>
  <c r="U715" i="2" s="1"/>
  <c r="K776" i="2"/>
  <c r="G715" i="2"/>
  <c r="O776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B60" i="2" s="1"/>
  <c r="AA58" i="2"/>
  <c r="AB58" i="2" s="1"/>
  <c r="AE109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3" i="1"/>
  <c r="AF210" i="1"/>
  <c r="AG210" i="1" s="1"/>
  <c r="J775" i="2"/>
  <c r="J714" i="2"/>
  <c r="H714" i="2"/>
  <c r="H775" i="2"/>
  <c r="Q714" i="2"/>
  <c r="Q775" i="2"/>
  <c r="W714" i="2"/>
  <c r="W775" i="2"/>
  <c r="S775" i="2"/>
  <c r="S714" i="2"/>
  <c r="M775" i="2"/>
  <c r="M714" i="2"/>
  <c r="Z714" i="2"/>
  <c r="Z775" i="2"/>
  <c r="R714" i="2"/>
  <c r="R775" i="2"/>
  <c r="L714" i="2"/>
  <c r="L775" i="2"/>
  <c r="I714" i="2"/>
  <c r="I775" i="2"/>
  <c r="AA460" i="2"/>
  <c r="AB460" i="2" s="1"/>
  <c r="U462" i="2"/>
  <c r="U716" i="2" s="1"/>
  <c r="U777" i="2" s="1"/>
  <c r="AA114" i="2"/>
  <c r="AB114" i="2" s="1"/>
  <c r="AA686" i="2"/>
  <c r="AB686" i="2" s="1"/>
  <c r="AD654" i="1"/>
  <c r="AD112" i="1"/>
  <c r="AD116" i="1" s="1"/>
  <c r="J776" i="2"/>
  <c r="H776" i="2"/>
  <c r="Q776" i="2"/>
  <c r="P776" i="2"/>
  <c r="L776" i="2"/>
  <c r="M776" i="2"/>
  <c r="I776" i="2"/>
  <c r="AA162" i="2"/>
  <c r="AB162" i="2" s="1"/>
  <c r="AE275" i="1"/>
  <c r="AF259" i="1"/>
  <c r="AG259" i="1" s="1"/>
  <c r="AE490" i="1"/>
  <c r="AF488" i="1"/>
  <c r="AG488" i="1" s="1"/>
  <c r="AA165" i="2"/>
  <c r="AB165" i="2" s="1"/>
  <c r="D28" i="14" l="1"/>
  <c r="D28" i="15"/>
  <c r="L28" i="15" s="1"/>
  <c r="I34" i="15"/>
  <c r="H34" i="15"/>
  <c r="T778" i="2"/>
  <c r="U228" i="2"/>
  <c r="G228" i="2"/>
  <c r="J27" i="14" s="1"/>
  <c r="K27" i="14" s="1"/>
  <c r="V228" i="2"/>
  <c r="Q228" i="2"/>
  <c r="I228" i="2"/>
  <c r="T228" i="2"/>
  <c r="K228" i="2"/>
  <c r="O228" i="2"/>
  <c r="P228" i="2"/>
  <c r="N228" i="2"/>
  <c r="H228" i="2"/>
  <c r="L228" i="2"/>
  <c r="M228" i="2"/>
  <c r="Y228" i="2"/>
  <c r="Z228" i="2"/>
  <c r="W228" i="2"/>
  <c r="X228" i="2"/>
  <c r="J228" i="2"/>
  <c r="R228" i="2"/>
  <c r="AA225" i="2"/>
  <c r="AB225" i="2" s="1"/>
  <c r="AA168" i="2"/>
  <c r="AB168" i="2" s="1"/>
  <c r="AD140" i="1"/>
  <c r="F171" i="2" s="1"/>
  <c r="Y171" i="2" s="1"/>
  <c r="AA405" i="2"/>
  <c r="AB405" i="2" s="1"/>
  <c r="U778" i="2"/>
  <c r="AE516" i="1"/>
  <c r="AF490" i="1"/>
  <c r="AG490" i="1" s="1"/>
  <c r="AE277" i="1"/>
  <c r="AF277" i="1" s="1"/>
  <c r="AG277" i="1" s="1"/>
  <c r="AF275" i="1"/>
  <c r="AG275" i="1" s="1"/>
  <c r="I34" i="14"/>
  <c r="H34" i="14"/>
  <c r="AE279" i="1"/>
  <c r="AF223" i="1"/>
  <c r="AG223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76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8" i="14"/>
  <c r="K778" i="2"/>
  <c r="P778" i="2"/>
  <c r="N778" i="2"/>
  <c r="M778" i="2"/>
  <c r="O778" i="2"/>
  <c r="Q778" i="2"/>
  <c r="L778" i="2"/>
  <c r="AA462" i="2"/>
  <c r="AB462" i="2" s="1"/>
  <c r="AA347" i="2"/>
  <c r="U832" i="2"/>
  <c r="AA832" i="2" s="1"/>
  <c r="AB832" i="2" s="1"/>
  <c r="AF600" i="1"/>
  <c r="AG600" i="1" s="1"/>
  <c r="F574" i="2"/>
  <c r="AF604" i="1"/>
  <c r="AG604" i="1" s="1"/>
  <c r="F689" i="2"/>
  <c r="AF109" i="1"/>
  <c r="AG109" i="1" s="1"/>
  <c r="F117" i="2"/>
  <c r="G776" i="2"/>
  <c r="AA715" i="2"/>
  <c r="AB715" i="2" s="1"/>
  <c r="G777" i="2"/>
  <c r="AA777" i="2" s="1"/>
  <c r="AB777" i="2" s="1"/>
  <c r="AA716" i="2"/>
  <c r="AB716" i="2" s="1"/>
  <c r="U775" i="2"/>
  <c r="U714" i="2"/>
  <c r="I778" i="2"/>
  <c r="H778" i="2"/>
  <c r="D30" i="14"/>
  <c r="G778" i="2"/>
  <c r="AA717" i="2"/>
  <c r="AB717" i="2" s="1"/>
  <c r="G779" i="2"/>
  <c r="J778" i="2"/>
  <c r="U795" i="2"/>
  <c r="U718" i="2"/>
  <c r="U779" i="2" s="1"/>
  <c r="K34" i="15" l="1"/>
  <c r="L34" i="15" s="1"/>
  <c r="J27" i="15"/>
  <c r="K27" i="15" s="1"/>
  <c r="AA228" i="2"/>
  <c r="AB228" i="2" s="1"/>
  <c r="AA776" i="2"/>
  <c r="AB776" i="2" s="1"/>
  <c r="U171" i="2"/>
  <c r="V171" i="2"/>
  <c r="T171" i="2"/>
  <c r="J171" i="2"/>
  <c r="S171" i="2"/>
  <c r="P171" i="2"/>
  <c r="N171" i="2"/>
  <c r="R171" i="2"/>
  <c r="O171" i="2"/>
  <c r="K171" i="2"/>
  <c r="M171" i="2"/>
  <c r="I171" i="2"/>
  <c r="H171" i="2"/>
  <c r="L171" i="2"/>
  <c r="Q171" i="2"/>
  <c r="G171" i="2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75" i="2"/>
  <c r="AB775" i="2" s="1"/>
  <c r="AB347" i="2"/>
  <c r="F519" i="2"/>
  <c r="F719" i="2" s="1"/>
  <c r="F780" i="2" s="1"/>
  <c r="G517" i="2"/>
  <c r="G519" i="2" s="1"/>
  <c r="L517" i="2"/>
  <c r="L519" i="2" s="1"/>
  <c r="L719" i="2" s="1"/>
  <c r="T517" i="2"/>
  <c r="T519" i="2" s="1"/>
  <c r="T719" i="2" s="1"/>
  <c r="T780" i="2" s="1"/>
  <c r="R517" i="2"/>
  <c r="R519" i="2" s="1"/>
  <c r="R719" i="2" s="1"/>
  <c r="R780" i="2" s="1"/>
  <c r="W517" i="2"/>
  <c r="W519" i="2" s="1"/>
  <c r="W719" i="2" s="1"/>
  <c r="W780" i="2" s="1"/>
  <c r="Y517" i="2"/>
  <c r="Y519" i="2" s="1"/>
  <c r="Y719" i="2" s="1"/>
  <c r="Y780" i="2" s="1"/>
  <c r="I517" i="2"/>
  <c r="I519" i="2" s="1"/>
  <c r="I719" i="2" s="1"/>
  <c r="M517" i="2"/>
  <c r="M519" i="2" s="1"/>
  <c r="M719" i="2" s="1"/>
  <c r="O517" i="2"/>
  <c r="O519" i="2" s="1"/>
  <c r="O719" i="2" s="1"/>
  <c r="S517" i="2"/>
  <c r="S519" i="2" s="1"/>
  <c r="S719" i="2" s="1"/>
  <c r="S780" i="2" s="1"/>
  <c r="P517" i="2"/>
  <c r="P519" i="2" s="1"/>
  <c r="P719" i="2" s="1"/>
  <c r="V517" i="2"/>
  <c r="V519" i="2" s="1"/>
  <c r="V719" i="2" s="1"/>
  <c r="V780" i="2" s="1"/>
  <c r="X517" i="2"/>
  <c r="X519" i="2" s="1"/>
  <c r="X719" i="2" s="1"/>
  <c r="X780" i="2" s="1"/>
  <c r="Z517" i="2"/>
  <c r="Z519" i="2" s="1"/>
  <c r="Z719" i="2" s="1"/>
  <c r="Z780" i="2" s="1"/>
  <c r="Q517" i="2"/>
  <c r="Q519" i="2" s="1"/>
  <c r="Q719" i="2" s="1"/>
  <c r="K517" i="2"/>
  <c r="K519" i="2" s="1"/>
  <c r="K719" i="2" s="1"/>
  <c r="H517" i="2"/>
  <c r="H519" i="2" s="1"/>
  <c r="H719" i="2" s="1"/>
  <c r="N517" i="2"/>
  <c r="N519" i="2" s="1"/>
  <c r="N719" i="2" s="1"/>
  <c r="J517" i="2"/>
  <c r="J519" i="2" s="1"/>
  <c r="J719" i="2" s="1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79" i="2"/>
  <c r="AB779" i="2" s="1"/>
  <c r="AA795" i="2"/>
  <c r="AB795" i="2" s="1"/>
  <c r="K34" i="14"/>
  <c r="L34" i="14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1" i="2" s="1"/>
  <c r="O782" i="2" s="1"/>
  <c r="L632" i="2"/>
  <c r="L634" i="2" s="1"/>
  <c r="L721" i="2" s="1"/>
  <c r="L782" i="2" s="1"/>
  <c r="T632" i="2"/>
  <c r="T634" i="2" s="1"/>
  <c r="T721" i="2" s="1"/>
  <c r="T782" i="2" s="1"/>
  <c r="R632" i="2"/>
  <c r="R634" i="2" s="1"/>
  <c r="R721" i="2" s="1"/>
  <c r="R782" i="2" s="1"/>
  <c r="X632" i="2"/>
  <c r="X634" i="2" s="1"/>
  <c r="X721" i="2" s="1"/>
  <c r="X782" i="2" s="1"/>
  <c r="Y632" i="2"/>
  <c r="Y634" i="2" s="1"/>
  <c r="Y721" i="2" s="1"/>
  <c r="Y782" i="2" s="1"/>
  <c r="I632" i="2"/>
  <c r="I634" i="2" s="1"/>
  <c r="I721" i="2" s="1"/>
  <c r="I782" i="2" s="1"/>
  <c r="M632" i="2"/>
  <c r="M634" i="2" s="1"/>
  <c r="M721" i="2" s="1"/>
  <c r="M782" i="2" s="1"/>
  <c r="S632" i="2"/>
  <c r="S634" i="2" s="1"/>
  <c r="S721" i="2" s="1"/>
  <c r="S782" i="2" s="1"/>
  <c r="P632" i="2"/>
  <c r="P634" i="2" s="1"/>
  <c r="P721" i="2" s="1"/>
  <c r="P782" i="2" s="1"/>
  <c r="V632" i="2"/>
  <c r="V634" i="2" s="1"/>
  <c r="V721" i="2" s="1"/>
  <c r="V782" i="2" s="1"/>
  <c r="W632" i="2"/>
  <c r="W634" i="2" s="1"/>
  <c r="W721" i="2" s="1"/>
  <c r="W782" i="2" s="1"/>
  <c r="Z632" i="2"/>
  <c r="Z634" i="2" s="1"/>
  <c r="Z721" i="2" s="1"/>
  <c r="Z782" i="2" s="1"/>
  <c r="Q632" i="2"/>
  <c r="Q634" i="2" s="1"/>
  <c r="Q721" i="2" s="1"/>
  <c r="Q782" i="2" s="1"/>
  <c r="H632" i="2"/>
  <c r="H634" i="2" s="1"/>
  <c r="H721" i="2" s="1"/>
  <c r="H782" i="2" s="1"/>
  <c r="K632" i="2"/>
  <c r="K634" i="2" s="1"/>
  <c r="K721" i="2" s="1"/>
  <c r="K782" i="2" s="1"/>
  <c r="N632" i="2"/>
  <c r="N634" i="2" s="1"/>
  <c r="N721" i="2" s="1"/>
  <c r="N782" i="2" s="1"/>
  <c r="J632" i="2"/>
  <c r="J634" i="2" s="1"/>
  <c r="J721" i="2" s="1"/>
  <c r="J782" i="2" s="1"/>
  <c r="U632" i="2"/>
  <c r="F634" i="2"/>
  <c r="F721" i="2" s="1"/>
  <c r="AE308" i="1"/>
  <c r="AF279" i="1"/>
  <c r="AA718" i="2"/>
  <c r="AB718" i="2" s="1"/>
  <c r="AA778" i="2"/>
  <c r="AB778" i="2" s="1"/>
  <c r="AA714" i="2"/>
  <c r="AB714" i="2" s="1"/>
  <c r="J13" i="14" l="1"/>
  <c r="J13" i="15"/>
  <c r="AA171" i="2"/>
  <c r="AB171" i="2" s="1"/>
  <c r="N780" i="2"/>
  <c r="V817" i="2"/>
  <c r="AF308" i="1"/>
  <c r="AG308" i="1" s="1"/>
  <c r="AG279" i="1"/>
  <c r="AA632" i="2"/>
  <c r="AB632" i="2" s="1"/>
  <c r="U634" i="2"/>
  <c r="U721" i="2" s="1"/>
  <c r="U782" i="2" s="1"/>
  <c r="AA574" i="2"/>
  <c r="AB574" i="2" s="1"/>
  <c r="U576" i="2"/>
  <c r="AA576" i="2" s="1"/>
  <c r="AB576" i="2" s="1"/>
  <c r="N720" i="2"/>
  <c r="N781" i="2"/>
  <c r="K720" i="2"/>
  <c r="K781" i="2"/>
  <c r="Z781" i="2"/>
  <c r="Z720" i="2"/>
  <c r="P781" i="2"/>
  <c r="P720" i="2"/>
  <c r="M781" i="2"/>
  <c r="M720" i="2"/>
  <c r="I720" i="2"/>
  <c r="I781" i="2"/>
  <c r="Y720" i="2"/>
  <c r="Y781" i="2"/>
  <c r="V720" i="2"/>
  <c r="V781" i="2"/>
  <c r="L781" i="2"/>
  <c r="L720" i="2"/>
  <c r="AE538" i="1"/>
  <c r="AF525" i="1"/>
  <c r="AG525" i="1" s="1"/>
  <c r="J780" i="2"/>
  <c r="H780" i="2"/>
  <c r="Q780" i="2"/>
  <c r="P780" i="2"/>
  <c r="O780" i="2"/>
  <c r="I780" i="2"/>
  <c r="G719" i="2"/>
  <c r="J844" i="2"/>
  <c r="J743" i="2"/>
  <c r="N743" i="2"/>
  <c r="N844" i="2"/>
  <c r="K844" i="2"/>
  <c r="K743" i="2"/>
  <c r="V743" i="2"/>
  <c r="V844" i="2"/>
  <c r="W844" i="2"/>
  <c r="W743" i="2"/>
  <c r="P844" i="2"/>
  <c r="P743" i="2"/>
  <c r="M743" i="2"/>
  <c r="M844" i="2"/>
  <c r="X844" i="2"/>
  <c r="X743" i="2"/>
  <c r="R844" i="2"/>
  <c r="R743" i="2"/>
  <c r="I743" i="2"/>
  <c r="I844" i="2"/>
  <c r="AA117" i="2"/>
  <c r="AB117" i="2" s="1"/>
  <c r="U119" i="2"/>
  <c r="U811" i="2" s="1"/>
  <c r="L818" i="2"/>
  <c r="W798" i="2"/>
  <c r="L817" i="2"/>
  <c r="L798" i="2"/>
  <c r="W818" i="2"/>
  <c r="L810" i="2"/>
  <c r="L806" i="2"/>
  <c r="L811" i="2"/>
  <c r="L812" i="2"/>
  <c r="W812" i="2"/>
  <c r="W810" i="2"/>
  <c r="V812" i="2"/>
  <c r="R811" i="2"/>
  <c r="R817" i="2"/>
  <c r="R818" i="2"/>
  <c r="R812" i="2"/>
  <c r="V798" i="2"/>
  <c r="S798" i="2"/>
  <c r="S818" i="2"/>
  <c r="S817" i="2"/>
  <c r="M811" i="2"/>
  <c r="M810" i="2"/>
  <c r="M806" i="2"/>
  <c r="M817" i="2"/>
  <c r="W811" i="2"/>
  <c r="W806" i="2"/>
  <c r="Y810" i="2"/>
  <c r="Z817" i="2"/>
  <c r="Z810" i="2"/>
  <c r="V818" i="2"/>
  <c r="V806" i="2"/>
  <c r="R810" i="2"/>
  <c r="R806" i="2"/>
  <c r="R798" i="2"/>
  <c r="V811" i="2"/>
  <c r="V810" i="2"/>
  <c r="S811" i="2"/>
  <c r="S810" i="2"/>
  <c r="S806" i="2"/>
  <c r="S812" i="2"/>
  <c r="M798" i="2"/>
  <c r="M812" i="2"/>
  <c r="M818" i="2"/>
  <c r="W817" i="2"/>
  <c r="Y818" i="2"/>
  <c r="Y798" i="2"/>
  <c r="Y812" i="2"/>
  <c r="Y811" i="2"/>
  <c r="Z811" i="2"/>
  <c r="Z818" i="2"/>
  <c r="Z806" i="2"/>
  <c r="Y806" i="2"/>
  <c r="Y817" i="2"/>
  <c r="Z798" i="2"/>
  <c r="Z812" i="2"/>
  <c r="Q810" i="2"/>
  <c r="Q811" i="2"/>
  <c r="Q818" i="2"/>
  <c r="O818" i="2"/>
  <c r="O806" i="2"/>
  <c r="O810" i="2"/>
  <c r="O811" i="2"/>
  <c r="J810" i="2"/>
  <c r="Q812" i="2"/>
  <c r="Q806" i="2"/>
  <c r="Q798" i="2"/>
  <c r="Q817" i="2"/>
  <c r="O798" i="2"/>
  <c r="O817" i="2"/>
  <c r="O812" i="2"/>
  <c r="J806" i="2"/>
  <c r="J812" i="2"/>
  <c r="J818" i="2"/>
  <c r="J817" i="2"/>
  <c r="J798" i="2"/>
  <c r="J811" i="2"/>
  <c r="N812" i="2"/>
  <c r="N811" i="2"/>
  <c r="N818" i="2"/>
  <c r="T811" i="2"/>
  <c r="T818" i="2"/>
  <c r="T812" i="2"/>
  <c r="P817" i="2"/>
  <c r="P806" i="2"/>
  <c r="P811" i="2"/>
  <c r="P798" i="2"/>
  <c r="X817" i="2"/>
  <c r="X812" i="2"/>
  <c r="N810" i="2"/>
  <c r="N798" i="2"/>
  <c r="N817" i="2"/>
  <c r="N806" i="2"/>
  <c r="T806" i="2"/>
  <c r="T798" i="2"/>
  <c r="T817" i="2"/>
  <c r="T810" i="2"/>
  <c r="P812" i="2"/>
  <c r="P818" i="2"/>
  <c r="P810" i="2"/>
  <c r="X811" i="2"/>
  <c r="X810" i="2"/>
  <c r="X818" i="2"/>
  <c r="X798" i="2"/>
  <c r="X806" i="2"/>
  <c r="G817" i="2"/>
  <c r="G818" i="2"/>
  <c r="G812" i="2"/>
  <c r="G798" i="2"/>
  <c r="G810" i="2"/>
  <c r="G811" i="2"/>
  <c r="G806" i="2"/>
  <c r="H817" i="2"/>
  <c r="H810" i="2"/>
  <c r="H818" i="2"/>
  <c r="H811" i="2"/>
  <c r="H798" i="2"/>
  <c r="H806" i="2"/>
  <c r="H812" i="2"/>
  <c r="K798" i="2"/>
  <c r="K817" i="2"/>
  <c r="K806" i="2"/>
  <c r="I798" i="2"/>
  <c r="I817" i="2"/>
  <c r="I811" i="2"/>
  <c r="I812" i="2"/>
  <c r="K811" i="2"/>
  <c r="K812" i="2"/>
  <c r="K818" i="2"/>
  <c r="K810" i="2"/>
  <c r="I810" i="2"/>
  <c r="I818" i="2"/>
  <c r="I806" i="2"/>
  <c r="K13" i="14"/>
  <c r="J30" i="14" s="1"/>
  <c r="AE657" i="1"/>
  <c r="AF657" i="1" s="1"/>
  <c r="AG657" i="1" s="1"/>
  <c r="AE120" i="1"/>
  <c r="AF120" i="1" s="1"/>
  <c r="AG120" i="1" s="1"/>
  <c r="F782" i="2"/>
  <c r="G721" i="2"/>
  <c r="F720" i="2"/>
  <c r="F781" i="2"/>
  <c r="J720" i="2"/>
  <c r="J781" i="2"/>
  <c r="H781" i="2"/>
  <c r="H720" i="2"/>
  <c r="Q720" i="2"/>
  <c r="Q781" i="2"/>
  <c r="W720" i="2"/>
  <c r="W781" i="2"/>
  <c r="T720" i="2"/>
  <c r="T781" i="2"/>
  <c r="O781" i="2"/>
  <c r="O720" i="2"/>
  <c r="X781" i="2"/>
  <c r="X720" i="2"/>
  <c r="S781" i="2"/>
  <c r="S720" i="2"/>
  <c r="R781" i="2"/>
  <c r="R720" i="2"/>
  <c r="G781" i="2"/>
  <c r="G720" i="2"/>
  <c r="AE331" i="1"/>
  <c r="AF317" i="1"/>
  <c r="AG317" i="1" s="1"/>
  <c r="AA517" i="2"/>
  <c r="AB517" i="2" s="1"/>
  <c r="U519" i="2"/>
  <c r="U719" i="2" s="1"/>
  <c r="K780" i="2"/>
  <c r="M780" i="2"/>
  <c r="L780" i="2"/>
  <c r="F743" i="2"/>
  <c r="F844" i="2"/>
  <c r="AA689" i="2"/>
  <c r="AB689" i="2" s="1"/>
  <c r="U691" i="2"/>
  <c r="AA691" i="2" s="1"/>
  <c r="AB691" i="2" s="1"/>
  <c r="H844" i="2"/>
  <c r="H743" i="2"/>
  <c r="Q844" i="2"/>
  <c r="Q743" i="2"/>
  <c r="Y743" i="2"/>
  <c r="Y846" i="2" s="1"/>
  <c r="Y844" i="2"/>
  <c r="S844" i="2"/>
  <c r="S743" i="2"/>
  <c r="O844" i="2"/>
  <c r="O743" i="2"/>
  <c r="Z743" i="2"/>
  <c r="Z844" i="2"/>
  <c r="T743" i="2"/>
  <c r="T844" i="2"/>
  <c r="L844" i="2"/>
  <c r="L743" i="2"/>
  <c r="G844" i="2"/>
  <c r="G743" i="2"/>
  <c r="D21" i="15" s="1"/>
  <c r="K13" i="15" l="1"/>
  <c r="J30" i="15" s="1"/>
  <c r="T846" i="2"/>
  <c r="AA634" i="2"/>
  <c r="AB634" i="2" s="1"/>
  <c r="U810" i="2"/>
  <c r="AA810" i="2" s="1"/>
  <c r="AB810" i="2" s="1"/>
  <c r="U798" i="2"/>
  <c r="AA798" i="2" s="1"/>
  <c r="AB798" i="2" s="1"/>
  <c r="U806" i="2"/>
  <c r="AA806" i="2" s="1"/>
  <c r="AB806" i="2" s="1"/>
  <c r="AA119" i="2"/>
  <c r="AB119" i="2" s="1"/>
  <c r="U818" i="2"/>
  <c r="AA818" i="2" s="1"/>
  <c r="AB818" i="2" s="1"/>
  <c r="U817" i="2"/>
  <c r="AA817" i="2" s="1"/>
  <c r="AB817" i="2" s="1"/>
  <c r="U812" i="2"/>
  <c r="AA812" i="2" s="1"/>
  <c r="AB812" i="2" s="1"/>
  <c r="Z846" i="2"/>
  <c r="S846" i="2"/>
  <c r="D21" i="14"/>
  <c r="U743" i="2"/>
  <c r="U846" i="2" s="1"/>
  <c r="U844" i="2"/>
  <c r="AA844" i="2" s="1"/>
  <c r="AB844" i="2" s="1"/>
  <c r="U780" i="2"/>
  <c r="AF331" i="1"/>
  <c r="AG331" i="1" s="1"/>
  <c r="AE333" i="1"/>
  <c r="AF538" i="1"/>
  <c r="AG538" i="1" s="1"/>
  <c r="AE540" i="1"/>
  <c r="AA811" i="2"/>
  <c r="AB811" i="2" s="1"/>
  <c r="R846" i="2"/>
  <c r="X846" i="2"/>
  <c r="W846" i="2"/>
  <c r="AA519" i="2"/>
  <c r="AB519" i="2" s="1"/>
  <c r="O846" i="2"/>
  <c r="L846" i="2"/>
  <c r="M846" i="2"/>
  <c r="J846" i="2"/>
  <c r="P846" i="2"/>
  <c r="N846" i="2"/>
  <c r="Q846" i="2"/>
  <c r="G846" i="2"/>
  <c r="H846" i="2"/>
  <c r="K846" i="2"/>
  <c r="I846" i="2"/>
  <c r="G782" i="2"/>
  <c r="AA721" i="2"/>
  <c r="H30" i="14"/>
  <c r="E30" i="14"/>
  <c r="G30" i="14"/>
  <c r="F30" i="14"/>
  <c r="G780" i="2"/>
  <c r="AA719" i="2"/>
  <c r="AB719" i="2" s="1"/>
  <c r="U720" i="2"/>
  <c r="U781" i="2"/>
  <c r="AA781" i="2" s="1"/>
  <c r="AB781" i="2" s="1"/>
  <c r="V846" i="2"/>
  <c r="D29" i="14" l="1"/>
  <c r="L29" i="14" s="1"/>
  <c r="D29" i="15"/>
  <c r="L29" i="15" s="1"/>
  <c r="G30" i="15"/>
  <c r="H30" i="15"/>
  <c r="E30" i="15"/>
  <c r="F30" i="15"/>
  <c r="AA780" i="2"/>
  <c r="AB780" i="2" s="1"/>
  <c r="AA743" i="2"/>
  <c r="AB743" i="2" s="1"/>
  <c r="AA782" i="2"/>
  <c r="AB782" i="2" s="1"/>
  <c r="AB721" i="2"/>
  <c r="AE656" i="1"/>
  <c r="AF656" i="1" s="1"/>
  <c r="AG656" i="1" s="1"/>
  <c r="AE542" i="1"/>
  <c r="AF542" i="1" s="1"/>
  <c r="AG542" i="1" s="1"/>
  <c r="AF540" i="1"/>
  <c r="AG540" i="1" s="1"/>
  <c r="AE119" i="1"/>
  <c r="F288" i="2"/>
  <c r="AE610" i="1"/>
  <c r="AF610" i="1" s="1"/>
  <c r="AG610" i="1" s="1"/>
  <c r="AE335" i="1"/>
  <c r="AF333" i="1"/>
  <c r="AG333" i="1" s="1"/>
  <c r="F231" i="2"/>
  <c r="AA846" i="2"/>
  <c r="AB846" i="2" s="1"/>
  <c r="AA720" i="2"/>
  <c r="AB720" i="2" s="1"/>
  <c r="AE122" i="1" l="1"/>
  <c r="AF122" i="1" s="1"/>
  <c r="AG122" i="1" s="1"/>
  <c r="AF119" i="1"/>
  <c r="AG119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F235" i="2" s="1"/>
  <c r="AE654" i="1"/>
  <c r="AF654" i="1" s="1"/>
  <c r="AG654" i="1" s="1"/>
  <c r="AF335" i="1"/>
  <c r="AG335" i="1" s="1"/>
  <c r="AE112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V797" i="2" l="1"/>
  <c r="O796" i="2"/>
  <c r="Z797" i="2"/>
  <c r="R796" i="2"/>
  <c r="V796" i="2"/>
  <c r="O797" i="2"/>
  <c r="Z796" i="2"/>
  <c r="R797" i="2"/>
  <c r="M796" i="2"/>
  <c r="X796" i="2"/>
  <c r="Q797" i="2"/>
  <c r="L797" i="2"/>
  <c r="J797" i="2"/>
  <c r="M797" i="2"/>
  <c r="X797" i="2"/>
  <c r="Q796" i="2"/>
  <c r="L796" i="2"/>
  <c r="J796" i="2"/>
  <c r="Y797" i="2"/>
  <c r="Y796" i="2"/>
  <c r="T797" i="2"/>
  <c r="N797" i="2"/>
  <c r="P797" i="2"/>
  <c r="S797" i="2"/>
  <c r="W797" i="2"/>
  <c r="T796" i="2"/>
  <c r="N796" i="2"/>
  <c r="P796" i="2"/>
  <c r="S796" i="2"/>
  <c r="W796" i="2"/>
  <c r="G796" i="2"/>
  <c r="G797" i="2"/>
  <c r="H796" i="2"/>
  <c r="H797" i="2"/>
  <c r="I796" i="2"/>
  <c r="I797" i="2"/>
  <c r="K797" i="2"/>
  <c r="K796" i="2"/>
  <c r="F774" i="2"/>
  <c r="F713" i="2"/>
  <c r="F726" i="2" s="1"/>
  <c r="F1096" i="2"/>
  <c r="W805" i="2"/>
  <c r="Y805" i="2"/>
  <c r="Z805" i="2"/>
  <c r="X805" i="2"/>
  <c r="O805" i="2"/>
  <c r="J233" i="2"/>
  <c r="K233" i="2"/>
  <c r="Q233" i="2"/>
  <c r="V805" i="2"/>
  <c r="V774" i="2"/>
  <c r="V1096" i="2"/>
  <c r="V713" i="2"/>
  <c r="V741" i="2" s="1"/>
  <c r="R233" i="2"/>
  <c r="R805" i="2" s="1"/>
  <c r="G233" i="2"/>
  <c r="G235" i="2" s="1"/>
  <c r="X1096" i="2"/>
  <c r="X713" i="2"/>
  <c r="X741" i="2" s="1"/>
  <c r="X774" i="2"/>
  <c r="S233" i="2"/>
  <c r="O713" i="2"/>
  <c r="O1096" i="2"/>
  <c r="O774" i="2"/>
  <c r="I233" i="2"/>
  <c r="AA288" i="2"/>
  <c r="AB288" i="2" s="1"/>
  <c r="U290" i="2"/>
  <c r="U796" i="2" s="1"/>
  <c r="AE116" i="1"/>
  <c r="AF112" i="1"/>
  <c r="AG112" i="1" s="1"/>
  <c r="AA231" i="2"/>
  <c r="AB231" i="2" s="1"/>
  <c r="U233" i="2"/>
  <c r="N233" i="2"/>
  <c r="H233" i="2"/>
  <c r="Y1096" i="2"/>
  <c r="Y774" i="2"/>
  <c r="Y713" i="2"/>
  <c r="Y741" i="2" s="1"/>
  <c r="T233" i="2"/>
  <c r="M233" i="2"/>
  <c r="Z774" i="2"/>
  <c r="Z713" i="2"/>
  <c r="Z741" i="2" s="1"/>
  <c r="Z1096" i="2"/>
  <c r="W713" i="2"/>
  <c r="W741" i="2" s="1"/>
  <c r="W774" i="2"/>
  <c r="W1096" i="2"/>
  <c r="P233" i="2"/>
  <c r="L233" i="2"/>
  <c r="L805" i="2" s="1"/>
  <c r="N805" i="2" l="1"/>
  <c r="Y833" i="2"/>
  <c r="W833" i="2"/>
  <c r="X833" i="2"/>
  <c r="Z833" i="2"/>
  <c r="O833" i="2"/>
  <c r="AA290" i="2"/>
  <c r="AB290" i="2" s="1"/>
  <c r="M713" i="2"/>
  <c r="M1096" i="2"/>
  <c r="M833" i="2" s="1"/>
  <c r="M774" i="2"/>
  <c r="T713" i="2"/>
  <c r="T774" i="2"/>
  <c r="T1096" i="2"/>
  <c r="T833" i="2" s="1"/>
  <c r="H774" i="2"/>
  <c r="H1096" i="2"/>
  <c r="H833" i="2" s="1"/>
  <c r="H713" i="2"/>
  <c r="U1096" i="2"/>
  <c r="U833" i="2" s="1"/>
  <c r="U774" i="2"/>
  <c r="U713" i="2"/>
  <c r="AF116" i="1"/>
  <c r="AG116" i="1" s="1"/>
  <c r="AE140" i="1"/>
  <c r="S1096" i="2"/>
  <c r="S833" i="2" s="1"/>
  <c r="S713" i="2"/>
  <c r="S774" i="2"/>
  <c r="G713" i="2"/>
  <c r="G774" i="2"/>
  <c r="G1096" i="2"/>
  <c r="AA233" i="2"/>
  <c r="K713" i="2"/>
  <c r="K1096" i="2"/>
  <c r="K833" i="2" s="1"/>
  <c r="K774" i="2"/>
  <c r="J774" i="2"/>
  <c r="J713" i="2"/>
  <c r="J1096" i="2"/>
  <c r="J833" i="2" s="1"/>
  <c r="F741" i="2"/>
  <c r="F745" i="2" s="1"/>
  <c r="AA796" i="2"/>
  <c r="AB796" i="2" s="1"/>
  <c r="K805" i="2"/>
  <c r="H805" i="2"/>
  <c r="T805" i="2"/>
  <c r="J805" i="2"/>
  <c r="S805" i="2"/>
  <c r="U797" i="2"/>
  <c r="AA797" i="2" s="1"/>
  <c r="AB797" i="2" s="1"/>
  <c r="P1096" i="2"/>
  <c r="P833" i="2" s="1"/>
  <c r="P713" i="2"/>
  <c r="P774" i="2"/>
  <c r="L1096" i="2"/>
  <c r="L833" i="2" s="1"/>
  <c r="L713" i="2"/>
  <c r="L774" i="2"/>
  <c r="N1096" i="2"/>
  <c r="N833" i="2" s="1"/>
  <c r="N713" i="2"/>
  <c r="N774" i="2"/>
  <c r="I713" i="2"/>
  <c r="I1096" i="2"/>
  <c r="I833" i="2" s="1"/>
  <c r="I774" i="2"/>
  <c r="O741" i="2"/>
  <c r="R713" i="2"/>
  <c r="R774" i="2"/>
  <c r="R1096" i="2"/>
  <c r="R833" i="2" s="1"/>
  <c r="Q774" i="2"/>
  <c r="Q713" i="2"/>
  <c r="Q1096" i="2"/>
  <c r="Q833" i="2" s="1"/>
  <c r="V833" i="2"/>
  <c r="F821" i="2"/>
  <c r="F842" i="2"/>
  <c r="F848" i="2" s="1"/>
  <c r="I805" i="2"/>
  <c r="U805" i="2"/>
  <c r="Q805" i="2"/>
  <c r="P805" i="2"/>
  <c r="M805" i="2"/>
  <c r="G805" i="2"/>
  <c r="D27" i="14" l="1"/>
  <c r="D27" i="15"/>
  <c r="L27" i="15" s="1"/>
  <c r="Q741" i="2"/>
  <c r="R741" i="2"/>
  <c r="I741" i="2"/>
  <c r="F728" i="2"/>
  <c r="F900" i="2"/>
  <c r="J741" i="2"/>
  <c r="G833" i="2"/>
  <c r="AA1096" i="2"/>
  <c r="AB1096" i="2" s="1"/>
  <c r="L27" i="14"/>
  <c r="G741" i="2"/>
  <c r="AA713" i="2"/>
  <c r="AB713" i="2" s="1"/>
  <c r="U741" i="2"/>
  <c r="H741" i="2"/>
  <c r="T741" i="2"/>
  <c r="M741" i="2"/>
  <c r="F864" i="2"/>
  <c r="F823" i="2"/>
  <c r="N741" i="2"/>
  <c r="L741" i="2"/>
  <c r="P741" i="2"/>
  <c r="K741" i="2"/>
  <c r="AA774" i="2"/>
  <c r="AB774" i="2" s="1"/>
  <c r="AB233" i="2"/>
  <c r="S741" i="2"/>
  <c r="F174" i="2"/>
  <c r="AF140" i="1"/>
  <c r="AG140" i="1" s="1"/>
  <c r="AA805" i="2"/>
  <c r="AB805" i="2" s="1"/>
  <c r="AA833" i="2" l="1"/>
  <c r="AB833" i="2" s="1"/>
  <c r="D14" i="15"/>
  <c r="I174" i="2"/>
  <c r="L174" i="2"/>
  <c r="R174" i="2"/>
  <c r="T174" i="2"/>
  <c r="W174" i="2"/>
  <c r="W176" i="2" s="1"/>
  <c r="W730" i="2" s="1"/>
  <c r="W830" i="2" s="1"/>
  <c r="W834" i="2" s="1"/>
  <c r="Y174" i="2"/>
  <c r="Y176" i="2" s="1"/>
  <c r="Y730" i="2" s="1"/>
  <c r="Y830" i="2" s="1"/>
  <c r="Y834" i="2" s="1"/>
  <c r="P174" i="2"/>
  <c r="G174" i="2"/>
  <c r="M174" i="2"/>
  <c r="O174" i="2"/>
  <c r="O176" i="2" s="1"/>
  <c r="S174" i="2"/>
  <c r="V174" i="2"/>
  <c r="V176" i="2" s="1"/>
  <c r="V730" i="2" s="1"/>
  <c r="V830" i="2" s="1"/>
  <c r="V834" i="2" s="1"/>
  <c r="X174" i="2"/>
  <c r="X176" i="2" s="1"/>
  <c r="X730" i="2" s="1"/>
  <c r="X830" i="2" s="1"/>
  <c r="X834" i="2" s="1"/>
  <c r="Z174" i="2"/>
  <c r="Z176" i="2" s="1"/>
  <c r="Z730" i="2" s="1"/>
  <c r="Z830" i="2" s="1"/>
  <c r="Z834" i="2" s="1"/>
  <c r="Q174" i="2"/>
  <c r="K174" i="2"/>
  <c r="H174" i="2"/>
  <c r="N174" i="2"/>
  <c r="J174" i="2"/>
  <c r="U174" i="2"/>
  <c r="F176" i="2"/>
  <c r="F828" i="2"/>
  <c r="F973" i="2"/>
  <c r="D14" i="14"/>
  <c r="AA741" i="2"/>
  <c r="AB741" i="2" s="1"/>
  <c r="F730" i="2" l="1"/>
  <c r="F830" i="2" s="1"/>
  <c r="F834" i="2" s="1"/>
  <c r="V706" i="2"/>
  <c r="V707" i="2"/>
  <c r="V809" i="2"/>
  <c r="W809" i="2"/>
  <c r="W707" i="2"/>
  <c r="W706" i="2"/>
  <c r="Y707" i="2"/>
  <c r="Y809" i="2"/>
  <c r="Y706" i="2"/>
  <c r="Z809" i="2"/>
  <c r="X707" i="2"/>
  <c r="X809" i="2"/>
  <c r="Z706" i="2"/>
  <c r="Z707" i="2"/>
  <c r="X706" i="2"/>
  <c r="O706" i="2"/>
  <c r="O707" i="2"/>
  <c r="O809" i="2"/>
  <c r="J176" i="2"/>
  <c r="H176" i="2"/>
  <c r="Q176" i="2"/>
  <c r="X911" i="2"/>
  <c r="X986" i="2" s="1"/>
  <c r="X875" i="2"/>
  <c r="S176" i="2"/>
  <c r="S809" i="2" s="1"/>
  <c r="M176" i="2"/>
  <c r="M809" i="2" s="1"/>
  <c r="P176" i="2"/>
  <c r="W911" i="2"/>
  <c r="W875" i="2"/>
  <c r="R176" i="2"/>
  <c r="R707" i="2" s="1"/>
  <c r="I176" i="2"/>
  <c r="I707" i="2" s="1"/>
  <c r="AA174" i="2"/>
  <c r="AB174" i="2" s="1"/>
  <c r="U176" i="2"/>
  <c r="U706" i="2" s="1"/>
  <c r="N176" i="2"/>
  <c r="K176" i="2"/>
  <c r="Z875" i="2"/>
  <c r="Z911" i="2"/>
  <c r="Z986" i="2" s="1"/>
  <c r="V911" i="2"/>
  <c r="V875" i="2"/>
  <c r="O730" i="2"/>
  <c r="G176" i="2"/>
  <c r="D13" i="15" s="1"/>
  <c r="Y911" i="2"/>
  <c r="Y986" i="2" s="1"/>
  <c r="Y875" i="2"/>
  <c r="T176" i="2"/>
  <c r="L176" i="2"/>
  <c r="D15" i="15" l="1"/>
  <c r="F21" i="15"/>
  <c r="F14" i="15"/>
  <c r="F15" i="15" s="1"/>
  <c r="E21" i="15"/>
  <c r="E14" i="15"/>
  <c r="E15" i="15" s="1"/>
  <c r="G21" i="15"/>
  <c r="G14" i="15"/>
  <c r="G15" i="15" s="1"/>
  <c r="H14" i="15"/>
  <c r="H15" i="15" s="1"/>
  <c r="H21" i="15"/>
  <c r="I30" i="15"/>
  <c r="K30" i="15" s="1"/>
  <c r="L30" i="15" s="1"/>
  <c r="I21" i="15"/>
  <c r="K21" i="15" s="1"/>
  <c r="L21" i="15" s="1"/>
  <c r="I14" i="15"/>
  <c r="J14" i="15"/>
  <c r="J15" i="15" s="1"/>
  <c r="J21" i="15"/>
  <c r="L13" i="15"/>
  <c r="K707" i="2"/>
  <c r="P707" i="2"/>
  <c r="T707" i="2"/>
  <c r="V710" i="2"/>
  <c r="V739" i="2" s="1"/>
  <c r="V745" i="2" s="1"/>
  <c r="Z710" i="2"/>
  <c r="Z739" i="2" s="1"/>
  <c r="Z745" i="2" s="1"/>
  <c r="X710" i="2"/>
  <c r="X739" i="2" s="1"/>
  <c r="X745" i="2" s="1"/>
  <c r="Y710" i="2"/>
  <c r="Y739" i="2" s="1"/>
  <c r="Y745" i="2" s="1"/>
  <c r="W710" i="2"/>
  <c r="W739" i="2" s="1"/>
  <c r="W745" i="2" s="1"/>
  <c r="S1071" i="2"/>
  <c r="L730" i="2"/>
  <c r="L830" i="2" s="1"/>
  <c r="L834" i="2" s="1"/>
  <c r="G730" i="2"/>
  <c r="D13" i="14"/>
  <c r="I30" i="14" s="1"/>
  <c r="K30" i="14" s="1"/>
  <c r="L30" i="14" s="1"/>
  <c r="AA176" i="2"/>
  <c r="AB176" i="2" s="1"/>
  <c r="O830" i="2"/>
  <c r="O834" i="2" s="1"/>
  <c r="F15" i="4"/>
  <c r="V986" i="2"/>
  <c r="V942" i="2"/>
  <c r="K730" i="2"/>
  <c r="N730" i="2"/>
  <c r="U730" i="2"/>
  <c r="Q730" i="2"/>
  <c r="H730" i="2"/>
  <c r="J730" i="2"/>
  <c r="O710" i="2"/>
  <c r="X1071" i="2"/>
  <c r="Y1071" i="2"/>
  <c r="W1071" i="2"/>
  <c r="F911" i="2"/>
  <c r="F875" i="2"/>
  <c r="F836" i="2"/>
  <c r="I706" i="2"/>
  <c r="K809" i="2"/>
  <c r="I809" i="2"/>
  <c r="K706" i="2"/>
  <c r="U707" i="2"/>
  <c r="P706" i="2"/>
  <c r="H706" i="2"/>
  <c r="L707" i="2"/>
  <c r="J707" i="2"/>
  <c r="Q706" i="2"/>
  <c r="L809" i="2"/>
  <c r="G707" i="2"/>
  <c r="J809" i="2"/>
  <c r="T809" i="2"/>
  <c r="Q707" i="2"/>
  <c r="R809" i="2"/>
  <c r="N707" i="2"/>
  <c r="S707" i="2"/>
  <c r="T730" i="2"/>
  <c r="I730" i="2"/>
  <c r="R730" i="2"/>
  <c r="W986" i="2"/>
  <c r="W942" i="2"/>
  <c r="P730" i="2"/>
  <c r="M730" i="2"/>
  <c r="M830" i="2" s="1"/>
  <c r="M834" i="2" s="1"/>
  <c r="S730" i="2"/>
  <c r="O1071" i="2"/>
  <c r="Z1071" i="2"/>
  <c r="V1071" i="2"/>
  <c r="U809" i="2"/>
  <c r="H809" i="2"/>
  <c r="P809" i="2"/>
  <c r="H707" i="2"/>
  <c r="Q809" i="2"/>
  <c r="G809" i="2"/>
  <c r="L706" i="2"/>
  <c r="G706" i="2"/>
  <c r="D44" i="15" s="1"/>
  <c r="D45" i="15" s="1"/>
  <c r="J706" i="2"/>
  <c r="T706" i="2"/>
  <c r="M706" i="2"/>
  <c r="M707" i="2"/>
  <c r="N809" i="2"/>
  <c r="R706" i="2"/>
  <c r="R710" i="2" s="1"/>
  <c r="S706" i="2"/>
  <c r="N706" i="2"/>
  <c r="I15" i="15" l="1"/>
  <c r="K15" i="15" s="1"/>
  <c r="L15" i="15" s="1"/>
  <c r="K14" i="15"/>
  <c r="L14" i="15" s="1"/>
  <c r="H44" i="15"/>
  <c r="H45" i="15" s="1"/>
  <c r="G44" i="15"/>
  <c r="G45" i="15" s="1"/>
  <c r="I44" i="15"/>
  <c r="F44" i="15"/>
  <c r="F45" i="15" s="1"/>
  <c r="E44" i="15"/>
  <c r="E45" i="15" s="1"/>
  <c r="J44" i="15"/>
  <c r="J45" i="15" s="1"/>
  <c r="E44" i="14"/>
  <c r="E45" i="14" s="1"/>
  <c r="D44" i="14"/>
  <c r="D45" i="14" s="1"/>
  <c r="T710" i="2"/>
  <c r="C20" i="4" s="1"/>
  <c r="F44" i="14"/>
  <c r="F45" i="14" s="1"/>
  <c r="V813" i="2"/>
  <c r="Y813" i="2"/>
  <c r="Z813" i="2"/>
  <c r="X757" i="2"/>
  <c r="X770" i="2" s="1"/>
  <c r="X855" i="2" s="1"/>
  <c r="V757" i="2"/>
  <c r="V770" i="2" s="1"/>
  <c r="V855" i="2" s="1"/>
  <c r="W813" i="2"/>
  <c r="X813" i="2"/>
  <c r="G44" i="14"/>
  <c r="G45" i="14" s="1"/>
  <c r="H44" i="14"/>
  <c r="H45" i="14" s="1"/>
  <c r="I44" i="14"/>
  <c r="I45" i="14" s="1"/>
  <c r="J44" i="14"/>
  <c r="J45" i="14" s="1"/>
  <c r="Y757" i="2"/>
  <c r="Y770" i="2" s="1"/>
  <c r="W757" i="2"/>
  <c r="W770" i="2" s="1"/>
  <c r="Z757" i="2"/>
  <c r="Z770" i="2" s="1"/>
  <c r="S710" i="2"/>
  <c r="S739" i="2" s="1"/>
  <c r="S745" i="2" s="1"/>
  <c r="S813" i="2" s="1"/>
  <c r="AA707" i="2"/>
  <c r="AB707" i="2" s="1"/>
  <c r="M710" i="2"/>
  <c r="L710" i="2"/>
  <c r="Q1071" i="2"/>
  <c r="P1071" i="2"/>
  <c r="U1071" i="2"/>
  <c r="V722" i="2"/>
  <c r="V726" i="2" s="1"/>
  <c r="V783" i="2"/>
  <c r="V816" i="2"/>
  <c r="V814" i="2"/>
  <c r="V815" i="2"/>
  <c r="X814" i="2"/>
  <c r="X815" i="2"/>
  <c r="X816" i="2"/>
  <c r="X722" i="2"/>
  <c r="X726" i="2" s="1"/>
  <c r="X783" i="2"/>
  <c r="F19" i="4"/>
  <c r="S830" i="2"/>
  <c r="S834" i="2" s="1"/>
  <c r="F18" i="4"/>
  <c r="R830" i="2"/>
  <c r="R834" i="2" s="1"/>
  <c r="R1071" i="2"/>
  <c r="T1071" i="2"/>
  <c r="Q710" i="2"/>
  <c r="P710" i="2"/>
  <c r="K710" i="2"/>
  <c r="K1071" i="2"/>
  <c r="Y858" i="2"/>
  <c r="F858" i="2"/>
  <c r="Z858" i="2"/>
  <c r="X858" i="2"/>
  <c r="V858" i="2"/>
  <c r="W858" i="2"/>
  <c r="J830" i="2"/>
  <c r="J834" i="2" s="1"/>
  <c r="F12" i="4"/>
  <c r="F11" i="4"/>
  <c r="H830" i="2"/>
  <c r="H834" i="2" s="1"/>
  <c r="F14" i="4"/>
  <c r="N830" i="2"/>
  <c r="N834" i="2" s="1"/>
  <c r="O911" i="2"/>
  <c r="O875" i="2"/>
  <c r="F37" i="4"/>
  <c r="D15" i="14"/>
  <c r="F14" i="14"/>
  <c r="F15" i="14" s="1"/>
  <c r="F21" i="14"/>
  <c r="E14" i="14"/>
  <c r="E21" i="14"/>
  <c r="G21" i="14"/>
  <c r="G14" i="14"/>
  <c r="G15" i="14" s="1"/>
  <c r="H14" i="14"/>
  <c r="H15" i="14" s="1"/>
  <c r="H21" i="14"/>
  <c r="I14" i="14"/>
  <c r="I15" i="14" s="1"/>
  <c r="I21" i="14"/>
  <c r="J14" i="14"/>
  <c r="J15" i="14" s="1"/>
  <c r="J21" i="14"/>
  <c r="L13" i="14"/>
  <c r="U710" i="2"/>
  <c r="N1071" i="2"/>
  <c r="J710" i="2"/>
  <c r="Y815" i="2"/>
  <c r="Y722" i="2"/>
  <c r="Y726" i="2" s="1"/>
  <c r="Y814" i="2"/>
  <c r="Y816" i="2"/>
  <c r="Y783" i="2"/>
  <c r="N710" i="2"/>
  <c r="R757" i="2"/>
  <c r="R770" i="2" s="1"/>
  <c r="R739" i="2"/>
  <c r="R745" i="2" s="1"/>
  <c r="C18" i="4"/>
  <c r="G710" i="2"/>
  <c r="G1071" i="2"/>
  <c r="H1071" i="2"/>
  <c r="Z783" i="2"/>
  <c r="Z722" i="2"/>
  <c r="Z726" i="2" s="1"/>
  <c r="Z814" i="2"/>
  <c r="Z815" i="2"/>
  <c r="Z816" i="2"/>
  <c r="M911" i="2"/>
  <c r="M875" i="2"/>
  <c r="P830" i="2"/>
  <c r="P834" i="2" s="1"/>
  <c r="F16" i="4"/>
  <c r="I830" i="2"/>
  <c r="I834" i="2" s="1"/>
  <c r="T830" i="2"/>
  <c r="T834" i="2" s="1"/>
  <c r="F20" i="4"/>
  <c r="J1071" i="2"/>
  <c r="L1071" i="2"/>
  <c r="H710" i="2"/>
  <c r="AA809" i="2"/>
  <c r="AB809" i="2" s="1"/>
  <c r="AA706" i="2"/>
  <c r="AB706" i="2" s="1"/>
  <c r="I710" i="2"/>
  <c r="F986" i="2"/>
  <c r="F942" i="2"/>
  <c r="W815" i="2"/>
  <c r="W722" i="2"/>
  <c r="W726" i="2" s="1"/>
  <c r="W816" i="2"/>
  <c r="W814" i="2"/>
  <c r="W783" i="2"/>
  <c r="C15" i="4"/>
  <c r="O739" i="2"/>
  <c r="O745" i="2" s="1"/>
  <c r="O813" i="2" s="1"/>
  <c r="O757" i="2"/>
  <c r="O770" i="2" s="1"/>
  <c r="Q830" i="2"/>
  <c r="Q834" i="2" s="1"/>
  <c r="F17" i="4"/>
  <c r="U830" i="2"/>
  <c r="U834" i="2" s="1"/>
  <c r="F21" i="4"/>
  <c r="K830" i="2"/>
  <c r="K834" i="2" s="1"/>
  <c r="F13" i="4"/>
  <c r="G830" i="2"/>
  <c r="F10" i="4"/>
  <c r="AA730" i="2"/>
  <c r="AB730" i="2" s="1"/>
  <c r="L911" i="2"/>
  <c r="L875" i="2"/>
  <c r="I45" i="15" l="1"/>
  <c r="K45" i="15" s="1"/>
  <c r="L45" i="15" s="1"/>
  <c r="K44" i="15"/>
  <c r="L44" i="15" s="1"/>
  <c r="K45" i="14"/>
  <c r="T757" i="2"/>
  <c r="T770" i="2" s="1"/>
  <c r="C42" i="4" s="1"/>
  <c r="T739" i="2"/>
  <c r="T745" i="2" s="1"/>
  <c r="T816" i="2" s="1"/>
  <c r="X840" i="2"/>
  <c r="X888" i="2"/>
  <c r="X961" i="2" s="1"/>
  <c r="V840" i="2"/>
  <c r="V888" i="2"/>
  <c r="R813" i="2"/>
  <c r="Z888" i="2"/>
  <c r="Z855" i="2"/>
  <c r="Z860" i="2" s="1"/>
  <c r="W840" i="2"/>
  <c r="W855" i="2"/>
  <c r="W860" i="2" s="1"/>
  <c r="Y888" i="2"/>
  <c r="Y855" i="2"/>
  <c r="Y860" i="2" s="1"/>
  <c r="Y840" i="2"/>
  <c r="Z840" i="2"/>
  <c r="W888" i="2"/>
  <c r="X821" i="2"/>
  <c r="X864" i="2" s="1"/>
  <c r="C19" i="4"/>
  <c r="S757" i="2"/>
  <c r="S770" i="2" s="1"/>
  <c r="C41" i="4" s="1"/>
  <c r="Y821" i="2"/>
  <c r="Y864" i="2" s="1"/>
  <c r="X819" i="2"/>
  <c r="X842" i="2" s="1"/>
  <c r="Y819" i="2"/>
  <c r="Y842" i="2" s="1"/>
  <c r="V819" i="2"/>
  <c r="V902" i="2" s="1"/>
  <c r="W821" i="2"/>
  <c r="W864" i="2" s="1"/>
  <c r="W819" i="2"/>
  <c r="W902" i="2" s="1"/>
  <c r="Z819" i="2"/>
  <c r="Z902" i="2" s="1"/>
  <c r="F35" i="4"/>
  <c r="K875" i="2"/>
  <c r="K911" i="2"/>
  <c r="O840" i="2"/>
  <c r="O888" i="2"/>
  <c r="C37" i="4"/>
  <c r="O855" i="2"/>
  <c r="F42" i="4"/>
  <c r="T875" i="2"/>
  <c r="T911" i="2"/>
  <c r="I875" i="2"/>
  <c r="I911" i="2"/>
  <c r="M942" i="2"/>
  <c r="M986" i="2"/>
  <c r="L986" i="2"/>
  <c r="L942" i="2"/>
  <c r="G834" i="2"/>
  <c r="AA830" i="2"/>
  <c r="AB830" i="2" s="1"/>
  <c r="U911" i="2"/>
  <c r="U875" i="2"/>
  <c r="F43" i="4"/>
  <c r="F39" i="4"/>
  <c r="Q875" i="2"/>
  <c r="Q911" i="2"/>
  <c r="O722" i="2"/>
  <c r="O726" i="2" s="1"/>
  <c r="O815" i="2"/>
  <c r="O783" i="2"/>
  <c r="O814" i="2"/>
  <c r="O816" i="2"/>
  <c r="W900" i="2"/>
  <c r="W728" i="2"/>
  <c r="I739" i="2"/>
  <c r="I745" i="2" s="1"/>
  <c r="I813" i="2" s="1"/>
  <c r="I757" i="2"/>
  <c r="I770" i="2" s="1"/>
  <c r="P875" i="2"/>
  <c r="F38" i="4"/>
  <c r="P911" i="2"/>
  <c r="Z900" i="2"/>
  <c r="Z728" i="2"/>
  <c r="AA1071" i="2"/>
  <c r="AB1071" i="2" s="1"/>
  <c r="R814" i="2"/>
  <c r="R816" i="2"/>
  <c r="R783" i="2"/>
  <c r="R815" i="2"/>
  <c r="R722" i="2"/>
  <c r="R726" i="2" s="1"/>
  <c r="Y900" i="2"/>
  <c r="Y728" i="2"/>
  <c r="U739" i="2"/>
  <c r="U745" i="2" s="1"/>
  <c r="U813" i="2" s="1"/>
  <c r="U757" i="2"/>
  <c r="U770" i="2" s="1"/>
  <c r="C21" i="4"/>
  <c r="K44" i="14"/>
  <c r="O986" i="2"/>
  <c r="F60" i="4" s="1"/>
  <c r="O942" i="2"/>
  <c r="F36" i="4"/>
  <c r="N875" i="2"/>
  <c r="N911" i="2"/>
  <c r="J875" i="2"/>
  <c r="F34" i="4"/>
  <c r="J911" i="2"/>
  <c r="W868" i="2"/>
  <c r="W880" i="2"/>
  <c r="X868" i="2"/>
  <c r="X860" i="2"/>
  <c r="X880" i="2"/>
  <c r="X882" i="2" s="1"/>
  <c r="F880" i="2"/>
  <c r="F882" i="2" s="1"/>
  <c r="F868" i="2"/>
  <c r="F870" i="2" s="1"/>
  <c r="F860" i="2"/>
  <c r="K757" i="2"/>
  <c r="K770" i="2" s="1"/>
  <c r="C13" i="4"/>
  <c r="K739" i="2"/>
  <c r="K745" i="2" s="1"/>
  <c r="K813" i="2" s="1"/>
  <c r="X900" i="2"/>
  <c r="X728" i="2"/>
  <c r="L757" i="2"/>
  <c r="L770" i="2" s="1"/>
  <c r="L739" i="2"/>
  <c r="L745" i="2" s="1"/>
  <c r="L813" i="2" s="1"/>
  <c r="M757" i="2"/>
  <c r="M770" i="2" s="1"/>
  <c r="M739" i="2"/>
  <c r="M745" i="2" s="1"/>
  <c r="M813" i="2" s="1"/>
  <c r="S815" i="2"/>
  <c r="S816" i="2"/>
  <c r="S783" i="2"/>
  <c r="S814" i="2"/>
  <c r="S722" i="2"/>
  <c r="S726" i="2" s="1"/>
  <c r="F22" i="4"/>
  <c r="V821" i="2"/>
  <c r="C11" i="4"/>
  <c r="H739" i="2"/>
  <c r="H745" i="2" s="1"/>
  <c r="H813" i="2" s="1"/>
  <c r="H757" i="2"/>
  <c r="H770" i="2" s="1"/>
  <c r="G757" i="2"/>
  <c r="C10" i="4"/>
  <c r="G739" i="2"/>
  <c r="AA710" i="2"/>
  <c r="AB710" i="2" s="1"/>
  <c r="R855" i="2"/>
  <c r="R840" i="2"/>
  <c r="C40" i="4"/>
  <c r="R888" i="2"/>
  <c r="N739" i="2"/>
  <c r="N745" i="2" s="1"/>
  <c r="N813" i="2" s="1"/>
  <c r="C14" i="4"/>
  <c r="N757" i="2"/>
  <c r="N770" i="2" s="1"/>
  <c r="C12" i="4"/>
  <c r="J739" i="2"/>
  <c r="J745" i="2" s="1"/>
  <c r="J813" i="2" s="1"/>
  <c r="J757" i="2"/>
  <c r="J770" i="2" s="1"/>
  <c r="K21" i="14"/>
  <c r="L21" i="14" s="1"/>
  <c r="K14" i="14"/>
  <c r="E15" i="14"/>
  <c r="H875" i="2"/>
  <c r="H911" i="2"/>
  <c r="F33" i="4"/>
  <c r="V860" i="2"/>
  <c r="V880" i="2"/>
  <c r="V882" i="2" s="1"/>
  <c r="V868" i="2"/>
  <c r="Z880" i="2"/>
  <c r="Z868" i="2"/>
  <c r="Y880" i="2"/>
  <c r="Y868" i="2"/>
  <c r="C16" i="4"/>
  <c r="P757" i="2"/>
  <c r="P770" i="2" s="1"/>
  <c r="P739" i="2"/>
  <c r="P745" i="2" s="1"/>
  <c r="P813" i="2" s="1"/>
  <c r="Q757" i="2"/>
  <c r="Q770" i="2" s="1"/>
  <c r="Q739" i="2"/>
  <c r="Q745" i="2" s="1"/>
  <c r="Q813" i="2" s="1"/>
  <c r="C17" i="4"/>
  <c r="F40" i="4"/>
  <c r="R875" i="2"/>
  <c r="R911" i="2"/>
  <c r="S911" i="2"/>
  <c r="F41" i="4"/>
  <c r="S875" i="2"/>
  <c r="V900" i="2"/>
  <c r="V728" i="2"/>
  <c r="Z821" i="2"/>
  <c r="T888" i="2" l="1"/>
  <c r="T961" i="2" s="1"/>
  <c r="T855" i="2"/>
  <c r="L44" i="14"/>
  <c r="L45" i="14"/>
  <c r="T840" i="2"/>
  <c r="T815" i="2"/>
  <c r="T722" i="2"/>
  <c r="T726" i="2" s="1"/>
  <c r="T900" i="2" s="1"/>
  <c r="T814" i="2"/>
  <c r="T813" i="2"/>
  <c r="T783" i="2"/>
  <c r="X848" i="2"/>
  <c r="Y961" i="2"/>
  <c r="V961" i="2"/>
  <c r="Z882" i="2"/>
  <c r="Z961" i="2"/>
  <c r="W882" i="2"/>
  <c r="Y882" i="2"/>
  <c r="Y848" i="2"/>
  <c r="W961" i="2"/>
  <c r="Y902" i="2"/>
  <c r="Y975" i="2" s="1"/>
  <c r="Y870" i="2"/>
  <c r="Y873" i="2" s="1"/>
  <c r="Y877" i="2" s="1"/>
  <c r="Y823" i="2"/>
  <c r="Y836" i="2" s="1"/>
  <c r="S840" i="2"/>
  <c r="X870" i="2"/>
  <c r="X873" i="2" s="1"/>
  <c r="X877" i="2" s="1"/>
  <c r="W823" i="2"/>
  <c r="W836" i="2" s="1"/>
  <c r="S855" i="2"/>
  <c r="S888" i="2"/>
  <c r="X823" i="2"/>
  <c r="X836" i="2" s="1"/>
  <c r="W870" i="2"/>
  <c r="W873" i="2" s="1"/>
  <c r="W877" i="2" s="1"/>
  <c r="O819" i="2"/>
  <c r="F873" i="2"/>
  <c r="F877" i="2" s="1"/>
  <c r="X902" i="2"/>
  <c r="X933" i="2" s="1"/>
  <c r="W842" i="2"/>
  <c r="W848" i="2" s="1"/>
  <c r="Z842" i="2"/>
  <c r="Z848" i="2" s="1"/>
  <c r="V842" i="2"/>
  <c r="V848" i="2" s="1"/>
  <c r="G770" i="2"/>
  <c r="AA757" i="2"/>
  <c r="AB757" i="2" s="1"/>
  <c r="C33" i="4"/>
  <c r="H855" i="2"/>
  <c r="H840" i="2"/>
  <c r="H888" i="2"/>
  <c r="H815" i="2"/>
  <c r="H783" i="2"/>
  <c r="H722" i="2"/>
  <c r="H726" i="2" s="1"/>
  <c r="H816" i="2"/>
  <c r="H814" i="2"/>
  <c r="V864" i="2"/>
  <c r="V870" i="2" s="1"/>
  <c r="V873" i="2" s="1"/>
  <c r="V877" i="2" s="1"/>
  <c r="V823" i="2"/>
  <c r="V836" i="2" s="1"/>
  <c r="D19" i="4"/>
  <c r="E19" i="4" s="1"/>
  <c r="G19" i="4" s="1"/>
  <c r="S900" i="2"/>
  <c r="S728" i="2"/>
  <c r="S821" i="2"/>
  <c r="M815" i="2"/>
  <c r="M722" i="2"/>
  <c r="M726" i="2" s="1"/>
  <c r="M783" i="2"/>
  <c r="M814" i="2"/>
  <c r="M816" i="2"/>
  <c r="M840" i="2"/>
  <c r="M888" i="2"/>
  <c r="M855" i="2"/>
  <c r="L816" i="2"/>
  <c r="L814" i="2"/>
  <c r="L722" i="2"/>
  <c r="L726" i="2" s="1"/>
  <c r="L783" i="2"/>
  <c r="L815" i="2"/>
  <c r="X973" i="2"/>
  <c r="K816" i="2"/>
  <c r="K814" i="2"/>
  <c r="K815" i="2"/>
  <c r="K783" i="2"/>
  <c r="K722" i="2"/>
  <c r="K726" i="2" s="1"/>
  <c r="U855" i="2"/>
  <c r="U840" i="2"/>
  <c r="U888" i="2"/>
  <c r="C43" i="4"/>
  <c r="R900" i="2"/>
  <c r="D18" i="4"/>
  <c r="E18" i="4" s="1"/>
  <c r="G18" i="4" s="1"/>
  <c r="R728" i="2"/>
  <c r="R821" i="2"/>
  <c r="Z973" i="2"/>
  <c r="C22" i="4"/>
  <c r="I888" i="2"/>
  <c r="I855" i="2"/>
  <c r="I840" i="2"/>
  <c r="W973" i="2"/>
  <c r="I942" i="2"/>
  <c r="I986" i="2"/>
  <c r="T986" i="2"/>
  <c r="F65" i="4" s="1"/>
  <c r="T942" i="2"/>
  <c r="Z975" i="2"/>
  <c r="Z933" i="2"/>
  <c r="Z864" i="2"/>
  <c r="Z870" i="2" s="1"/>
  <c r="Z873" i="2" s="1"/>
  <c r="Z877" i="2" s="1"/>
  <c r="Z823" i="2"/>
  <c r="Z836" i="2" s="1"/>
  <c r="V973" i="2"/>
  <c r="S986" i="2"/>
  <c r="F64" i="4" s="1"/>
  <c r="S942" i="2"/>
  <c r="R986" i="2"/>
  <c r="F63" i="4" s="1"/>
  <c r="R942" i="2"/>
  <c r="J855" i="2"/>
  <c r="J888" i="2"/>
  <c r="J840" i="2"/>
  <c r="C34" i="4"/>
  <c r="N855" i="2"/>
  <c r="C36" i="4"/>
  <c r="N888" i="2"/>
  <c r="N840" i="2"/>
  <c r="Q815" i="2"/>
  <c r="Q783" i="2"/>
  <c r="Q816" i="2"/>
  <c r="Q814" i="2"/>
  <c r="Q722" i="2"/>
  <c r="Q726" i="2" s="1"/>
  <c r="C39" i="4"/>
  <c r="Q855" i="2"/>
  <c r="Q888" i="2"/>
  <c r="Q840" i="2"/>
  <c r="P722" i="2"/>
  <c r="P726" i="2" s="1"/>
  <c r="P815" i="2"/>
  <c r="P816" i="2"/>
  <c r="P814" i="2"/>
  <c r="P783" i="2"/>
  <c r="C38" i="4"/>
  <c r="P888" i="2"/>
  <c r="P855" i="2"/>
  <c r="P840" i="2"/>
  <c r="H942" i="2"/>
  <c r="H986" i="2"/>
  <c r="F56" i="4" s="1"/>
  <c r="L14" i="14"/>
  <c r="K15" i="14"/>
  <c r="L15" i="14" s="1"/>
  <c r="J814" i="2"/>
  <c r="J783" i="2"/>
  <c r="J722" i="2"/>
  <c r="J726" i="2" s="1"/>
  <c r="J815" i="2"/>
  <c r="J816" i="2"/>
  <c r="N815" i="2"/>
  <c r="N722" i="2"/>
  <c r="N726" i="2" s="1"/>
  <c r="N783" i="2"/>
  <c r="N816" i="2"/>
  <c r="N814" i="2"/>
  <c r="R961" i="2"/>
  <c r="G745" i="2"/>
  <c r="G813" i="2" s="1"/>
  <c r="AA739" i="2"/>
  <c r="AB739" i="2" s="1"/>
  <c r="L840" i="2"/>
  <c r="L888" i="2"/>
  <c r="L855" i="2"/>
  <c r="K855" i="2"/>
  <c r="C35" i="4"/>
  <c r="K840" i="2"/>
  <c r="K888" i="2"/>
  <c r="J942" i="2"/>
  <c r="J986" i="2"/>
  <c r="F57" i="4" s="1"/>
  <c r="N986" i="2"/>
  <c r="F59" i="4" s="1"/>
  <c r="N942" i="2"/>
  <c r="U815" i="2"/>
  <c r="U783" i="2"/>
  <c r="U816" i="2"/>
  <c r="U814" i="2"/>
  <c r="U722" i="2"/>
  <c r="U726" i="2" s="1"/>
  <c r="Y973" i="2"/>
  <c r="P986" i="2"/>
  <c r="F61" i="4" s="1"/>
  <c r="P942" i="2"/>
  <c r="I816" i="2"/>
  <c r="I815" i="2"/>
  <c r="I783" i="2"/>
  <c r="I814" i="2"/>
  <c r="I722" i="2"/>
  <c r="I726" i="2" s="1"/>
  <c r="O821" i="2"/>
  <c r="D15" i="4"/>
  <c r="E15" i="4" s="1"/>
  <c r="G15" i="4" s="1"/>
  <c r="O900" i="2"/>
  <c r="O728" i="2"/>
  <c r="Q986" i="2"/>
  <c r="F62" i="4" s="1"/>
  <c r="Q942" i="2"/>
  <c r="U942" i="2"/>
  <c r="U986" i="2"/>
  <c r="F66" i="4" s="1"/>
  <c r="F32" i="4"/>
  <c r="F44" i="4" s="1"/>
  <c r="G875" i="2"/>
  <c r="AA875" i="2" s="1"/>
  <c r="AB875" i="2" s="1"/>
  <c r="G911" i="2"/>
  <c r="AA834" i="2"/>
  <c r="AB834" i="2" s="1"/>
  <c r="O961" i="2"/>
  <c r="K986" i="2"/>
  <c r="F58" i="4" s="1"/>
  <c r="K942" i="2"/>
  <c r="V933" i="2"/>
  <c r="V975" i="2"/>
  <c r="W975" i="2"/>
  <c r="W933" i="2"/>
  <c r="S819" i="2"/>
  <c r="R819" i="2"/>
  <c r="D20" i="4" l="1"/>
  <c r="E20" i="4" s="1"/>
  <c r="G20" i="4" s="1"/>
  <c r="T728" i="2"/>
  <c r="T819" i="2"/>
  <c r="T821" i="2"/>
  <c r="T864" i="2" s="1"/>
  <c r="AA813" i="2"/>
  <c r="AB813" i="2" s="1"/>
  <c r="Y933" i="2"/>
  <c r="S961" i="2"/>
  <c r="O842" i="2"/>
  <c r="O848" i="2" s="1"/>
  <c r="O902" i="2"/>
  <c r="O933" i="2" s="1"/>
  <c r="X975" i="2"/>
  <c r="M819" i="2"/>
  <c r="M902" i="2" s="1"/>
  <c r="P819" i="2"/>
  <c r="Q819" i="2"/>
  <c r="Q842" i="2" s="1"/>
  <c r="Q848" i="2" s="1"/>
  <c r="R902" i="2"/>
  <c r="R842" i="2"/>
  <c r="R848" i="2" s="1"/>
  <c r="O973" i="2"/>
  <c r="D37" i="4"/>
  <c r="E37" i="4" s="1"/>
  <c r="G37" i="4" s="1"/>
  <c r="O864" i="2"/>
  <c r="O823" i="2"/>
  <c r="I821" i="2"/>
  <c r="U819" i="2"/>
  <c r="U821" i="2"/>
  <c r="AA745" i="2"/>
  <c r="AB745" i="2" s="1"/>
  <c r="G722" i="2"/>
  <c r="G726" i="2" s="1"/>
  <c r="G815" i="2"/>
  <c r="AA815" i="2" s="1"/>
  <c r="AB815" i="2" s="1"/>
  <c r="G816" i="2"/>
  <c r="AA816" i="2" s="1"/>
  <c r="AB816" i="2" s="1"/>
  <c r="G783" i="2"/>
  <c r="G814" i="2"/>
  <c r="D14" i="4"/>
  <c r="E14" i="4" s="1"/>
  <c r="G14" i="4" s="1"/>
  <c r="N900" i="2"/>
  <c r="N728" i="2"/>
  <c r="D12" i="4"/>
  <c r="E12" i="4" s="1"/>
  <c r="G12" i="4" s="1"/>
  <c r="J900" i="2"/>
  <c r="J728" i="2"/>
  <c r="J819" i="2"/>
  <c r="P961" i="2"/>
  <c r="P821" i="2"/>
  <c r="D16" i="4"/>
  <c r="E16" i="4" s="1"/>
  <c r="G16" i="4" s="1"/>
  <c r="P900" i="2"/>
  <c r="P728" i="2"/>
  <c r="Q900" i="2"/>
  <c r="D17" i="4"/>
  <c r="E17" i="4" s="1"/>
  <c r="G17" i="4" s="1"/>
  <c r="Q728" i="2"/>
  <c r="J961" i="2"/>
  <c r="R973" i="2"/>
  <c r="D13" i="4"/>
  <c r="E13" i="4" s="1"/>
  <c r="G13" i="4" s="1"/>
  <c r="K900" i="2"/>
  <c r="K728" i="2"/>
  <c r="L900" i="2"/>
  <c r="L728" i="2"/>
  <c r="M900" i="2"/>
  <c r="M728" i="2"/>
  <c r="D41" i="4"/>
  <c r="E41" i="4" s="1"/>
  <c r="G41" i="4" s="1"/>
  <c r="S864" i="2"/>
  <c r="S823" i="2"/>
  <c r="S973" i="2"/>
  <c r="D11" i="4"/>
  <c r="E11" i="4" s="1"/>
  <c r="G11" i="4" s="1"/>
  <c r="H900" i="2"/>
  <c r="H728" i="2"/>
  <c r="H961" i="2"/>
  <c r="T973" i="2"/>
  <c r="I900" i="2"/>
  <c r="I728" i="2"/>
  <c r="S902" i="2"/>
  <c r="S842" i="2"/>
  <c r="S848" i="2" s="1"/>
  <c r="G986" i="2"/>
  <c r="G942" i="2"/>
  <c r="AA942" i="2" s="1"/>
  <c r="AB942" i="2" s="1"/>
  <c r="AA911" i="2"/>
  <c r="AB911" i="2" s="1"/>
  <c r="I819" i="2"/>
  <c r="D21" i="4"/>
  <c r="E21" i="4" s="1"/>
  <c r="G21" i="4" s="1"/>
  <c r="U900" i="2"/>
  <c r="U728" i="2"/>
  <c r="K961" i="2"/>
  <c r="L961" i="2"/>
  <c r="N819" i="2"/>
  <c r="N821" i="2"/>
  <c r="J821" i="2"/>
  <c r="Q961" i="2"/>
  <c r="Q821" i="2"/>
  <c r="N961" i="2"/>
  <c r="I961" i="2"/>
  <c r="R864" i="2"/>
  <c r="D40" i="4"/>
  <c r="E40" i="4" s="1"/>
  <c r="G40" i="4" s="1"/>
  <c r="R823" i="2"/>
  <c r="U961" i="2"/>
  <c r="K821" i="2"/>
  <c r="K819" i="2"/>
  <c r="L821" i="2"/>
  <c r="L819" i="2"/>
  <c r="M961" i="2"/>
  <c r="M821" i="2"/>
  <c r="H821" i="2"/>
  <c r="G840" i="2"/>
  <c r="G888" i="2"/>
  <c r="C32" i="4"/>
  <c r="G855" i="2"/>
  <c r="AA855" i="2" s="1"/>
  <c r="AB855" i="2" s="1"/>
  <c r="AA770" i="2"/>
  <c r="H819" i="2"/>
  <c r="T842" i="2" l="1"/>
  <c r="T848" i="2" s="1"/>
  <c r="D42" i="4"/>
  <c r="E42" i="4" s="1"/>
  <c r="G42" i="4" s="1"/>
  <c r="T902" i="2"/>
  <c r="T823" i="2"/>
  <c r="T828" i="2" s="1"/>
  <c r="T858" i="2" s="1"/>
  <c r="P842" i="2"/>
  <c r="P848" i="2" s="1"/>
  <c r="Q902" i="2"/>
  <c r="Q933" i="2" s="1"/>
  <c r="M842" i="2"/>
  <c r="M848" i="2" s="1"/>
  <c r="O975" i="2"/>
  <c r="P902" i="2"/>
  <c r="P933" i="2" s="1"/>
  <c r="H902" i="2"/>
  <c r="H842" i="2"/>
  <c r="H848" i="2" s="1"/>
  <c r="R836" i="2"/>
  <c r="R828" i="2"/>
  <c r="R858" i="2" s="1"/>
  <c r="U973" i="2"/>
  <c r="F55" i="4"/>
  <c r="F67" i="4" s="1"/>
  <c r="AA986" i="2"/>
  <c r="AB986" i="2" s="1"/>
  <c r="S975" i="2"/>
  <c r="S933" i="2"/>
  <c r="H973" i="2"/>
  <c r="S836" i="2"/>
  <c r="S828" i="2"/>
  <c r="S858" i="2" s="1"/>
  <c r="L973" i="2"/>
  <c r="K973" i="2"/>
  <c r="Q973" i="2"/>
  <c r="P973" i="2"/>
  <c r="J902" i="2"/>
  <c r="J842" i="2"/>
  <c r="J848" i="2" s="1"/>
  <c r="J973" i="2"/>
  <c r="N973" i="2"/>
  <c r="AA814" i="2"/>
  <c r="AB814" i="2" s="1"/>
  <c r="AA722" i="2"/>
  <c r="AB722" i="2" s="1"/>
  <c r="D43" i="4"/>
  <c r="E43" i="4" s="1"/>
  <c r="G43" i="4" s="1"/>
  <c r="U864" i="2"/>
  <c r="U823" i="2"/>
  <c r="U902" i="2"/>
  <c r="U842" i="2"/>
  <c r="U848" i="2" s="1"/>
  <c r="I864" i="2"/>
  <c r="I823" i="2"/>
  <c r="O836" i="2"/>
  <c r="O828" i="2"/>
  <c r="O858" i="2" s="1"/>
  <c r="R933" i="2"/>
  <c r="R975" i="2"/>
  <c r="G819" i="2"/>
  <c r="AB770" i="2"/>
  <c r="G961" i="2"/>
  <c r="AA888" i="2"/>
  <c r="AB888" i="2" s="1"/>
  <c r="D33" i="4"/>
  <c r="E33" i="4" s="1"/>
  <c r="G33" i="4" s="1"/>
  <c r="H864" i="2"/>
  <c r="H823" i="2"/>
  <c r="L902" i="2"/>
  <c r="L842" i="2"/>
  <c r="L848" i="2" s="1"/>
  <c r="L864" i="2"/>
  <c r="L823" i="2"/>
  <c r="K902" i="2"/>
  <c r="K842" i="2"/>
  <c r="K848" i="2" s="1"/>
  <c r="D35" i="4"/>
  <c r="E35" i="4" s="1"/>
  <c r="G35" i="4" s="1"/>
  <c r="K864" i="2"/>
  <c r="K823" i="2"/>
  <c r="M864" i="2"/>
  <c r="M823" i="2"/>
  <c r="M933" i="2"/>
  <c r="M975" i="2"/>
  <c r="D39" i="4"/>
  <c r="E39" i="4" s="1"/>
  <c r="Q864" i="2"/>
  <c r="Q823" i="2"/>
  <c r="J864" i="2"/>
  <c r="D34" i="4"/>
  <c r="E34" i="4" s="1"/>
  <c r="G34" i="4" s="1"/>
  <c r="J823" i="2"/>
  <c r="D36" i="4"/>
  <c r="E36" i="4" s="1"/>
  <c r="G36" i="4" s="1"/>
  <c r="N864" i="2"/>
  <c r="N823" i="2"/>
  <c r="N902" i="2"/>
  <c r="N842" i="2"/>
  <c r="N848" i="2" s="1"/>
  <c r="I902" i="2"/>
  <c r="I842" i="2"/>
  <c r="I848" i="2" s="1"/>
  <c r="I973" i="2"/>
  <c r="M973" i="2"/>
  <c r="D38" i="4"/>
  <c r="E38" i="4" s="1"/>
  <c r="G38" i="4" s="1"/>
  <c r="P864" i="2"/>
  <c r="P823" i="2"/>
  <c r="AA783" i="2"/>
  <c r="AB783" i="2" s="1"/>
  <c r="G821" i="2"/>
  <c r="C44" i="4"/>
  <c r="AA840" i="2"/>
  <c r="AB840" i="2" s="1"/>
  <c r="G39" i="4" l="1"/>
  <c r="H39" i="4"/>
  <c r="T975" i="2"/>
  <c r="T933" i="2"/>
  <c r="T836" i="2"/>
  <c r="Q975" i="2"/>
  <c r="P975" i="2"/>
  <c r="G864" i="2"/>
  <c r="AA864" i="2" s="1"/>
  <c r="AB864" i="2" s="1"/>
  <c r="D32" i="4"/>
  <c r="AA821" i="2"/>
  <c r="G823" i="2"/>
  <c r="P836" i="2"/>
  <c r="P828" i="2"/>
  <c r="P858" i="2" s="1"/>
  <c r="N828" i="2"/>
  <c r="N858" i="2" s="1"/>
  <c r="N836" i="2"/>
  <c r="Q836" i="2"/>
  <c r="Q828" i="2"/>
  <c r="Q858" i="2" s="1"/>
  <c r="M836" i="2"/>
  <c r="M828" i="2"/>
  <c r="M858" i="2" s="1"/>
  <c r="L933" i="2"/>
  <c r="L975" i="2"/>
  <c r="G902" i="2"/>
  <c r="AA819" i="2"/>
  <c r="AB819" i="2" s="1"/>
  <c r="G842" i="2"/>
  <c r="I836" i="2"/>
  <c r="I828" i="2"/>
  <c r="I858" i="2" s="1"/>
  <c r="U933" i="2"/>
  <c r="U975" i="2"/>
  <c r="G900" i="2"/>
  <c r="D10" i="4"/>
  <c r="AA726" i="2"/>
  <c r="AB726" i="2" s="1"/>
  <c r="G728" i="2"/>
  <c r="AA728" i="2" s="1"/>
  <c r="AB728" i="2" s="1"/>
  <c r="J933" i="2"/>
  <c r="J975" i="2"/>
  <c r="T880" i="2"/>
  <c r="T882" i="2" s="1"/>
  <c r="T868" i="2"/>
  <c r="T870" i="2" s="1"/>
  <c r="T860" i="2"/>
  <c r="R880" i="2"/>
  <c r="R882" i="2" s="1"/>
  <c r="R868" i="2"/>
  <c r="R870" i="2" s="1"/>
  <c r="R860" i="2"/>
  <c r="AA964" i="2"/>
  <c r="AB964" i="2" s="1"/>
  <c r="I975" i="2"/>
  <c r="I933" i="2"/>
  <c r="N975" i="2"/>
  <c r="N933" i="2"/>
  <c r="J828" i="2"/>
  <c r="J858" i="2" s="1"/>
  <c r="J836" i="2"/>
  <c r="K836" i="2"/>
  <c r="K828" i="2"/>
  <c r="K858" i="2" s="1"/>
  <c r="K975" i="2"/>
  <c r="K933" i="2"/>
  <c r="L828" i="2"/>
  <c r="L858" i="2" s="1"/>
  <c r="L836" i="2"/>
  <c r="H828" i="2"/>
  <c r="H858" i="2" s="1"/>
  <c r="H836" i="2"/>
  <c r="AA961" i="2"/>
  <c r="AB961" i="2" s="1"/>
  <c r="O868" i="2"/>
  <c r="O870" i="2" s="1"/>
  <c r="O880" i="2"/>
  <c r="O882" i="2" s="1"/>
  <c r="O860" i="2"/>
  <c r="U828" i="2"/>
  <c r="U858" i="2" s="1"/>
  <c r="U836" i="2"/>
  <c r="S880" i="2"/>
  <c r="S882" i="2" s="1"/>
  <c r="S868" i="2"/>
  <c r="S870" i="2" s="1"/>
  <c r="S860" i="2"/>
  <c r="H975" i="2"/>
  <c r="H933" i="2"/>
  <c r="O873" i="2" l="1"/>
  <c r="O877" i="2" s="1"/>
  <c r="T873" i="2"/>
  <c r="T877" i="2" s="1"/>
  <c r="U880" i="2"/>
  <c r="U882" i="2" s="1"/>
  <c r="U868" i="2"/>
  <c r="U870" i="2" s="1"/>
  <c r="U860" i="2"/>
  <c r="K880" i="2"/>
  <c r="K882" i="2" s="1"/>
  <c r="K868" i="2"/>
  <c r="K870" i="2" s="1"/>
  <c r="K860" i="2"/>
  <c r="I868" i="2"/>
  <c r="I870" i="2" s="1"/>
  <c r="I880" i="2"/>
  <c r="I882" i="2" s="1"/>
  <c r="I860" i="2"/>
  <c r="N868" i="2"/>
  <c r="N870" i="2" s="1"/>
  <c r="N880" i="2"/>
  <c r="N882" i="2" s="1"/>
  <c r="N860" i="2"/>
  <c r="P868" i="2"/>
  <c r="P870" i="2" s="1"/>
  <c r="P880" i="2"/>
  <c r="P882" i="2" s="1"/>
  <c r="P860" i="2"/>
  <c r="AB821" i="2"/>
  <c r="AA823" i="2"/>
  <c r="AB823" i="2" s="1"/>
  <c r="S873" i="2"/>
  <c r="S877" i="2" s="1"/>
  <c r="H880" i="2"/>
  <c r="H882" i="2" s="1"/>
  <c r="H868" i="2"/>
  <c r="H870" i="2" s="1"/>
  <c r="H860" i="2"/>
  <c r="L868" i="2"/>
  <c r="L870" i="2" s="1"/>
  <c r="L880" i="2"/>
  <c r="L882" i="2" s="1"/>
  <c r="L860" i="2"/>
  <c r="J880" i="2"/>
  <c r="J882" i="2" s="1"/>
  <c r="J868" i="2"/>
  <c r="J870" i="2" s="1"/>
  <c r="J860" i="2"/>
  <c r="D22" i="4"/>
  <c r="E10" i="4"/>
  <c r="G973" i="2"/>
  <c r="AA900" i="2"/>
  <c r="AB900" i="2" s="1"/>
  <c r="AA842" i="2"/>
  <c r="AB842" i="2" s="1"/>
  <c r="G848" i="2"/>
  <c r="AA848" i="2" s="1"/>
  <c r="AB848" i="2" s="1"/>
  <c r="G933" i="2"/>
  <c r="AA933" i="2" s="1"/>
  <c r="AB933" i="2" s="1"/>
  <c r="G975" i="2"/>
  <c r="AA975" i="2" s="1"/>
  <c r="AB975" i="2" s="1"/>
  <c r="AA902" i="2"/>
  <c r="AB902" i="2" s="1"/>
  <c r="M868" i="2"/>
  <c r="M870" i="2" s="1"/>
  <c r="M880" i="2"/>
  <c r="M882" i="2" s="1"/>
  <c r="M860" i="2"/>
  <c r="Q868" i="2"/>
  <c r="Q870" i="2" s="1"/>
  <c r="Q880" i="2"/>
  <c r="Q882" i="2" s="1"/>
  <c r="Q860" i="2"/>
  <c r="G828" i="2"/>
  <c r="G858" i="2" s="1"/>
  <c r="G836" i="2"/>
  <c r="D44" i="4"/>
  <c r="E32" i="4"/>
  <c r="R873" i="2"/>
  <c r="R877" i="2" s="1"/>
  <c r="N873" i="2" l="1"/>
  <c r="N877" i="2" s="1"/>
  <c r="I873" i="2"/>
  <c r="I877" i="2" s="1"/>
  <c r="L873" i="2"/>
  <c r="L877" i="2" s="1"/>
  <c r="Q873" i="2"/>
  <c r="Q877" i="2" s="1"/>
  <c r="M873" i="2"/>
  <c r="M877" i="2" s="1"/>
  <c r="P873" i="2"/>
  <c r="P877" i="2" s="1"/>
  <c r="J873" i="2"/>
  <c r="J877" i="2" s="1"/>
  <c r="K873" i="2"/>
  <c r="K877" i="2" s="1"/>
  <c r="G880" i="2"/>
  <c r="G868" i="2"/>
  <c r="AA858" i="2"/>
  <c r="AB858" i="2" s="1"/>
  <c r="G860" i="2"/>
  <c r="G10" i="4"/>
  <c r="E22" i="4"/>
  <c r="G22" i="4" s="1"/>
  <c r="H873" i="2"/>
  <c r="H877" i="2" s="1"/>
  <c r="U873" i="2"/>
  <c r="U877" i="2" s="1"/>
  <c r="G32" i="4"/>
  <c r="E44" i="4"/>
  <c r="G44" i="4" s="1"/>
  <c r="AA973" i="2"/>
  <c r="AB973" i="2" s="1"/>
  <c r="AA860" i="2" l="1"/>
  <c r="AB860" i="2" s="1"/>
  <c r="AA868" i="2"/>
  <c r="AB868" i="2" s="1"/>
  <c r="G870" i="2"/>
  <c r="AA870" i="2" s="1"/>
  <c r="AB870" i="2" s="1"/>
  <c r="G882" i="2"/>
  <c r="AA880" i="2"/>
  <c r="AB880" i="2" s="1"/>
  <c r="G873" i="2" l="1"/>
  <c r="G877" i="2" l="1"/>
  <c r="AA873" i="2"/>
  <c r="AB873" i="2" s="1"/>
  <c r="F968" i="2" l="1"/>
  <c r="Y966" i="2"/>
  <c r="Y979" i="2" s="1"/>
  <c r="Y981" i="2" s="1"/>
  <c r="X966" i="2"/>
  <c r="V966" i="2"/>
  <c r="V979" i="2" s="1"/>
  <c r="V981" i="2" s="1"/>
  <c r="Z966" i="2"/>
  <c r="Z968" i="2" s="1"/>
  <c r="W966" i="2"/>
  <c r="W979" i="2" s="1"/>
  <c r="W981" i="2" s="1"/>
  <c r="F979" i="2"/>
  <c r="F981" i="2" s="1"/>
  <c r="H893" i="2"/>
  <c r="F893" i="2"/>
  <c r="T893" i="2" s="1"/>
  <c r="T966" i="2" s="1"/>
  <c r="J893" i="2"/>
  <c r="J966" i="2" s="1"/>
  <c r="F904" i="2" l="1"/>
  <c r="F931" i="2" s="1"/>
  <c r="O893" i="2"/>
  <c r="O904" i="2" s="1"/>
  <c r="V893" i="2"/>
  <c r="V904" i="2" s="1"/>
  <c r="K893" i="2"/>
  <c r="K966" i="2" s="1"/>
  <c r="K968" i="2" s="1"/>
  <c r="G893" i="2"/>
  <c r="G966" i="2" s="1"/>
  <c r="D35" i="15" s="1"/>
  <c r="U893" i="2"/>
  <c r="U966" i="2" s="1"/>
  <c r="U968" i="2" s="1"/>
  <c r="R893" i="2"/>
  <c r="R904" i="2" s="1"/>
  <c r="R906" i="2" s="1"/>
  <c r="P893" i="2"/>
  <c r="P904" i="2" s="1"/>
  <c r="P906" i="2" s="1"/>
  <c r="Z893" i="2"/>
  <c r="Z895" i="2" s="1"/>
  <c r="Z920" i="2" s="1"/>
  <c r="F895" i="2"/>
  <c r="F920" i="2" s="1"/>
  <c r="N893" i="2"/>
  <c r="N924" i="2" s="1"/>
  <c r="Y968" i="2"/>
  <c r="J968" i="2"/>
  <c r="J979" i="2"/>
  <c r="V968" i="2"/>
  <c r="V984" i="2" s="1"/>
  <c r="V988" i="2" s="1"/>
  <c r="W968" i="2"/>
  <c r="W984" i="2" s="1"/>
  <c r="W988" i="2" s="1"/>
  <c r="T895" i="2"/>
  <c r="T904" i="2"/>
  <c r="T924" i="2"/>
  <c r="H924" i="2"/>
  <c r="H904" i="2"/>
  <c r="H895" i="2"/>
  <c r="H966" i="2"/>
  <c r="T968" i="2"/>
  <c r="T979" i="2"/>
  <c r="F906" i="2"/>
  <c r="J924" i="2"/>
  <c r="J895" i="2"/>
  <c r="J904" i="2"/>
  <c r="Z979" i="2"/>
  <c r="Z981" i="2" s="1"/>
  <c r="Z984" i="2" s="1"/>
  <c r="Z988" i="2" s="1"/>
  <c r="Y893" i="2"/>
  <c r="F924" i="2"/>
  <c r="W893" i="2"/>
  <c r="L893" i="2"/>
  <c r="M893" i="2"/>
  <c r="S893" i="2"/>
  <c r="X893" i="2"/>
  <c r="I893" i="2"/>
  <c r="Q893" i="2"/>
  <c r="Y984" i="2"/>
  <c r="Y988" i="2" s="1"/>
  <c r="F984" i="2"/>
  <c r="X979" i="2"/>
  <c r="X981" i="2" s="1"/>
  <c r="X968" i="2"/>
  <c r="D38" i="15" l="1"/>
  <c r="J35" i="15"/>
  <c r="J38" i="15" s="1"/>
  <c r="H35" i="15"/>
  <c r="H38" i="15" s="1"/>
  <c r="F35" i="15"/>
  <c r="F38" i="15" s="1"/>
  <c r="G35" i="15"/>
  <c r="G38" i="15" s="1"/>
  <c r="I35" i="15"/>
  <c r="E35" i="15"/>
  <c r="E38" i="15" s="1"/>
  <c r="F909" i="2"/>
  <c r="F913" i="2" s="1"/>
  <c r="K895" i="2"/>
  <c r="O966" i="2"/>
  <c r="O979" i="2" s="1"/>
  <c r="V895" i="2"/>
  <c r="O895" i="2"/>
  <c r="O924" i="2"/>
  <c r="G968" i="2"/>
  <c r="D35" i="14"/>
  <c r="G895" i="2"/>
  <c r="G920" i="2" s="1"/>
  <c r="K979" i="2"/>
  <c r="U924" i="2"/>
  <c r="G904" i="2"/>
  <c r="U895" i="2"/>
  <c r="U904" i="2"/>
  <c r="U906" i="2" s="1"/>
  <c r="G979" i="2"/>
  <c r="P966" i="2"/>
  <c r="U979" i="2"/>
  <c r="U981" i="2" s="1"/>
  <c r="D66" i="4" s="1"/>
  <c r="P924" i="2"/>
  <c r="R924" i="2"/>
  <c r="P931" i="2"/>
  <c r="P895" i="2"/>
  <c r="P920" i="2" s="1"/>
  <c r="N904" i="2"/>
  <c r="N931" i="2" s="1"/>
  <c r="G924" i="2"/>
  <c r="K904" i="2"/>
  <c r="K931" i="2" s="1"/>
  <c r="R931" i="2"/>
  <c r="K924" i="2"/>
  <c r="N895" i="2"/>
  <c r="N966" i="2"/>
  <c r="R895" i="2"/>
  <c r="R909" i="2" s="1"/>
  <c r="R913" i="2" s="1"/>
  <c r="Z904" i="2"/>
  <c r="Z906" i="2" s="1"/>
  <c r="Z909" i="2" s="1"/>
  <c r="Z913" i="2" s="1"/>
  <c r="R966" i="2"/>
  <c r="R979" i="2" s="1"/>
  <c r="R981" i="2" s="1"/>
  <c r="D63" i="4" s="1"/>
  <c r="C58" i="4"/>
  <c r="X984" i="2"/>
  <c r="X988" i="2" s="1"/>
  <c r="J981" i="2"/>
  <c r="J984" i="2" s="1"/>
  <c r="J988" i="2" s="1"/>
  <c r="C57" i="4"/>
  <c r="I904" i="2"/>
  <c r="I924" i="2"/>
  <c r="I966" i="2"/>
  <c r="I895" i="2"/>
  <c r="Y895" i="2"/>
  <c r="Y904" i="2"/>
  <c r="K920" i="2"/>
  <c r="H920" i="2"/>
  <c r="S924" i="2"/>
  <c r="S895" i="2"/>
  <c r="S966" i="2"/>
  <c r="S904" i="2"/>
  <c r="O920" i="2"/>
  <c r="L904" i="2"/>
  <c r="L966" i="2"/>
  <c r="L895" i="2"/>
  <c r="L924" i="2"/>
  <c r="V906" i="2"/>
  <c r="V931" i="2"/>
  <c r="O906" i="2"/>
  <c r="O909" i="2" s="1"/>
  <c r="O913" i="2" s="1"/>
  <c r="O931" i="2"/>
  <c r="T906" i="2"/>
  <c r="T909" i="2" s="1"/>
  <c r="T913" i="2" s="1"/>
  <c r="T931" i="2"/>
  <c r="X904" i="2"/>
  <c r="X895" i="2"/>
  <c r="H931" i="2"/>
  <c r="H906" i="2"/>
  <c r="H909" i="2" s="1"/>
  <c r="H913" i="2" s="1"/>
  <c r="F988" i="2"/>
  <c r="W904" i="2"/>
  <c r="W895" i="2"/>
  <c r="J906" i="2"/>
  <c r="J909" i="2" s="1"/>
  <c r="J913" i="2" s="1"/>
  <c r="J931" i="2"/>
  <c r="AA893" i="2"/>
  <c r="AB893" i="2" s="1"/>
  <c r="T981" i="2"/>
  <c r="D65" i="4" s="1"/>
  <c r="T920" i="2"/>
  <c r="Q924" i="2"/>
  <c r="Q904" i="2"/>
  <c r="Q966" i="2"/>
  <c r="Q895" i="2"/>
  <c r="V924" i="2"/>
  <c r="Z924" i="2"/>
  <c r="Y924" i="2"/>
  <c r="W924" i="2"/>
  <c r="X924" i="2"/>
  <c r="H979" i="2"/>
  <c r="H968" i="2"/>
  <c r="M895" i="2"/>
  <c r="M924" i="2"/>
  <c r="M966" i="2"/>
  <c r="M904" i="2"/>
  <c r="U920" i="2"/>
  <c r="V920" i="2"/>
  <c r="J920" i="2"/>
  <c r="G906" i="2"/>
  <c r="G931" i="2"/>
  <c r="C66" i="4"/>
  <c r="C65" i="4"/>
  <c r="G981" i="2" l="1"/>
  <c r="D25" i="15"/>
  <c r="C47" i="14"/>
  <c r="C47" i="15"/>
  <c r="K35" i="15"/>
  <c r="L35" i="15" s="1"/>
  <c r="I38" i="15"/>
  <c r="K38" i="15" s="1"/>
  <c r="L38" i="15" s="1"/>
  <c r="G909" i="2"/>
  <c r="G923" i="2" s="1"/>
  <c r="G926" i="2" s="1"/>
  <c r="O968" i="2"/>
  <c r="V909" i="2"/>
  <c r="V913" i="2" s="1"/>
  <c r="K981" i="2"/>
  <c r="D58" i="4" s="1"/>
  <c r="E58" i="4" s="1"/>
  <c r="G58" i="4" s="1"/>
  <c r="C55" i="4"/>
  <c r="U909" i="2"/>
  <c r="U913" i="2" s="1"/>
  <c r="R968" i="2"/>
  <c r="C63" i="4" s="1"/>
  <c r="E63" i="4" s="1"/>
  <c r="G63" i="4" s="1"/>
  <c r="E66" i="4"/>
  <c r="G66" i="4" s="1"/>
  <c r="U984" i="2"/>
  <c r="U988" i="2" s="1"/>
  <c r="G984" i="2"/>
  <c r="G988" i="2" s="1"/>
  <c r="K906" i="2"/>
  <c r="K909" i="2" s="1"/>
  <c r="K913" i="2" s="1"/>
  <c r="D25" i="14"/>
  <c r="N979" i="2"/>
  <c r="D38" i="14"/>
  <c r="F35" i="14"/>
  <c r="F38" i="14" s="1"/>
  <c r="J35" i="14"/>
  <c r="J38" i="14" s="1"/>
  <c r="I35" i="14"/>
  <c r="I38" i="14" s="1"/>
  <c r="G35" i="14"/>
  <c r="G38" i="14" s="1"/>
  <c r="H35" i="14"/>
  <c r="H38" i="14" s="1"/>
  <c r="E35" i="14"/>
  <c r="P968" i="2"/>
  <c r="Z931" i="2"/>
  <c r="U931" i="2"/>
  <c r="R920" i="2"/>
  <c r="P979" i="2"/>
  <c r="P909" i="2"/>
  <c r="P913" i="2" s="1"/>
  <c r="N968" i="2"/>
  <c r="N920" i="2"/>
  <c r="N906" i="2"/>
  <c r="N909" i="2" s="1"/>
  <c r="D57" i="4"/>
  <c r="E57" i="4" s="1"/>
  <c r="G57" i="4" s="1"/>
  <c r="AA895" i="2"/>
  <c r="AB895" i="2" s="1"/>
  <c r="AA924" i="2"/>
  <c r="AB924" i="2" s="1"/>
  <c r="Q931" i="2"/>
  <c r="Q906" i="2"/>
  <c r="Q909" i="2" s="1"/>
  <c r="Q913" i="2" s="1"/>
  <c r="H923" i="2"/>
  <c r="O923" i="2"/>
  <c r="O926" i="2" s="1"/>
  <c r="F923" i="2"/>
  <c r="Z923" i="2"/>
  <c r="R923" i="2"/>
  <c r="J923" i="2"/>
  <c r="J926" i="2" s="1"/>
  <c r="T923" i="2"/>
  <c r="Y920" i="2"/>
  <c r="M920" i="2"/>
  <c r="L920" i="2"/>
  <c r="I920" i="2"/>
  <c r="Q920" i="2"/>
  <c r="O981" i="2"/>
  <c r="D60" i="4" s="1"/>
  <c r="L968" i="2"/>
  <c r="L979" i="2"/>
  <c r="L981" i="2" s="1"/>
  <c r="S906" i="2"/>
  <c r="S909" i="2" s="1"/>
  <c r="S931" i="2"/>
  <c r="I979" i="2"/>
  <c r="I981" i="2" s="1"/>
  <c r="I968" i="2"/>
  <c r="C60" i="4"/>
  <c r="D55" i="4"/>
  <c r="E55" i="4" s="1"/>
  <c r="G913" i="2"/>
  <c r="Y906" i="2"/>
  <c r="Y909" i="2" s="1"/>
  <c r="Y931" i="2"/>
  <c r="E65" i="4"/>
  <c r="G65" i="4" s="1"/>
  <c r="X920" i="2"/>
  <c r="L906" i="2"/>
  <c r="L909" i="2" s="1"/>
  <c r="L913" i="2" s="1"/>
  <c r="L931" i="2"/>
  <c r="S979" i="2"/>
  <c r="S981" i="2" s="1"/>
  <c r="D64" i="4" s="1"/>
  <c r="S968" i="2"/>
  <c r="M906" i="2"/>
  <c r="M909" i="2" s="1"/>
  <c r="M913" i="2" s="1"/>
  <c r="M931" i="2"/>
  <c r="W920" i="2"/>
  <c r="M968" i="2"/>
  <c r="M979" i="2"/>
  <c r="M981" i="2" s="1"/>
  <c r="Q979" i="2"/>
  <c r="Q981" i="2" s="1"/>
  <c r="D62" i="4" s="1"/>
  <c r="Q968" i="2"/>
  <c r="W906" i="2"/>
  <c r="W909" i="2" s="1"/>
  <c r="W931" i="2"/>
  <c r="AA904" i="2"/>
  <c r="AB904" i="2" s="1"/>
  <c r="AA966" i="2"/>
  <c r="AB966" i="2" s="1"/>
  <c r="C56" i="4"/>
  <c r="T984" i="2"/>
  <c r="T988" i="2" s="1"/>
  <c r="H981" i="2"/>
  <c r="D56" i="4" s="1"/>
  <c r="X931" i="2"/>
  <c r="X906" i="2"/>
  <c r="X909" i="2" s="1"/>
  <c r="X913" i="2" s="1"/>
  <c r="S920" i="2"/>
  <c r="I906" i="2"/>
  <c r="I931" i="2"/>
  <c r="D17" i="14" l="1"/>
  <c r="D17" i="15"/>
  <c r="V923" i="2"/>
  <c r="K984" i="2"/>
  <c r="K988" i="2" s="1"/>
  <c r="K923" i="2"/>
  <c r="U923" i="2"/>
  <c r="U926" i="2" s="1"/>
  <c r="U948" i="2" s="1"/>
  <c r="R984" i="2"/>
  <c r="R988" i="2" s="1"/>
  <c r="N981" i="2"/>
  <c r="D59" i="4" s="1"/>
  <c r="R926" i="2"/>
  <c r="R948" i="2" s="1"/>
  <c r="P981" i="2"/>
  <c r="D61" i="4" s="1"/>
  <c r="P923" i="2"/>
  <c r="P926" i="2" s="1"/>
  <c r="P948" i="2" s="1"/>
  <c r="C59" i="4"/>
  <c r="E38" i="14"/>
  <c r="K38" i="14" s="1"/>
  <c r="L38" i="14" s="1"/>
  <c r="K35" i="14"/>
  <c r="L35" i="14" s="1"/>
  <c r="C61" i="4"/>
  <c r="N913" i="2"/>
  <c r="N923" i="2"/>
  <c r="N926" i="2" s="1"/>
  <c r="N948" i="2" s="1"/>
  <c r="H984" i="2"/>
  <c r="H988" i="2" s="1"/>
  <c r="M984" i="2"/>
  <c r="M988" i="2" s="1"/>
  <c r="I984" i="2"/>
  <c r="I988" i="2" s="1"/>
  <c r="AA931" i="2"/>
  <c r="AB931" i="2" s="1"/>
  <c r="O984" i="2"/>
  <c r="O988" i="2" s="1"/>
  <c r="AA906" i="2"/>
  <c r="AB906" i="2" s="1"/>
  <c r="E60" i="4"/>
  <c r="G60" i="4" s="1"/>
  <c r="AA920" i="2"/>
  <c r="AB920" i="2" s="1"/>
  <c r="W913" i="2"/>
  <c r="W923" i="2"/>
  <c r="W926" i="2" s="1"/>
  <c r="S913" i="2"/>
  <c r="S923" i="2"/>
  <c r="S926" i="2" s="1"/>
  <c r="Y913" i="2"/>
  <c r="Y923" i="2"/>
  <c r="G948" i="2"/>
  <c r="O948" i="2"/>
  <c r="L923" i="2"/>
  <c r="K935" i="2"/>
  <c r="K937" i="2" s="1"/>
  <c r="K954" i="2"/>
  <c r="K950" i="2"/>
  <c r="K926" i="2"/>
  <c r="G55" i="4"/>
  <c r="H954" i="2"/>
  <c r="H935" i="2"/>
  <c r="H937" i="2" s="1"/>
  <c r="H950" i="2"/>
  <c r="T954" i="2"/>
  <c r="T935" i="2"/>
  <c r="T937" i="2" s="1"/>
  <c r="T950" i="2"/>
  <c r="Z950" i="2"/>
  <c r="Z952" i="2" s="1"/>
  <c r="Z935" i="2"/>
  <c r="Z937" i="2" s="1"/>
  <c r="Z926" i="2"/>
  <c r="L984" i="2"/>
  <c r="L988" i="2" s="1"/>
  <c r="I909" i="2"/>
  <c r="U935" i="2"/>
  <c r="U937" i="2" s="1"/>
  <c r="U940" i="2" s="1"/>
  <c r="U944" i="2" s="1"/>
  <c r="F954" i="2"/>
  <c r="W954" i="2" s="1"/>
  <c r="F950" i="2"/>
  <c r="F935" i="2"/>
  <c r="F926" i="2"/>
  <c r="Q923" i="2"/>
  <c r="D19" i="14"/>
  <c r="D23" i="14" s="1"/>
  <c r="D40" i="14" s="1"/>
  <c r="D47" i="14" s="1"/>
  <c r="E17" i="14"/>
  <c r="S984" i="2"/>
  <c r="S988" i="2" s="1"/>
  <c r="C64" i="4"/>
  <c r="E64" i="4" s="1"/>
  <c r="G64" i="4" s="1"/>
  <c r="J935" i="2"/>
  <c r="J937" i="2" s="1"/>
  <c r="J940" i="2" s="1"/>
  <c r="J944" i="2" s="1"/>
  <c r="J954" i="2"/>
  <c r="J950" i="2"/>
  <c r="G954" i="2"/>
  <c r="G950" i="2"/>
  <c r="G952" i="2" s="1"/>
  <c r="G935" i="2"/>
  <c r="AA979" i="2"/>
  <c r="AB979" i="2" s="1"/>
  <c r="E56" i="4"/>
  <c r="G56" i="4" s="1"/>
  <c r="H926" i="2"/>
  <c r="R950" i="2"/>
  <c r="R954" i="2"/>
  <c r="R935" i="2"/>
  <c r="R937" i="2" s="1"/>
  <c r="O954" i="2"/>
  <c r="O935" i="2"/>
  <c r="O937" i="2" s="1"/>
  <c r="O940" i="2" s="1"/>
  <c r="O944" i="2" s="1"/>
  <c r="O950" i="2"/>
  <c r="X923" i="2"/>
  <c r="X926" i="2" s="1"/>
  <c r="J948" i="2"/>
  <c r="V950" i="2"/>
  <c r="V952" i="2" s="1"/>
  <c r="V935" i="2"/>
  <c r="V937" i="2" s="1"/>
  <c r="T926" i="2"/>
  <c r="Q984" i="2"/>
  <c r="Q988" i="2" s="1"/>
  <c r="C62" i="4"/>
  <c r="V926" i="2"/>
  <c r="M923" i="2"/>
  <c r="AA968" i="2"/>
  <c r="AB968" i="2" s="1"/>
  <c r="E17" i="15" l="1"/>
  <c r="D19" i="15"/>
  <c r="D23" i="15" s="1"/>
  <c r="D40" i="15" s="1"/>
  <c r="D47" i="15" s="1"/>
  <c r="U950" i="2"/>
  <c r="U954" i="2"/>
  <c r="E61" i="4"/>
  <c r="G61" i="4" s="1"/>
  <c r="R940" i="2"/>
  <c r="R944" i="2" s="1"/>
  <c r="P935" i="2"/>
  <c r="P937" i="2" s="1"/>
  <c r="P940" i="2" s="1"/>
  <c r="P944" i="2" s="1"/>
  <c r="E59" i="4"/>
  <c r="G59" i="4" s="1"/>
  <c r="D67" i="4"/>
  <c r="N984" i="2"/>
  <c r="N988" i="2" s="1"/>
  <c r="AA981" i="2"/>
  <c r="AB981" i="2" s="1"/>
  <c r="P954" i="2"/>
  <c r="N950" i="2"/>
  <c r="N952" i="2" s="1"/>
  <c r="N954" i="2"/>
  <c r="P950" i="2"/>
  <c r="P952" i="2" s="1"/>
  <c r="P984" i="2"/>
  <c r="P988" i="2" s="1"/>
  <c r="N935" i="2"/>
  <c r="N937" i="2" s="1"/>
  <c r="N940" i="2" s="1"/>
  <c r="N944" i="2" s="1"/>
  <c r="J952" i="2"/>
  <c r="Z940" i="2"/>
  <c r="Z944" i="2" s="1"/>
  <c r="R952" i="2"/>
  <c r="V940" i="2"/>
  <c r="V944" i="2" s="1"/>
  <c r="S948" i="2"/>
  <c r="T948" i="2"/>
  <c r="T952" i="2" s="1"/>
  <c r="T940" i="2"/>
  <c r="T944" i="2" s="1"/>
  <c r="F948" i="2"/>
  <c r="F952" i="2" s="1"/>
  <c r="I913" i="2"/>
  <c r="AA909" i="2"/>
  <c r="AB909" i="2" s="1"/>
  <c r="I923" i="2"/>
  <c r="K948" i="2"/>
  <c r="K952" i="2" s="1"/>
  <c r="K940" i="2"/>
  <c r="K944" i="2" s="1"/>
  <c r="M935" i="2"/>
  <c r="M937" i="2" s="1"/>
  <c r="M954" i="2"/>
  <c r="M950" i="2"/>
  <c r="F937" i="2"/>
  <c r="Y935" i="2"/>
  <c r="Y937" i="2" s="1"/>
  <c r="Y950" i="2"/>
  <c r="Y952" i="2" s="1"/>
  <c r="L954" i="2"/>
  <c r="L935" i="2"/>
  <c r="L937" i="2" s="1"/>
  <c r="L950" i="2"/>
  <c r="L926" i="2"/>
  <c r="F17" i="14"/>
  <c r="E19" i="14"/>
  <c r="U952" i="2"/>
  <c r="Y926" i="2"/>
  <c r="S935" i="2"/>
  <c r="S937" i="2" s="1"/>
  <c r="S940" i="2" s="1"/>
  <c r="S944" i="2" s="1"/>
  <c r="S950" i="2"/>
  <c r="S954" i="2"/>
  <c r="E62" i="4"/>
  <c r="C67" i="4"/>
  <c r="X950" i="2"/>
  <c r="X952" i="2" s="1"/>
  <c r="X935" i="2"/>
  <c r="X937" i="2" s="1"/>
  <c r="X940" i="2" s="1"/>
  <c r="X944" i="2" s="1"/>
  <c r="W935" i="2"/>
  <c r="W937" i="2" s="1"/>
  <c r="W940" i="2" s="1"/>
  <c r="W944" i="2" s="1"/>
  <c r="W950" i="2"/>
  <c r="W952" i="2" s="1"/>
  <c r="H940" i="2"/>
  <c r="H944" i="2" s="1"/>
  <c r="H948" i="2"/>
  <c r="H952" i="2" s="1"/>
  <c r="O952" i="2"/>
  <c r="G937" i="2"/>
  <c r="M926" i="2"/>
  <c r="Q954" i="2"/>
  <c r="Q935" i="2"/>
  <c r="Q937" i="2" s="1"/>
  <c r="Q950" i="2"/>
  <c r="Q926" i="2"/>
  <c r="F17" i="15" l="1"/>
  <c r="E19" i="15"/>
  <c r="E23" i="15" s="1"/>
  <c r="G62" i="4"/>
  <c r="H62" i="4"/>
  <c r="AA984" i="2"/>
  <c r="AB984" i="2" s="1"/>
  <c r="S952" i="2"/>
  <c r="E67" i="4"/>
  <c r="G67" i="4" s="1"/>
  <c r="I935" i="2"/>
  <c r="I954" i="2"/>
  <c r="I950" i="2"/>
  <c r="AA923" i="2"/>
  <c r="AB923" i="2" s="1"/>
  <c r="I926" i="2"/>
  <c r="Y940" i="2"/>
  <c r="Y944" i="2" s="1"/>
  <c r="E23" i="14"/>
  <c r="F940" i="2"/>
  <c r="L948" i="2"/>
  <c r="L952" i="2" s="1"/>
  <c r="L940" i="2"/>
  <c r="L944" i="2" s="1"/>
  <c r="M940" i="2"/>
  <c r="M944" i="2" s="1"/>
  <c r="M948" i="2"/>
  <c r="M952" i="2" s="1"/>
  <c r="G940" i="2"/>
  <c r="G17" i="14"/>
  <c r="F19" i="14"/>
  <c r="F23" i="14" s="1"/>
  <c r="Q940" i="2"/>
  <c r="Q944" i="2" s="1"/>
  <c r="Q948" i="2"/>
  <c r="Q952" i="2" s="1"/>
  <c r="G17" i="15" l="1"/>
  <c r="F19" i="15"/>
  <c r="F23" i="15" s="1"/>
  <c r="F944" i="2"/>
  <c r="G19" i="14"/>
  <c r="H17" i="14"/>
  <c r="G944" i="2"/>
  <c r="I937" i="2"/>
  <c r="AA937" i="2" s="1"/>
  <c r="AB937" i="2" s="1"/>
  <c r="AA935" i="2"/>
  <c r="AB935" i="2" s="1"/>
  <c r="I948" i="2"/>
  <c r="I952" i="2" s="1"/>
  <c r="AA926" i="2"/>
  <c r="AB926" i="2" s="1"/>
  <c r="G19" i="15" l="1"/>
  <c r="G23" i="15" s="1"/>
  <c r="H17" i="15"/>
  <c r="I940" i="2"/>
  <c r="I944" i="2" s="1"/>
  <c r="H19" i="14"/>
  <c r="H23" i="14" s="1"/>
  <c r="I17" i="14"/>
  <c r="G23" i="14"/>
  <c r="I17" i="15" l="1"/>
  <c r="H19" i="15"/>
  <c r="H23" i="15" s="1"/>
  <c r="AA940" i="2"/>
  <c r="AB940" i="2" s="1"/>
  <c r="I19" i="14"/>
  <c r="J17" i="14"/>
  <c r="J19" i="14" s="1"/>
  <c r="J23" i="14" s="1"/>
  <c r="J25" i="14" s="1"/>
  <c r="I19" i="15" l="1"/>
  <c r="J17" i="15"/>
  <c r="J19" i="15" s="1"/>
  <c r="J23" i="15" s="1"/>
  <c r="J25" i="15" s="1"/>
  <c r="J40" i="15" s="1"/>
  <c r="J47" i="15" s="1"/>
  <c r="J51" i="15" s="1"/>
  <c r="I23" i="14"/>
  <c r="I25" i="14" s="1"/>
  <c r="K19" i="14"/>
  <c r="L19" i="14" s="1"/>
  <c r="I23" i="15" l="1"/>
  <c r="K19" i="15"/>
  <c r="L19" i="15" s="1"/>
  <c r="K23" i="14"/>
  <c r="I40" i="14" s="1"/>
  <c r="I47" i="14" s="1"/>
  <c r="I51" i="14" s="1"/>
  <c r="I25" i="15" l="1"/>
  <c r="K23" i="15"/>
  <c r="L23" i="14"/>
  <c r="E25" i="14"/>
  <c r="F25" i="14"/>
  <c r="F40" i="14" s="1"/>
  <c r="F47" i="14" s="1"/>
  <c r="F51" i="14" s="1"/>
  <c r="K57" i="14" s="1"/>
  <c r="H25" i="14"/>
  <c r="H40" i="14" s="1"/>
  <c r="H47" i="14" s="1"/>
  <c r="G25" i="14"/>
  <c r="G40" i="14" s="1"/>
  <c r="G47" i="14" s="1"/>
  <c r="J40" i="14"/>
  <c r="J47" i="14" s="1"/>
  <c r="J51" i="14" s="1"/>
  <c r="K51" i="14" s="1"/>
  <c r="I40" i="15" l="1"/>
  <c r="K25" i="15"/>
  <c r="L25" i="15" s="1"/>
  <c r="L23" i="15"/>
  <c r="E25" i="15"/>
  <c r="E40" i="15" s="1"/>
  <c r="E47" i="15" s="1"/>
  <c r="F25" i="15"/>
  <c r="F40" i="15" s="1"/>
  <c r="F47" i="15" s="1"/>
  <c r="F51" i="15" s="1"/>
  <c r="K57" i="15" s="1"/>
  <c r="G25" i="15"/>
  <c r="G40" i="15" s="1"/>
  <c r="G47" i="15" s="1"/>
  <c r="H25" i="15"/>
  <c r="H40" i="15" s="1"/>
  <c r="H47" i="15" s="1"/>
  <c r="G51" i="14"/>
  <c r="G60" i="14"/>
  <c r="G64" i="14" s="1"/>
  <c r="H51" i="14"/>
  <c r="H60" i="14"/>
  <c r="H64" i="14" s="1"/>
  <c r="K53" i="14"/>
  <c r="K63" i="14" s="1"/>
  <c r="K64" i="14" s="1"/>
  <c r="K25" i="14"/>
  <c r="L25" i="14" s="1"/>
  <c r="E40" i="14"/>
  <c r="G51" i="15" l="1"/>
  <c r="G60" i="15"/>
  <c r="G64" i="15" s="1"/>
  <c r="E60" i="15"/>
  <c r="E64" i="15" s="1"/>
  <c r="E51" i="15"/>
  <c r="H51" i="15"/>
  <c r="H60" i="15"/>
  <c r="H64" i="15" s="1"/>
  <c r="I47" i="15"/>
  <c r="K40" i="15"/>
  <c r="L40" i="15" s="1"/>
  <c r="K40" i="14"/>
  <c r="L40" i="14" s="1"/>
  <c r="E47" i="14"/>
  <c r="E60" i="14" s="1"/>
  <c r="E64" i="14" s="1"/>
  <c r="K54" i="15" l="1"/>
  <c r="K56" i="15" s="1"/>
  <c r="I51" i="15"/>
  <c r="K47" i="15"/>
  <c r="L47" i="15" s="1"/>
  <c r="K47" i="14"/>
  <c r="L47" i="14" s="1"/>
  <c r="E51" i="14"/>
  <c r="K54" i="14" s="1"/>
  <c r="K51" i="15" l="1"/>
  <c r="K53" i="15"/>
  <c r="K63" i="15" s="1"/>
  <c r="K64" i="15" s="1"/>
  <c r="K66" i="15" s="1"/>
  <c r="L66" i="15" s="1"/>
  <c r="K66" i="14"/>
  <c r="L66" i="14" s="1"/>
  <c r="K56" i="14"/>
</calcChain>
</file>

<file path=xl/sharedStrings.xml><?xml version="1.0" encoding="utf-8"?>
<sst xmlns="http://schemas.openxmlformats.org/spreadsheetml/2006/main" count="3287" uniqueCount="1386">
  <si>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</si>
  <si>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</si>
  <si>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</si>
  <si>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</si>
  <si>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</si>
  <si>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</si>
  <si>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</si>
  <si>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</si>
  <si>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</si>
  <si>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</si>
  <si>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</si>
  <si>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</si>
  <si>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</si>
  <si>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</si>
  <si>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</si>
  <si>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</si>
  <si>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</si>
  <si>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</si>
  <si>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</si>
  <si>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</si>
  <si>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</si>
  <si>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</si>
  <si>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</si>
  <si>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</si>
  <si>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</si>
  <si>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</si>
  <si>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</si>
  <si>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</si>
  <si>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</si>
  <si>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</si>
  <si>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</si>
  <si>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</si>
  <si>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</si>
  <si>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</si>
  <si>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</si>
  <si>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</si>
  <si>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</si>
  <si>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</si>
  <si>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</si>
  <si>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</si>
  <si>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</si>
  <si>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</si>
  <si>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</si>
  <si>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</si>
  <si>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</si>
  <si>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</si>
  <si>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</si>
  <si>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</si>
  <si>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</si>
  <si>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</si>
  <si>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</si>
  <si>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</si>
  <si>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</si>
  <si>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</si>
  <si>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</si>
  <si>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</si>
  <si>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</si>
  <si>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</si>
  <si>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</si>
  <si>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</si>
  <si>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</si>
  <si>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</si>
  <si>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</si>
  <si>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</si>
  <si>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</si>
  <si>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</si>
  <si>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</si>
  <si>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</si>
  <si>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</si>
  <si>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</si>
  <si>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</si>
  <si>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</si>
  <si>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</si>
  <si>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</si>
  <si>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</si>
  <si>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</si>
  <si>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</si>
  <si>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</si>
  <si>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</si>
  <si>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</si>
  <si>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</si>
  <si>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</si>
  <si>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</si>
  <si>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</si>
  <si>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</si>
  <si>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</si>
  <si>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</si>
  <si>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</si>
  <si>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</si>
  <si>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</si>
  <si>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</si>
  <si>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</si>
  <si>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</si>
  <si>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</si>
  <si>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</si>
  <si>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</si>
  <si>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</si>
  <si>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</si>
  <si>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</si>
  <si>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</si>
  <si>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</si>
  <si>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</si>
  <si>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</si>
  <si>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</si>
  <si>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</si>
  <si>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</si>
  <si>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</si>
  <si>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</si>
  <si>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</si>
  <si>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</si>
  <si>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</si>
  <si>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</si>
  <si>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</si>
  <si>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</si>
  <si>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</si>
  <si>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</si>
  <si>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</si>
  <si>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</si>
  <si>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</si>
  <si>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</si>
  <si>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</si>
  <si>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</si>
  <si>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</si>
  <si>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</si>
  <si>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</si>
  <si>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</si>
  <si>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</si>
  <si>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</si>
  <si>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</si>
  <si>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</si>
  <si>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</si>
  <si>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</si>
  <si>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</si>
  <si>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</si>
  <si>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</si>
  <si>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</si>
  <si>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</si>
  <si>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</si>
  <si>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</si>
  <si>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</si>
  <si>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</si>
  <si>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</si>
  <si>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</si>
  <si>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</si>
  <si>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</si>
  <si>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</si>
  <si>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</si>
  <si>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</si>
  <si>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</si>
  <si>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</si>
  <si>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</si>
  <si>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</si>
  <si>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</si>
  <si>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</si>
  <si>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</si>
  <si>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</si>
  <si>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</si>
  <si>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</si>
  <si>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</si>
  <si>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</si>
  <si>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</si>
  <si>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</si>
  <si>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</si>
  <si>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</si>
  <si>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</si>
  <si>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</si>
  <si>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</si>
  <si>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</si>
  <si>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</si>
  <si>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</si>
  <si>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</si>
  <si>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</si>
  <si>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</si>
  <si>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</si>
  <si>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</si>
  <si>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</si>
  <si>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</si>
  <si>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</si>
  <si>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</si>
  <si>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</si>
  <si>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</si>
  <si>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</si>
  <si>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</si>
  <si>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</si>
  <si>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</si>
  <si>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</si>
  <si>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</si>
  <si>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</si>
  <si>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</si>
  <si>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</si>
  <si>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</si>
  <si>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</si>
  <si>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</si>
  <si>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</si>
  <si>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</si>
  <si>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</si>
  <si>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</si>
  <si>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</si>
  <si>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</si>
  <si>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</si>
  <si>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</si>
  <si>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</si>
  <si>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</si>
  <si>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</si>
  <si>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</si>
  <si>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</si>
  <si>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</si>
  <si>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</si>
  <si>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</si>
  <si>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</si>
  <si>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</si>
  <si>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</si>
  <si>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</si>
  <si>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</si>
  <si>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</si>
  <si>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</si>
  <si>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</si>
  <si>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</si>
  <si>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</si>
  <si>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</si>
  <si>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</si>
  <si>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</si>
  <si>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</si>
  <si>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</si>
  <si>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</si>
  <si>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</si>
  <si>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</si>
  <si>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</si>
  <si>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</si>
  <si>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</si>
  <si>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</si>
  <si>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</si>
  <si>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</si>
  <si>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</si>
  <si>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</si>
  <si>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</si>
  <si>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</si>
  <si>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</si>
  <si>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</si>
  <si>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</si>
  <si>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</si>
  <si>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</si>
  <si>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</si>
  <si>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</si>
  <si>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</si>
  <si>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</si>
  <si>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</si>
  <si>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</si>
  <si>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</si>
  <si>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</si>
  <si>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</si>
  <si>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</si>
  <si>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</si>
  <si>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</si>
  <si>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</si>
  <si>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</si>
  <si>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</si>
  <si>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</si>
  <si>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</si>
  <si>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</si>
  <si>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</si>
  <si>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</si>
  <si>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</si>
  <si>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</si>
  <si>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</si>
  <si>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</si>
  <si>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</si>
  <si>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</si>
  <si>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</si>
  <si>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</si>
  <si>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</si>
  <si>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</si>
  <si>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</si>
  <si>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</si>
  <si>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</si>
  <si>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</si>
  <si>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</si>
  <si>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</si>
  <si>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</si>
  <si>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</si>
  <si>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</si>
  <si>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</si>
  <si>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</si>
  <si>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</si>
  <si>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</si>
  <si>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</si>
  <si>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</si>
  <si>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</si>
  <si>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</si>
  <si>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</si>
  <si>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</si>
  <si>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</si>
  <si>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</si>
  <si>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</si>
  <si>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</si>
  <si>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</si>
  <si>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</si>
  <si>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</si>
  <si>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</si>
  <si>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</si>
  <si>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</si>
  <si>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</si>
  <si>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</si>
  <si>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</si>
  <si>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</si>
  <si>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</si>
  <si>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</si>
  <si>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</si>
  <si>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</si>
  <si>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</si>
  <si>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</si>
  <si>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</si>
  <si>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</si>
  <si>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</si>
  <si>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</si>
  <si>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</si>
  <si>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</si>
  <si>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</si>
  <si>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</si>
  <si>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</si>
  <si>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</si>
  <si>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</si>
  <si>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</si>
  <si>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</si>
  <si>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</si>
  <si>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</si>
  <si>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</si>
  <si>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</si>
  <si>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</si>
  <si>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</si>
  <si>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</si>
  <si>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</si>
  <si>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</si>
  <si>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</si>
  <si>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</si>
  <si>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</si>
  <si>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</si>
  <si>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</si>
  <si>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</si>
  <si>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</si>
  <si>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</si>
  <si>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</si>
  <si>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</si>
  <si>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</si>
  <si>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</si>
  <si>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</si>
  <si>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</si>
  <si>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</si>
  <si>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</si>
  <si>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</si>
  <si>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</si>
  <si>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</si>
  <si>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</si>
  <si>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</si>
  <si>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</si>
  <si>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</si>
  <si>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</si>
  <si>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</si>
  <si>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</si>
  <si>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</si>
  <si>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</si>
  <si>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</si>
  <si>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</si>
  <si>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</si>
  <si>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</si>
  <si>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</si>
  <si>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</si>
  <si>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</si>
  <si>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</si>
  <si>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</si>
  <si>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</si>
  <si>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</si>
  <si>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</si>
  <si>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</si>
  <si>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</si>
  <si>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</si>
  <si>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</si>
  <si>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</si>
  <si>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</si>
  <si>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</si>
  <si>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</si>
  <si>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</si>
  <si>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</si>
  <si>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</si>
  <si>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</si>
  <si>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</si>
  <si>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</si>
  <si>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</si>
  <si>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</si>
  <si>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</si>
  <si>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</si>
  <si>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</si>
  <si>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</si>
  <si>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</si>
  <si>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</si>
  <si>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</si>
  <si>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</si>
  <si>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</si>
  <si>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</si>
  <si>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</si>
  <si>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</si>
  <si>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</si>
  <si>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</si>
  <si>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</si>
  <si>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</si>
  <si>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</si>
  <si>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</si>
  <si>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</si>
  <si>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</si>
  <si>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</si>
  <si>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</si>
  <si>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</si>
  <si>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</si>
  <si>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</si>
  <si>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</si>
  <si>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</si>
  <si>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</si>
  <si>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</si>
  <si>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</si>
  <si>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</si>
  <si>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</si>
  <si>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</si>
  <si>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</si>
  <si>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</si>
  <si>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</si>
  <si>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</si>
  <si>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</si>
  <si>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</si>
  <si>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</si>
  <si>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</si>
  <si>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</si>
  <si>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</si>
  <si>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</si>
  <si>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</si>
  <si>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</si>
  <si>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</si>
  <si>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</si>
  <si>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</si>
  <si>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</si>
  <si>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</si>
  <si>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</si>
  <si>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</si>
  <si>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</si>
  <si>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</si>
  <si>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</si>
  <si>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</si>
  <si>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</si>
  <si>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</si>
  <si>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</si>
  <si>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</si>
  <si>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</si>
  <si>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</si>
  <si>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</si>
  <si>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</si>
  <si>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</si>
  <si>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</si>
  <si>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</si>
  <si>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</si>
  <si>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</si>
  <si>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</si>
  <si>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</si>
  <si>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</si>
  <si>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</si>
  <si>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</si>
  <si>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</si>
  <si>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</si>
  <si>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</si>
  <si>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</si>
  <si>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</si>
  <si>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</si>
  <si>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</si>
  <si>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</si>
  <si>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</si>
  <si>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</si>
  <si>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</si>
  <si>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</si>
  <si>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</si>
  <si>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</si>
  <si>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</si>
  <si>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</si>
  <si>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</si>
  <si>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</si>
  <si>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</si>
  <si>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</si>
  <si>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</si>
  <si>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</si>
  <si>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</si>
  <si>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</si>
  <si>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</si>
  <si>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</si>
  <si>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</si>
  <si>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</si>
  <si>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</si>
  <si>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</si>
  <si>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</si>
  <si>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</si>
  <si>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</si>
  <si>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</si>
  <si>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</si>
  <si>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</si>
  <si>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</si>
  <si>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</si>
  <si>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</si>
  <si>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</si>
  <si>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</si>
  <si>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</si>
  <si>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</si>
  <si>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</si>
  <si>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</si>
  <si>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</si>
  <si>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</si>
  <si>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</si>
  <si>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</si>
  <si>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</si>
  <si>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</si>
  <si>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</si>
  <si>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</si>
  <si>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</si>
  <si>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</si>
  <si>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</si>
  <si>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</si>
  <si>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</si>
  <si>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</si>
  <si>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</si>
  <si>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</si>
  <si>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</si>
  <si>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</si>
  <si>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</si>
  <si>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</si>
  <si>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</si>
  <si>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</si>
  <si>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</si>
  <si>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</si>
  <si>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</si>
  <si>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</si>
  <si>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</si>
  <si>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</si>
  <si>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</si>
  <si>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</si>
  <si>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</si>
  <si>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</si>
  <si>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</si>
  <si>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</si>
  <si>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</si>
  <si>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</si>
  <si>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</si>
  <si>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</si>
  <si>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</si>
  <si>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</si>
  <si>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</si>
  <si>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</si>
  <si>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</si>
  <si>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</si>
  <si>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</si>
  <si>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</si>
  <si>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</si>
  <si>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</si>
  <si>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</si>
  <si>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</si>
  <si>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</si>
  <si>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</si>
  <si>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</si>
  <si>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</si>
  <si>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</si>
  <si>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</si>
  <si>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</si>
  <si>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</si>
  <si>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</si>
  <si>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</si>
  <si>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</si>
  <si>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</si>
  <si>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</si>
  <si>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</si>
  <si>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</si>
  <si>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</si>
  <si>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</si>
  <si>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</si>
  <si>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</si>
  <si>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</si>
  <si>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</si>
  <si>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</si>
  <si>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</si>
  <si>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</si>
  <si>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</si>
  <si>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</si>
  <si>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</si>
  <si>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</si>
  <si>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</si>
  <si>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</si>
  <si>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</si>
  <si>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</si>
  <si>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</si>
  <si>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</si>
  <si>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</si>
  <si>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</si>
  <si>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</si>
  <si>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</si>
  <si>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</si>
  <si>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</si>
  <si>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</si>
  <si>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</si>
  <si>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</si>
  <si>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</si>
  <si>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</si>
  <si>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</si>
  <si>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</si>
  <si>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</si>
  <si>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</si>
  <si>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</si>
  <si>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</si>
  <si>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</si>
  <si>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</si>
  <si>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</si>
  <si>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</si>
  <si>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</si>
  <si>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</si>
  <si>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</si>
  <si>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</si>
  <si>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</si>
  <si>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</si>
  <si>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</si>
  <si>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</si>
  <si>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</si>
  <si>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</si>
  <si>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</si>
  <si>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</si>
  <si>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</si>
  <si>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</si>
  <si>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</si>
  <si>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</si>
  <si>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</si>
  <si>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</si>
  <si>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</si>
  <si>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</si>
  <si>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</si>
  <si>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</si>
  <si>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</si>
  <si>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</si>
  <si>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</si>
  <si>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</si>
  <si>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</si>
  <si>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</si>
  <si>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</si>
  <si>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</si>
  <si>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</si>
  <si>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</si>
  <si>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</si>
  <si>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</si>
  <si>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</si>
  <si>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</si>
  <si>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</si>
  <si>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</si>
  <si>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</si>
  <si>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</si>
  <si>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</si>
  <si>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</si>
  <si>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</si>
  <si>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</si>
  <si>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</si>
  <si>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</si>
  <si>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</si>
  <si>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</si>
  <si>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</si>
  <si>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</si>
  <si>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</si>
  <si>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</si>
  <si>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</si>
  <si>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</si>
  <si>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</si>
  <si>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</si>
  <si>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</si>
  <si>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</si>
  <si>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</si>
  <si>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</si>
  <si>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</si>
  <si>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</si>
  <si>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</si>
  <si>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</si>
  <si>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</si>
  <si>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</si>
  <si>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</si>
  <si>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</si>
  <si>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</si>
  <si>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</si>
  <si>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</si>
  <si>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</si>
  <si>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</si>
  <si>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</si>
  <si>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</si>
  <si>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</si>
  <si>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</si>
  <si>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</si>
  <si>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</si>
  <si>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</si>
  <si>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</si>
  <si>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</si>
  <si>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</si>
  <si>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</si>
  <si>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</si>
  <si>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</si>
  <si>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</si>
  <si>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</si>
  <si>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</si>
  <si>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</si>
  <si>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</si>
  <si>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</si>
  <si>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</si>
  <si>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</si>
  <si>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</si>
  <si>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</si>
  <si>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</si>
  <si>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</si>
  <si>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</si>
  <si>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</si>
  <si>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</si>
  <si>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</si>
  <si>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</si>
  <si>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</si>
  <si>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</si>
  <si>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</si>
  <si>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</si>
  <si>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</si>
  <si>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</si>
  <si>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</si>
  <si>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</si>
  <si>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</si>
  <si>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</si>
  <si>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</si>
  <si>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</si>
  <si>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</si>
  <si>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</si>
  <si>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</si>
  <si>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</si>
  <si>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</si>
  <si>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</si>
  <si>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</si>
  <si>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</si>
  <si>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</si>
  <si>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</si>
  <si>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</si>
  <si>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</si>
  <si>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</si>
  <si>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</si>
  <si>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</si>
  <si>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</si>
  <si>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</si>
  <si>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</si>
  <si>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</si>
  <si>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</si>
  <si>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</si>
  <si>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</si>
  <si>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</si>
  <si>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</si>
  <si>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</si>
  <si>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</si>
  <si>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</si>
  <si>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</si>
  <si>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</si>
  <si>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</si>
  <si>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</si>
  <si>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</si>
  <si>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</si>
  <si>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</si>
  <si>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</si>
  <si>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</si>
  <si>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</si>
  <si>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</si>
  <si>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</si>
  <si>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</si>
  <si>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</si>
  <si>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</si>
  <si>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</si>
  <si>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</si>
  <si>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</si>
  <si>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</si>
  <si>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</si>
  <si>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</si>
  <si>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</si>
  <si>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</si>
  <si>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</si>
  <si>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</si>
  <si>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</si>
  <si>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</si>
  <si>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</si>
  <si>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</si>
  <si>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</si>
  <si>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</si>
  <si>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</si>
  <si>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</si>
  <si>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</si>
  <si>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</si>
  <si>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</si>
  <si>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</si>
  <si>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</si>
  <si>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</si>
  <si>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</si>
  <si>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</si>
  <si>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</si>
  <si>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</si>
  <si>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</si>
  <si>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</si>
  <si>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</si>
  <si>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</si>
  <si>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</si>
  <si>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</si>
  <si>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</si>
  <si>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</si>
  <si>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</si>
  <si>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</si>
  <si>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</si>
  <si>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</si>
  <si>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</si>
  <si>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</si>
  <si>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</si>
  <si>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</si>
  <si>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</si>
  <si>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</si>
  <si>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</si>
  <si>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</si>
  <si>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</si>
  <si>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</si>
  <si>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</si>
  <si>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</si>
  <si>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</si>
  <si>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</si>
  <si>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</si>
  <si>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</si>
  <si>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</si>
  <si>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</si>
  <si>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</si>
  <si>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</si>
  <si>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</si>
  <si>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</si>
  <si>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</si>
  <si>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</si>
  <si>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</si>
  <si>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</si>
  <si>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</si>
  <si>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</si>
  <si>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</si>
  <si>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</si>
  <si>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</si>
  <si>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</si>
  <si>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</si>
  <si>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</si>
  <si>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</si>
  <si>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</si>
  <si>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</si>
  <si>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</si>
  <si>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</si>
  <si>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</si>
  <si>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</si>
  <si>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</si>
  <si>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</si>
  <si>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</si>
  <si>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</si>
  <si>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</si>
  <si>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</si>
  <si>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</si>
  <si>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</si>
  <si>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</si>
  <si>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</si>
  <si>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</si>
  <si>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</si>
  <si>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</si>
  <si>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</si>
  <si>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</si>
  <si>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</si>
  <si>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</si>
  <si>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</si>
  <si>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</si>
  <si>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</si>
  <si>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</si>
  <si>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</si>
  <si>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</si>
  <si>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</si>
  <si>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</si>
  <si>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</si>
  <si>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</si>
  <si>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</si>
  <si>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</si>
  <si>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</si>
  <si>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</si>
  <si>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</si>
  <si>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</si>
  <si>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</si>
  <si>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</si>
  <si>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</si>
  <si>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</si>
  <si>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</si>
  <si>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</si>
  <si>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</si>
  <si>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</si>
  <si>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</si>
  <si>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</si>
  <si>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</si>
  <si>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</si>
  <si>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</si>
  <si>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</si>
  <si>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</si>
  <si>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</si>
  <si>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</si>
  <si>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</si>
  <si>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</si>
  <si>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</si>
  <si>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</si>
  <si>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</si>
  <si>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</si>
  <si>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</si>
  <si>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</si>
  <si>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</si>
  <si>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</si>
  <si>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</si>
  <si>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</si>
  <si>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</si>
  <si>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</si>
  <si>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</si>
  <si>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</si>
  <si>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</si>
  <si>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</si>
  <si>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</si>
  <si>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</si>
  <si>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</si>
  <si>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</si>
  <si>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</si>
  <si>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</si>
  <si>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</si>
  <si>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</si>
  <si>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</si>
  <si>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</si>
  <si>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</si>
  <si>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</si>
  <si>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</si>
  <si>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</si>
  <si>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</si>
  <si>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</si>
  <si>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</si>
  <si>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</si>
  <si>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</si>
  <si>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</si>
  <si>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</si>
  <si>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</si>
  <si>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</si>
  <si>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</si>
  <si>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</si>
  <si>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</si>
  <si>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</si>
  <si>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</si>
  <si>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</si>
  <si>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</si>
  <si>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</si>
  <si>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</si>
  <si>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</si>
  <si>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</si>
  <si>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</si>
  <si>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</si>
  <si>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</si>
  <si>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</si>
  <si>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</si>
  <si>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</si>
  <si>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</si>
  <si>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</si>
  <si>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</si>
  <si>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</si>
  <si>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</si>
  <si>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</si>
  <si>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</si>
  <si>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</si>
  <si>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</si>
  <si>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</si>
  <si>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</si>
  <si>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</si>
  <si>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</si>
  <si>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</si>
  <si>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</si>
  <si>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</si>
  <si>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</si>
  <si>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</si>
  <si>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</si>
  <si>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</si>
  <si>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</si>
  <si>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</si>
  <si>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</si>
  <si>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</si>
  <si>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</si>
  <si>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</si>
  <si>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</si>
  <si>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</si>
  <si>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</si>
  <si>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</si>
  <si>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</si>
  <si>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</si>
  <si>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</si>
  <si>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</si>
  <si>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</si>
  <si>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</si>
  <si>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</si>
  <si>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</si>
  <si>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</si>
  <si>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</si>
  <si>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</si>
  <si>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</si>
  <si>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</si>
  <si>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</si>
  <si>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</si>
  <si>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</si>
  <si>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</si>
  <si>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</si>
  <si>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</si>
  <si>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</si>
  <si>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</si>
  <si>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</si>
  <si>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</si>
  <si>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</si>
  <si>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</si>
  <si>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</si>
  <si>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</si>
  <si>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</si>
  <si>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</si>
  <si>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</si>
  <si>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</si>
  <si>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</si>
  <si>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</si>
  <si>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</si>
  <si>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</si>
  <si>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</si>
  <si>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</si>
  <si>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</si>
  <si>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</si>
  <si>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</si>
  <si>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</si>
  <si>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</si>
  <si>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</si>
  <si>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</si>
  <si>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</si>
  <si>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</si>
  <si>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</si>
  <si>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</si>
  <si>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</si>
  <si>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</si>
  <si>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</si>
  <si>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</si>
  <si>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</si>
  <si>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</si>
  <si>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</si>
  <si>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</si>
  <si>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</si>
  <si>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</si>
  <si>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</si>
  <si>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</si>
  <si>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</si>
  <si>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</si>
  <si>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</si>
  <si>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</si>
  <si>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</si>
  <si>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</si>
  <si>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</si>
  <si>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</si>
  <si>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</si>
  <si>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</si>
  <si>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</si>
  <si>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</si>
  <si>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</si>
  <si>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</si>
  <si>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</si>
  <si>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</si>
  <si>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</si>
  <si>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</si>
  <si>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</si>
  <si>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</si>
  <si>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</si>
  <si>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</si>
  <si>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</si>
  <si>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</si>
  <si>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</si>
  <si>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</si>
  <si>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</si>
  <si>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</si>
  <si>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</si>
  <si>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</si>
  <si>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</si>
  <si>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</si>
  <si>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</si>
  <si>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</si>
  <si>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</si>
  <si>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</si>
  <si>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</si>
  <si>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</si>
  <si>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</si>
  <si>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</si>
  <si>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</si>
  <si>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</si>
  <si>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</si>
  <si>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</si>
  <si>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</si>
  <si>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</si>
  <si>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</si>
  <si>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</si>
  <si>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</si>
  <si>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</si>
  <si>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</si>
  <si>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</si>
  <si>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</si>
  <si>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</si>
  <si>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</si>
  <si>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</si>
  <si>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</si>
  <si>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</si>
  <si>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</si>
  <si>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</si>
  <si>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</si>
  <si>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</si>
  <si>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</si>
  <si>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</si>
  <si>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</si>
  <si>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</si>
  <si>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</si>
  <si>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</si>
  <si>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</si>
  <si>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</si>
  <si>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</si>
  <si>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</si>
  <si>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</si>
  <si>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</si>
  <si>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</si>
  <si>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</si>
  <si>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</si>
  <si>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</si>
  <si>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</si>
  <si>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</si>
  <si>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</si>
  <si>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</si>
  <si>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</si>
  <si>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</si>
  <si>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</si>
  <si>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</si>
  <si>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</si>
  <si>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</si>
  <si>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</si>
  <si>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</si>
  <si>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</si>
  <si>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</si>
  <si>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</si>
  <si>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</si>
  <si>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</si>
  <si>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</si>
  <si>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</si>
  <si>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</si>
  <si>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</si>
  <si>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</si>
  <si>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</si>
  <si>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</si>
  <si>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</si>
  <si>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</si>
  <si>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</si>
  <si>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</si>
  <si>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</si>
  <si>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</si>
  <si>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</si>
  <si>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</si>
  <si>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</si>
  <si>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</si>
  <si>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</si>
  <si>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</si>
  <si>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</si>
  <si>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</si>
  <si>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</si>
  <si>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</si>
  <si>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</si>
  <si>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</si>
  <si>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</si>
  <si>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</si>
  <si>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</si>
  <si>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</si>
  <si>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</si>
  <si>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</si>
  <si>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</si>
  <si>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</si>
  <si>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</si>
  <si>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</si>
  <si>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</si>
  <si>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</si>
  <si>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</si>
  <si>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</si>
  <si>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</si>
  <si>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</si>
  <si>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</si>
  <si>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</si>
  <si>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</si>
  <si>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</si>
  <si>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</si>
  <si>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</si>
  <si>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</si>
  <si>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</si>
  <si>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</si>
  <si>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</si>
  <si>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</si>
  <si>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</si>
  <si>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</si>
  <si>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</si>
  <si>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</si>
  <si>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</si>
  <si>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</si>
  <si>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</si>
  <si>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</si>
  <si>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</si>
  <si>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</si>
  <si>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</si>
  <si>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</si>
  <si>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</si>
  <si>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</si>
  <si>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</si>
  <si>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</si>
  <si>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</si>
  <si>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</si>
  <si>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</si>
  <si>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</si>
  <si>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</si>
  <si>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</si>
  <si>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</si>
  <si>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</si>
  <si>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</si>
  <si>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</si>
  <si>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</si>
  <si>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</si>
  <si>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</si>
  <si>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</si>
  <si>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</si>
  <si>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</si>
  <si>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</si>
  <si>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</si>
  <si>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</si>
  <si>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</si>
  <si>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</si>
  <si>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</si>
  <si>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</si>
  <si>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</si>
  <si>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</si>
  <si>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</si>
  <si>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</si>
  <si>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Other Depreciation Expenses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</si>
  <si>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</si>
  <si>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</si>
  <si>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</si>
  <si>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</si>
  <si>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</si>
  <si>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</si>
  <si>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</si>
  <si>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</si>
  <si>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</si>
  <si>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</si>
  <si>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</si>
  <si>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</si>
  <si>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</si>
  <si>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</si>
  <si>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</si>
  <si>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</si>
  <si>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</si>
  <si>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</si>
  <si>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</si>
  <si>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</si>
  <si>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</si>
  <si>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</si>
  <si>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</si>
  <si>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</si>
  <si>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</si>
  <si>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</si>
  <si>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</si>
  <si>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</si>
  <si>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</si>
  <si>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</si>
  <si>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</si>
  <si>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</si>
  <si>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</si>
  <si>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</si>
  <si>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</si>
  <si>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</si>
  <si>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</si>
  <si>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</si>
  <si>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</si>
  <si>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</si>
  <si>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</si>
  <si>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</si>
  <si>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</si>
  <si>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</si>
  <si>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</si>
  <si>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</si>
  <si>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</si>
  <si>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</si>
  <si>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</si>
  <si>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</si>
  <si>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</si>
  <si>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</si>
  <si>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</si>
  <si>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</si>
  <si>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</si>
  <si>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</si>
  <si>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</si>
  <si>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</si>
  <si>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</si>
  <si>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</si>
  <si>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</si>
  <si>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</si>
  <si>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</si>
  <si>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</si>
  <si>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</si>
  <si>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</si>
  <si>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</si>
  <si>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</si>
  <si>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</si>
  <si>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</si>
  <si>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</si>
  <si>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</si>
  <si>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</si>
  <si>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</si>
  <si>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</si>
  <si>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</si>
  <si>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</si>
  <si>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</si>
  <si>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</si>
  <si>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</si>
  <si>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</si>
  <si>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</si>
  <si>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</si>
  <si>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</si>
  <si>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</si>
  <si>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</si>
  <si>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</si>
  <si>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</si>
  <si>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</si>
  <si>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</si>
  <si>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</si>
  <si>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</si>
  <si>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</si>
  <si>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</si>
  <si>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</si>
  <si>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</si>
  <si>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</si>
  <si>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</si>
  <si>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</si>
  <si>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</si>
  <si>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</si>
  <si>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</si>
  <si>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</si>
  <si>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</si>
  <si>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</si>
  <si>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</si>
  <si>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</si>
  <si>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</si>
  <si>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PTRTL</t>
  </si>
  <si>
    <t>General Service Rate GS</t>
  </si>
  <si>
    <t>TOD Primary</t>
  </si>
  <si>
    <t>Special Contract #2 (LWC)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</si>
  <si>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</si>
  <si>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</si>
  <si>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</si>
  <si>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</si>
  <si>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</si>
  <si>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>For the 12 Months Ended June 30, 2018</t>
  </si>
  <si>
    <t xml:space="preserve">  Sales for Resale</t>
  </si>
  <si>
    <t>*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</si>
  <si>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</si>
  <si>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</si>
  <si>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</si>
  <si>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</si>
  <si>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</si>
  <si>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</si>
  <si>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</si>
  <si>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</si>
  <si>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</si>
  <si>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Actual Customer Charge</t>
  </si>
  <si>
    <t>Difference ($)</t>
  </si>
  <si>
    <t>Increase in Energy Charge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</si>
  <si>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</si>
  <si>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</si>
  <si>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</si>
  <si>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</si>
  <si>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</si>
  <si>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ECR Factor</t>
  </si>
  <si>
    <t>Resulting Infrastrusture Charge</t>
  </si>
  <si>
    <t>Proposed Changes to Miscellaneous Charges</t>
  </si>
  <si>
    <t>ok</t>
  </si>
  <si>
    <t>Less: Misc Revenue - Prod Demand</t>
  </si>
  <si>
    <t>Total Infrastructure Energy Cost</t>
  </si>
  <si>
    <t>ECR in Base Rates</t>
  </si>
  <si>
    <t>Minimum Connection Cost of Service Based on the Cost of Service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</si>
</sst>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</numFmts>
  <fonts count="1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</fonts>
  <fills count="8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7" fillId="5" borderId="0">
      <alignment horizontal="left"/>
    </xf>
    <xf numFmtId="0" fontId="28" fillId="5" borderId="0">
      <alignment horizontal="right"/>
    </xf>
    <xf numFmtId="0" fontId="29" fillId="4" borderId="0">
      <alignment horizontal="center"/>
    </xf>
    <xf numFmtId="0" fontId="28" fillId="5" borderId="0">
      <alignment horizontal="right"/>
    </xf>
    <xf numFmtId="0" fontId="30" fillId="4" borderId="0">
      <alignment horizontal="left"/>
    </xf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7" fillId="0" borderId="0" applyProtection="0"/>
    <xf numFmtId="0" fontId="18" fillId="0" borderId="0" applyProtection="0"/>
    <xf numFmtId="0" fontId="22" fillId="0" borderId="0" applyProtection="0"/>
    <xf numFmtId="2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5" borderId="0">
      <alignment horizontal="left"/>
    </xf>
    <xf numFmtId="0" fontId="31" fillId="4" borderId="0">
      <alignment horizontal="left"/>
    </xf>
    <xf numFmtId="41" fontId="39" fillId="0" borderId="0"/>
    <xf numFmtId="4" fontId="32" fillId="6" borderId="0">
      <alignment horizontal="right"/>
    </xf>
    <xf numFmtId="0" fontId="33" fillId="6" borderId="0">
      <alignment horizontal="center" vertical="center"/>
    </xf>
    <xf numFmtId="0" fontId="31" fillId="6" borderId="1"/>
    <xf numFmtId="0" fontId="33" fillId="6" borderId="0" applyBorder="0">
      <alignment horizontal="centerContinuous"/>
    </xf>
    <xf numFmtId="0" fontId="34" fillId="6" borderId="0" applyBorder="0">
      <alignment horizontal="centerContinuous"/>
    </xf>
    <xf numFmtId="9" fontId="3" fillId="0" borderId="0" applyFont="0" applyFill="0" applyBorder="0" applyAlignment="0" applyProtection="0"/>
    <xf numFmtId="0" fontId="31" fillId="3" borderId="0">
      <alignment horizontal="center"/>
    </xf>
    <xf numFmtId="49" fontId="35" fillId="4" borderId="0">
      <alignment horizontal="center"/>
    </xf>
    <xf numFmtId="0" fontId="28" fillId="5" borderId="0">
      <alignment horizontal="center"/>
    </xf>
    <xf numFmtId="0" fontId="28" fillId="5" borderId="0">
      <alignment horizontal="centerContinuous"/>
    </xf>
    <xf numFmtId="0" fontId="36" fillId="4" borderId="0">
      <alignment horizontal="left"/>
    </xf>
    <xf numFmtId="49" fontId="36" fillId="4" borderId="0">
      <alignment horizontal="center"/>
    </xf>
    <xf numFmtId="0" fontId="27" fillId="5" borderId="0">
      <alignment horizontal="left"/>
    </xf>
    <xf numFmtId="49" fontId="36" fillId="4" borderId="0">
      <alignment horizontal="left"/>
    </xf>
    <xf numFmtId="0" fontId="27" fillId="5" borderId="0">
      <alignment horizontal="centerContinuous"/>
    </xf>
    <xf numFmtId="0" fontId="27" fillId="5" borderId="0">
      <alignment horizontal="right"/>
    </xf>
    <xf numFmtId="49" fontId="31" fillId="4" borderId="0">
      <alignment horizontal="left"/>
    </xf>
    <xf numFmtId="0" fontId="28" fillId="5" borderId="0">
      <alignment horizontal="right"/>
    </xf>
    <xf numFmtId="0" fontId="36" fillId="2" borderId="0">
      <alignment horizontal="center"/>
    </xf>
    <xf numFmtId="0" fontId="37" fillId="2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" applyNumberFormat="0" applyFont="0" applyFill="0" applyAlignment="0" applyProtection="0"/>
    <xf numFmtId="0" fontId="38" fillId="4" borderId="0">
      <alignment horizontal="center"/>
    </xf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0" fontId="7" fillId="0" borderId="0"/>
    <xf numFmtId="4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1" fillId="0" borderId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0" fontId="1" fillId="2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0" fontId="1" fillId="24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1" fillId="2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0" fontId="1" fillId="3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1" fillId="4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1" fillId="21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0" fontId="1" fillId="29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0" fontId="1" fillId="33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1" fillId="37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1" fillId="41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3" fillId="50" borderId="0" applyNumberFormat="0" applyBorder="0" applyAlignment="0" applyProtection="0"/>
    <xf numFmtId="181" fontId="64" fillId="22" borderId="0" applyNumberFormat="0" applyBorder="0" applyAlignment="0" applyProtection="0"/>
    <xf numFmtId="181" fontId="63" fillId="50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52" fillId="22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3" fillId="54" borderId="0" applyNumberFormat="0" applyBorder="0" applyAlignment="0" applyProtection="0"/>
    <xf numFmtId="181" fontId="64" fillId="26" borderId="0" applyNumberFormat="0" applyBorder="0" applyAlignment="0" applyProtection="0"/>
    <xf numFmtId="181" fontId="63" fillId="54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0" fontId="52" fillId="2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3" fillId="52" borderId="0" applyNumberFormat="0" applyBorder="0" applyAlignment="0" applyProtection="0"/>
    <xf numFmtId="181" fontId="64" fillId="30" borderId="0" applyNumberFormat="0" applyBorder="0" applyAlignment="0" applyProtection="0"/>
    <xf numFmtId="181" fontId="63" fillId="52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0" fontId="52" fillId="30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3" fillId="45" borderId="0" applyNumberFormat="0" applyBorder="0" applyAlignment="0" applyProtection="0"/>
    <xf numFmtId="181" fontId="64" fillId="34" borderId="0" applyNumberFormat="0" applyBorder="0" applyAlignment="0" applyProtection="0"/>
    <xf numFmtId="181" fontId="63" fillId="4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52" fillId="3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3" fillId="50" borderId="0" applyNumberFormat="0" applyBorder="0" applyAlignment="0" applyProtection="0"/>
    <xf numFmtId="181" fontId="64" fillId="38" borderId="0" applyNumberFormat="0" applyBorder="0" applyAlignment="0" applyProtection="0"/>
    <xf numFmtId="181" fontId="63" fillId="50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52" fillId="38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52" fillId="42" borderId="0" applyNumberFormat="0" applyBorder="0" applyAlignment="0" applyProtection="0"/>
    <xf numFmtId="181" fontId="52" fillId="42" borderId="0" applyNumberFormat="0" applyBorder="0" applyAlignment="0" applyProtection="0"/>
    <xf numFmtId="181" fontId="52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3" fillId="46" borderId="0" applyNumberFormat="0" applyBorder="0" applyAlignment="0" applyProtection="0"/>
    <xf numFmtId="181" fontId="64" fillId="42" borderId="0" applyNumberFormat="0" applyBorder="0" applyAlignment="0" applyProtection="0"/>
    <xf numFmtId="181" fontId="63" fillId="46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52" fillId="42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3" fillId="59" borderId="0" applyNumberFormat="0" applyBorder="0" applyAlignment="0" applyProtection="0"/>
    <xf numFmtId="181" fontId="64" fillId="19" borderId="0" applyNumberFormat="0" applyBorder="0" applyAlignment="0" applyProtection="0"/>
    <xf numFmtId="181" fontId="63" fillId="5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0" fontId="52" fillId="1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3" fillId="54" borderId="0" applyNumberFormat="0" applyBorder="0" applyAlignment="0" applyProtection="0"/>
    <xf numFmtId="181" fontId="64" fillId="23" borderId="0" applyNumberFormat="0" applyBorder="0" applyAlignment="0" applyProtection="0"/>
    <xf numFmtId="181" fontId="63" fillId="5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0" fontId="52" fillId="23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3" fillId="52" borderId="0" applyNumberFormat="0" applyBorder="0" applyAlignment="0" applyProtection="0"/>
    <xf numFmtId="181" fontId="64" fillId="27" borderId="0" applyNumberFormat="0" applyBorder="0" applyAlignment="0" applyProtection="0"/>
    <xf numFmtId="181" fontId="63" fillId="52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0" fontId="52" fillId="27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3" fillId="62" borderId="0" applyNumberFormat="0" applyBorder="0" applyAlignment="0" applyProtection="0"/>
    <xf numFmtId="181" fontId="64" fillId="31" borderId="0" applyNumberFormat="0" applyBorder="0" applyAlignment="0" applyProtection="0"/>
    <xf numFmtId="181" fontId="63" fillId="6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0" fontId="52" fillId="31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3" fillId="56" borderId="0" applyNumberFormat="0" applyBorder="0" applyAlignment="0" applyProtection="0"/>
    <xf numFmtId="181" fontId="64" fillId="35" borderId="0" applyNumberFormat="0" applyBorder="0" applyAlignment="0" applyProtection="0"/>
    <xf numFmtId="181" fontId="63" fillId="56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0" fontId="52" fillId="3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3" fillId="60" borderId="0" applyNumberFormat="0" applyBorder="0" applyAlignment="0" applyProtection="0"/>
    <xf numFmtId="181" fontId="64" fillId="39" borderId="0" applyNumberFormat="0" applyBorder="0" applyAlignment="0" applyProtection="0"/>
    <xf numFmtId="181" fontId="63" fillId="60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0" fontId="52" fillId="39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43" fillId="13" borderId="0" applyNumberFormat="0" applyBorder="0" applyAlignment="0" applyProtection="0"/>
    <xf numFmtId="181" fontId="43" fillId="13" borderId="0" applyNumberFormat="0" applyBorder="0" applyAlignment="0" applyProtection="0"/>
    <xf numFmtId="181" fontId="43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5" fillId="49" borderId="0" applyNumberFormat="0" applyBorder="0" applyAlignment="0" applyProtection="0"/>
    <xf numFmtId="181" fontId="66" fillId="13" borderId="0" applyNumberFormat="0" applyBorder="0" applyAlignment="0" applyProtection="0"/>
    <xf numFmtId="181" fontId="65" fillId="49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0" fontId="43" fillId="13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47" fillId="16" borderId="21" applyNumberFormat="0" applyAlignment="0" applyProtection="0"/>
    <xf numFmtId="181" fontId="47" fillId="16" borderId="21" applyNumberFormat="0" applyAlignment="0" applyProtection="0"/>
    <xf numFmtId="181" fontId="47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9" fillId="4" borderId="29" applyNumberFormat="0" applyAlignment="0" applyProtection="0"/>
    <xf numFmtId="181" fontId="68" fillId="16" borderId="21" applyNumberFormat="0" applyAlignment="0" applyProtection="0"/>
    <xf numFmtId="181" fontId="69" fillId="4" borderId="29" applyNumberFormat="0" applyAlignment="0" applyProtection="0"/>
    <xf numFmtId="0" fontId="47" fillId="16" borderId="21" applyNumberFormat="0" applyAlignment="0" applyProtection="0"/>
    <xf numFmtId="0" fontId="47" fillId="16" borderId="21" applyNumberFormat="0" applyAlignment="0" applyProtection="0"/>
    <xf numFmtId="0" fontId="47" fillId="16" borderId="21" applyNumberFormat="0" applyAlignment="0" applyProtection="0"/>
    <xf numFmtId="0" fontId="47" fillId="16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0" fontId="47" fillId="16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49" fillId="17" borderId="24" applyNumberFormat="0" applyAlignment="0" applyProtection="0"/>
    <xf numFmtId="181" fontId="49" fillId="17" borderId="24" applyNumberFormat="0" applyAlignment="0" applyProtection="0"/>
    <xf numFmtId="181" fontId="49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0" fillId="64" borderId="30" applyNumberFormat="0" applyAlignment="0" applyProtection="0"/>
    <xf numFmtId="181" fontId="71" fillId="17" borderId="24" applyNumberFormat="0" applyAlignment="0" applyProtection="0"/>
    <xf numFmtId="181" fontId="70" fillId="64" borderId="30" applyNumberFormat="0" applyAlignment="0" applyProtection="0"/>
    <xf numFmtId="0" fontId="49" fillId="17" borderId="24" applyNumberFormat="0" applyAlignment="0" applyProtection="0"/>
    <xf numFmtId="0" fontId="49" fillId="17" borderId="24" applyNumberFormat="0" applyAlignment="0" applyProtection="0"/>
    <xf numFmtId="0" fontId="49" fillId="17" borderId="24" applyNumberFormat="0" applyAlignment="0" applyProtection="0"/>
    <xf numFmtId="0" fontId="49" fillId="17" borderId="24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0" fontId="49" fillId="17" borderId="24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42" fillId="12" borderId="0" applyNumberFormat="0" applyBorder="0" applyAlignment="0" applyProtection="0"/>
    <xf numFmtId="181" fontId="42" fillId="12" borderId="0" applyNumberFormat="0" applyBorder="0" applyAlignment="0" applyProtection="0"/>
    <xf numFmtId="181" fontId="42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4" fillId="50" borderId="0" applyNumberFormat="0" applyBorder="0" applyAlignment="0" applyProtection="0"/>
    <xf numFmtId="181" fontId="75" fillId="12" borderId="0" applyNumberFormat="0" applyBorder="0" applyAlignment="0" applyProtection="0"/>
    <xf numFmtId="181" fontId="74" fillId="50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0" fontId="42" fillId="12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0" fontId="77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23" fillId="0" borderId="0" applyNumberFormat="0" applyFill="0" applyBorder="0" applyAlignment="0" applyProtection="0"/>
    <xf numFmtId="181" fontId="23" fillId="0" borderId="0" applyNumberFormat="0" applyFill="0" applyBorder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80" fillId="0" borderId="27" applyNumberFormat="0" applyFill="0" applyAlignment="0" applyProtection="0"/>
    <xf numFmtId="181" fontId="80" fillId="0" borderId="27" applyNumberFormat="0" applyFill="0" applyAlignment="0" applyProtection="0"/>
    <xf numFmtId="181" fontId="80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0" fontId="80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41" fillId="0" borderId="20" applyNumberFormat="0" applyFill="0" applyAlignment="0" applyProtection="0"/>
    <xf numFmtId="181" fontId="41" fillId="0" borderId="20" applyNumberFormat="0" applyFill="0" applyAlignment="0" applyProtection="0"/>
    <xf numFmtId="181" fontId="41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0" fontId="41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45" fillId="15" borderId="21" applyNumberFormat="0" applyAlignment="0" applyProtection="0"/>
    <xf numFmtId="181" fontId="45" fillId="15" borderId="21" applyNumberFormat="0" applyAlignment="0" applyProtection="0"/>
    <xf numFmtId="181" fontId="4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4" fillId="3" borderId="29" applyNumberFormat="0" applyAlignment="0" applyProtection="0"/>
    <xf numFmtId="181" fontId="85" fillId="15" borderId="21" applyNumberFormat="0" applyAlignment="0" applyProtection="0"/>
    <xf numFmtId="181" fontId="84" fillId="3" borderId="29" applyNumberFormat="0" applyAlignment="0" applyProtection="0"/>
    <xf numFmtId="0" fontId="45" fillId="15" borderId="21" applyNumberFormat="0" applyAlignment="0" applyProtection="0"/>
    <xf numFmtId="0" fontId="45" fillId="15" borderId="21" applyNumberFormat="0" applyAlignment="0" applyProtection="0"/>
    <xf numFmtId="0" fontId="45" fillId="15" borderId="21" applyNumberFormat="0" applyAlignment="0" applyProtection="0"/>
    <xf numFmtId="0" fontId="45" fillId="15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0" fontId="45" fillId="15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48" fillId="0" borderId="23" applyNumberFormat="0" applyFill="0" applyAlignment="0" applyProtection="0"/>
    <xf numFmtId="181" fontId="48" fillId="0" borderId="23" applyNumberFormat="0" applyFill="0" applyAlignment="0" applyProtection="0"/>
    <xf numFmtId="181" fontId="48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0" fontId="48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44" fillId="14" borderId="0" applyNumberFormat="0" applyBorder="0" applyAlignment="0" applyProtection="0"/>
    <xf numFmtId="181" fontId="44" fillId="14" borderId="0" applyNumberFormat="0" applyBorder="0" applyAlignment="0" applyProtection="0"/>
    <xf numFmtId="181" fontId="44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1" fillId="3" borderId="0" applyNumberFormat="0" applyBorder="0" applyAlignment="0" applyProtection="0"/>
    <xf numFmtId="181" fontId="90" fillId="14" borderId="0" applyNumberFormat="0" applyBorder="0" applyAlignment="0" applyProtection="0"/>
    <xf numFmtId="181" fontId="91" fillId="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0" fontId="44" fillId="14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181" fontId="7" fillId="0" borderId="0"/>
    <xf numFmtId="41" fontId="39" fillId="0" borderId="0"/>
    <xf numFmtId="41" fontId="39" fillId="0" borderId="0"/>
    <xf numFmtId="41" fontId="39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3" fillId="0" borderId="0"/>
    <xf numFmtId="181" fontId="7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53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181" fontId="53" fillId="0" borderId="0"/>
    <xf numFmtId="181" fontId="53" fillId="0" borderId="0"/>
    <xf numFmtId="181" fontId="7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93" fillId="48" borderId="39" applyNumberFormat="0" applyFont="0" applyAlignment="0" applyProtection="0"/>
    <xf numFmtId="181" fontId="93" fillId="48" borderId="39" applyNumberFormat="0" applyFont="0" applyAlignment="0" applyProtection="0"/>
    <xf numFmtId="181" fontId="93" fillId="48" borderId="39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3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0" fontId="1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46" fillId="16" borderId="22" applyNumberFormat="0" applyAlignment="0" applyProtection="0"/>
    <xf numFmtId="181" fontId="46" fillId="16" borderId="22" applyNumberFormat="0" applyAlignment="0" applyProtection="0"/>
    <xf numFmtId="181" fontId="46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4" fillId="4" borderId="40" applyNumberFormat="0" applyAlignment="0" applyProtection="0"/>
    <xf numFmtId="181" fontId="95" fillId="16" borderId="22" applyNumberFormat="0" applyAlignment="0" applyProtection="0"/>
    <xf numFmtId="181" fontId="94" fillId="4" borderId="40" applyNumberFormat="0" applyAlignment="0" applyProtection="0"/>
    <xf numFmtId="0" fontId="46" fillId="16" borderId="22" applyNumberFormat="0" applyAlignment="0" applyProtection="0"/>
    <xf numFmtId="0" fontId="46" fillId="16" borderId="22" applyNumberFormat="0" applyAlignment="0" applyProtection="0"/>
    <xf numFmtId="0" fontId="46" fillId="16" borderId="22" applyNumberFormat="0" applyAlignment="0" applyProtection="0"/>
    <xf numFmtId="0" fontId="46" fillId="16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0" fontId="46" fillId="16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9" fillId="0" borderId="28" applyNumberFormat="0" applyFill="0" applyAlignment="0" applyProtection="0"/>
    <xf numFmtId="181" fontId="99" fillId="0" borderId="28" applyNumberFormat="0" applyFill="0" applyAlignment="0" applyProtection="0"/>
    <xf numFmtId="181" fontId="99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0" fontId="99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7" fillId="0" borderId="2" applyNumberFormat="0" applyFont="0" applyFill="0" applyAlignment="0" applyProtection="0"/>
    <xf numFmtId="181" fontId="7" fillId="0" borderId="2" applyNumberFormat="0" applyFon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41" fontId="39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39" fillId="0" borderId="0"/>
    <xf numFmtId="0" fontId="1" fillId="0" borderId="0"/>
    <xf numFmtId="0" fontId="56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65" borderId="0"/>
    <xf numFmtId="0" fontId="7" fillId="65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62" fillId="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0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0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0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0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0" fontId="101" fillId="0" borderId="4" applyBorder="0"/>
    <xf numFmtId="0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0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0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0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0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0" fontId="65" fillId="45" borderId="0" applyNumberFormat="0" applyBorder="0" applyAlignment="0" applyProtection="0"/>
    <xf numFmtId="181" fontId="65" fillId="45" borderId="0" applyNumberFormat="0" applyBorder="0" applyAlignment="0" applyProtection="0"/>
    <xf numFmtId="165" fontId="102" fillId="0" borderId="43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8" fontId="68" fillId="16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8" fontId="68" fillId="16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47" fillId="16" borderId="21" applyNumberFormat="0" applyAlignment="0" applyProtection="0"/>
    <xf numFmtId="179" fontId="103" fillId="66" borderId="29" applyNumberFormat="0" applyAlignment="0" applyProtection="0"/>
    <xf numFmtId="0" fontId="47" fillId="16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9" fontId="103" fillId="66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179" fontId="103" fillId="66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70" fillId="64" borderId="30" applyNumberFormat="0" applyAlignment="0" applyProtection="0"/>
    <xf numFmtId="182" fontId="104" fillId="0" borderId="1" applyBorder="0">
      <alignment horizontal="center" vertical="center"/>
    </xf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179" fontId="27" fillId="5" borderId="0">
      <alignment horizontal="left"/>
    </xf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179" fontId="28" fillId="5" borderId="0">
      <alignment horizontal="right"/>
    </xf>
    <xf numFmtId="183" fontId="29" fillId="4" borderId="0">
      <alignment horizontal="center"/>
    </xf>
    <xf numFmtId="0" fontId="29" fillId="4" borderId="0">
      <alignment horizontal="center"/>
    </xf>
    <xf numFmtId="0" fontId="29" fillId="4" borderId="0">
      <alignment horizontal="center"/>
    </xf>
    <xf numFmtId="183" fontId="29" fillId="4" borderId="0">
      <alignment horizontal="center"/>
    </xf>
    <xf numFmtId="179" fontId="29" fillId="4" borderId="0">
      <alignment horizontal="center"/>
    </xf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179" fontId="28" fillId="5" borderId="0">
      <alignment horizontal="right"/>
    </xf>
    <xf numFmtId="183" fontId="30" fillId="4" borderId="0">
      <alignment horizontal="left"/>
    </xf>
    <xf numFmtId="0" fontId="30" fillId="4" borderId="0">
      <alignment horizontal="left"/>
    </xf>
    <xf numFmtId="183" fontId="30" fillId="4" borderId="0">
      <alignment horizontal="left"/>
    </xf>
    <xf numFmtId="179" fontId="30" fillId="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05" fillId="0" borderId="0" applyFont="0" applyFill="0" applyBorder="0" applyAlignment="0" applyProtection="0"/>
    <xf numFmtId="3" fontId="10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7" borderId="0"/>
    <xf numFmtId="3" fontId="7" fillId="0" borderId="0" applyFont="0" applyFill="0" applyBorder="0" applyAlignment="0" applyProtection="0"/>
    <xf numFmtId="3" fontId="7" fillId="67" borderId="0"/>
    <xf numFmtId="3" fontId="7" fillId="0" borderId="0" applyFont="0" applyFill="0" applyBorder="0" applyAlignment="0" applyProtection="0"/>
    <xf numFmtId="3" fontId="10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7" borderId="0"/>
    <xf numFmtId="3" fontId="7" fillId="67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08" fillId="0" borderId="0"/>
    <xf numFmtId="0" fontId="108" fillId="0" borderId="45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51" borderId="46" applyNumberFormat="0" applyFont="0" applyAlignment="0">
      <protection locked="0"/>
    </xf>
    <xf numFmtId="0" fontId="7" fillId="51" borderId="46" applyNumberFormat="0" applyFont="0" applyAlignment="0">
      <protection locked="0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2" fillId="0" borderId="0" applyNumberFormat="0" applyFill="0" applyBorder="0" applyAlignment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10" fillId="0" borderId="0" applyProtection="0"/>
    <xf numFmtId="0" fontId="10" fillId="0" borderId="0" applyProtection="0"/>
    <xf numFmtId="178" fontId="10" fillId="0" borderId="0" applyProtection="0"/>
    <xf numFmtId="178" fontId="10" fillId="0" borderId="0" applyProtection="0"/>
    <xf numFmtId="0" fontId="10" fillId="0" borderId="0" applyProtection="0"/>
    <xf numFmtId="0" fontId="20" fillId="0" borderId="0" applyProtection="0"/>
    <xf numFmtId="0" fontId="20" fillId="0" borderId="0" applyProtection="0"/>
    <xf numFmtId="178" fontId="20" fillId="0" borderId="0" applyProtection="0"/>
    <xf numFmtId="178" fontId="20" fillId="0" borderId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9" fontId="7" fillId="0" borderId="0" applyProtection="0"/>
    <xf numFmtId="0" fontId="7" fillId="0" borderId="0" applyProtection="0"/>
    <xf numFmtId="0" fontId="7" fillId="0" borderId="0" applyProtection="0"/>
    <xf numFmtId="178" fontId="7" fillId="0" borderId="0" applyProtection="0"/>
    <xf numFmtId="178" fontId="7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74" fillId="47" borderId="0" applyNumberFormat="0" applyBorder="0" applyAlignment="0" applyProtection="0"/>
    <xf numFmtId="181" fontId="74" fillId="47" borderId="0" applyNumberFormat="0" applyBorder="0" applyAlignment="0" applyProtection="0"/>
    <xf numFmtId="0" fontId="23" fillId="0" borderId="0" applyNumberFormat="0" applyFill="0" applyBorder="0" applyAlignment="0" applyProtection="0"/>
    <xf numFmtId="183" fontId="109" fillId="0" borderId="0" applyNumberFormat="0" applyFont="0" applyFill="0" applyAlignment="0" applyProtection="0"/>
    <xf numFmtId="0" fontId="76" fillId="0" borderId="31" applyNumberFormat="0" applyFill="0" applyAlignment="0" applyProtection="0"/>
    <xf numFmtId="179" fontId="110" fillId="0" borderId="4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3" fontId="21" fillId="0" borderId="0" applyNumberFormat="0" applyFont="0" applyFill="0" applyAlignment="0" applyProtection="0"/>
    <xf numFmtId="0" fontId="79" fillId="0" borderId="33" applyNumberFormat="0" applyFill="0" applyAlignment="0" applyProtection="0"/>
    <xf numFmtId="179" fontId="111" fillId="0" borderId="48" applyNumberFormat="0" applyFill="0" applyAlignment="0" applyProtection="0"/>
    <xf numFmtId="0" fontId="24" fillId="0" borderId="0" applyNumberFormat="0" applyFill="0" applyBorder="0" applyAlignment="0" applyProtection="0"/>
    <xf numFmtId="0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0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3" fontId="112" fillId="0" borderId="0" applyNumberFormat="0" applyFill="0" applyBorder="0" applyAlignment="0" applyProtection="0">
      <alignment vertical="top"/>
      <protection locked="0"/>
    </xf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8" fontId="85" fillId="15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8" fontId="85" fillId="15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45" fillId="15" borderId="21" applyNumberFormat="0" applyAlignment="0" applyProtection="0"/>
    <xf numFmtId="179" fontId="113" fillId="2" borderId="29" applyNumberFormat="0" applyAlignment="0" applyProtection="0"/>
    <xf numFmtId="0" fontId="45" fillId="15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9" fontId="113" fillId="2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179" fontId="113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114" fillId="68" borderId="45"/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179" fontId="27" fillId="5" borderId="0">
      <alignment horizontal="left"/>
    </xf>
    <xf numFmtId="183" fontId="31" fillId="4" borderId="0">
      <alignment horizontal="left"/>
    </xf>
    <xf numFmtId="0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0" fontId="31" fillId="4" borderId="0">
      <alignment horizontal="left"/>
    </xf>
    <xf numFmtId="179" fontId="31" fillId="4" borderId="0">
      <alignment horizontal="left"/>
    </xf>
    <xf numFmtId="0" fontId="86" fillId="0" borderId="37" applyNumberFormat="0" applyFill="0" applyAlignment="0" applyProtection="0"/>
    <xf numFmtId="181" fontId="86" fillId="0" borderId="37" applyNumberFormat="0" applyFill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89" fillId="3" borderId="0" applyNumberFormat="0" applyBorder="0" applyAlignment="0" applyProtection="0"/>
    <xf numFmtId="181" fontId="89" fillId="3" borderId="0" applyNumberFormat="0" applyBorder="0" applyAlignment="0" applyProtection="0"/>
    <xf numFmtId="189" fontId="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" fillId="0" borderId="0"/>
    <xf numFmtId="179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3" fillId="0" borderId="0"/>
    <xf numFmtId="0" fontId="3" fillId="0" borderId="0"/>
    <xf numFmtId="183" fontId="7" fillId="0" borderId="0"/>
    <xf numFmtId="0" fontId="3" fillId="0" borderId="0"/>
    <xf numFmtId="179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7" fillId="0" borderId="0"/>
    <xf numFmtId="181" fontId="7" fillId="0" borderId="0"/>
    <xf numFmtId="0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3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7" fillId="0" borderId="0"/>
    <xf numFmtId="181" fontId="7" fillId="0" borderId="0"/>
    <xf numFmtId="0" fontId="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53" fillId="0" borderId="0"/>
    <xf numFmtId="0" fontId="1" fillId="0" borderId="0"/>
    <xf numFmtId="0" fontId="1" fillId="0" borderId="0"/>
    <xf numFmtId="0" fontId="1" fillId="0" borderId="0"/>
    <xf numFmtId="181" fontId="92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181" fontId="92" fillId="0" borderId="0"/>
    <xf numFmtId="181" fontId="92" fillId="0" borderId="0"/>
    <xf numFmtId="181" fontId="92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37" fontId="11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7" fontId="1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37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1" fillId="0" borderId="0"/>
    <xf numFmtId="190" fontId="7" fillId="0" borderId="0"/>
    <xf numFmtId="0" fontId="1" fillId="0" borderId="0"/>
    <xf numFmtId="0" fontId="1" fillId="0" borderId="0"/>
    <xf numFmtId="37" fontId="115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7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3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7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5" fillId="0" borderId="0"/>
    <xf numFmtId="37" fontId="11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5" fillId="0" borderId="0"/>
    <xf numFmtId="37" fontId="1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7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4" fillId="63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1" fillId="0" borderId="0"/>
    <xf numFmtId="181" fontId="94" fillId="63" borderId="40" applyNumberFormat="0" applyAlignment="0" applyProtection="0"/>
    <xf numFmtId="191" fontId="32" fillId="4" borderId="0">
      <alignment horizontal="right"/>
    </xf>
    <xf numFmtId="4" fontId="32" fillId="6" borderId="0">
      <alignment horizontal="right"/>
    </xf>
    <xf numFmtId="40" fontId="116" fillId="6" borderId="0">
      <alignment horizontal="right"/>
    </xf>
    <xf numFmtId="40" fontId="116" fillId="6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40" fontId="116" fillId="6" borderId="0">
      <alignment horizontal="right"/>
    </xf>
    <xf numFmtId="4" fontId="32" fillId="6" borderId="0">
      <alignment horizontal="right"/>
    </xf>
    <xf numFmtId="40" fontId="116" fillId="6" borderId="0">
      <alignment horizontal="right"/>
    </xf>
    <xf numFmtId="40" fontId="116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191" fontId="32" fillId="4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0" fontId="1" fillId="0" borderId="0"/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40" fontId="116" fillId="6" borderId="0">
      <alignment horizontal="right"/>
    </xf>
    <xf numFmtId="0" fontId="33" fillId="68" borderId="0">
      <alignment horizontal="center"/>
    </xf>
    <xf numFmtId="0" fontId="33" fillId="68" borderId="0">
      <alignment horizontal="center"/>
    </xf>
    <xf numFmtId="183" fontId="33" fillId="68" borderId="0">
      <alignment horizontal="center"/>
    </xf>
    <xf numFmtId="0" fontId="33" fillId="6" borderId="0">
      <alignment horizontal="center" vertical="center"/>
    </xf>
    <xf numFmtId="0" fontId="1" fillId="0" borderId="0"/>
    <xf numFmtId="0" fontId="33" fillId="68" borderId="0">
      <alignment horizontal="center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33" fillId="68" borderId="0">
      <alignment horizontal="center"/>
    </xf>
    <xf numFmtId="183" fontId="33" fillId="68" borderId="0">
      <alignment horizontal="center"/>
    </xf>
    <xf numFmtId="0" fontId="117" fillId="6" borderId="0">
      <alignment horizontal="right"/>
    </xf>
    <xf numFmtId="0" fontId="117" fillId="6" borderId="0">
      <alignment horizontal="right"/>
    </xf>
    <xf numFmtId="0" fontId="33" fillId="6" borderId="0">
      <alignment horizontal="center" vertical="center"/>
    </xf>
    <xf numFmtId="0" fontId="33" fillId="6" borderId="0">
      <alignment horizontal="center" vertical="center"/>
    </xf>
    <xf numFmtId="178" fontId="33" fillId="6" borderId="0">
      <alignment horizontal="center" vertical="center"/>
    </xf>
    <xf numFmtId="178" fontId="33" fillId="6" borderId="0">
      <alignment horizontal="center" vertical="center"/>
    </xf>
    <xf numFmtId="0" fontId="117" fillId="6" borderId="0">
      <alignment horizontal="right"/>
    </xf>
    <xf numFmtId="0" fontId="27" fillId="69" borderId="0"/>
    <xf numFmtId="0" fontId="27" fillId="69" borderId="0"/>
    <xf numFmtId="183" fontId="27" fillId="69" borderId="0"/>
    <xf numFmtId="0" fontId="31" fillId="6" borderId="1"/>
    <xf numFmtId="0" fontId="31" fillId="6" borderId="1"/>
    <xf numFmtId="181" fontId="118" fillId="6" borderId="1"/>
    <xf numFmtId="0" fontId="31" fillId="6" borderId="1"/>
    <xf numFmtId="0" fontId="1" fillId="0" borderId="0"/>
    <xf numFmtId="0" fontId="27" fillId="69" borderId="0"/>
    <xf numFmtId="0" fontId="118" fillId="6" borderId="1"/>
    <xf numFmtId="0" fontId="118" fillId="6" borderId="1"/>
    <xf numFmtId="0" fontId="118" fillId="6" borderId="1"/>
    <xf numFmtId="0" fontId="118" fillId="6" borderId="1"/>
    <xf numFmtId="0" fontId="118" fillId="6" borderId="1"/>
    <xf numFmtId="0" fontId="27" fillId="69" borderId="0"/>
    <xf numFmtId="181" fontId="118" fillId="6" borderId="1"/>
    <xf numFmtId="0" fontId="118" fillId="6" borderId="1"/>
    <xf numFmtId="0" fontId="118" fillId="6" borderId="1"/>
    <xf numFmtId="0" fontId="31" fillId="6" borderId="1"/>
    <xf numFmtId="178" fontId="31" fillId="6" borderId="1"/>
    <xf numFmtId="178" fontId="31" fillId="6" borderId="1"/>
    <xf numFmtId="0" fontId="118" fillId="6" borderId="1"/>
    <xf numFmtId="0" fontId="119" fillId="4" borderId="0" applyBorder="0">
      <alignment horizontal="centerContinuous"/>
    </xf>
    <xf numFmtId="0" fontId="119" fillId="4" borderId="0" applyBorder="0">
      <alignment horizontal="centerContinuous"/>
    </xf>
    <xf numFmtId="183" fontId="119" fillId="4" borderId="0" applyBorder="0">
      <alignment horizontal="centerContinuous"/>
    </xf>
    <xf numFmtId="0" fontId="33" fillId="6" borderId="0" applyBorder="0">
      <alignment horizontal="centerContinuous"/>
    </xf>
    <xf numFmtId="0" fontId="1" fillId="0" borderId="0"/>
    <xf numFmtId="0" fontId="119" fillId="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9" fillId="4" borderId="0" applyBorder="0">
      <alignment horizontal="centerContinuous"/>
    </xf>
    <xf numFmtId="183" fontId="119" fillId="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33" fillId="6" borderId="0" applyBorder="0">
      <alignment horizontal="centerContinuous"/>
    </xf>
    <xf numFmtId="0" fontId="33" fillId="6" borderId="0" applyBorder="0">
      <alignment horizontal="centerContinuous"/>
    </xf>
    <xf numFmtId="178" fontId="33" fillId="6" borderId="0" applyBorder="0">
      <alignment horizontal="centerContinuous"/>
    </xf>
    <xf numFmtId="178" fontId="33" fillId="6" borderId="0" applyBorder="0">
      <alignment horizontal="centerContinuous"/>
    </xf>
    <xf numFmtId="0" fontId="118" fillId="0" borderId="0" applyBorder="0">
      <alignment horizontal="centerContinuous"/>
    </xf>
    <xf numFmtId="0" fontId="120" fillId="69" borderId="0" applyBorder="0">
      <alignment horizontal="centerContinuous"/>
    </xf>
    <xf numFmtId="0" fontId="120" fillId="69" borderId="0" applyBorder="0">
      <alignment horizontal="centerContinuous"/>
    </xf>
    <xf numFmtId="183" fontId="120" fillId="69" borderId="0" applyBorder="0">
      <alignment horizontal="centerContinuous"/>
    </xf>
    <xf numFmtId="0" fontId="121" fillId="69" borderId="0" applyBorder="0">
      <alignment horizontal="centerContinuous"/>
    </xf>
    <xf numFmtId="0" fontId="34" fillId="6" borderId="0" applyBorder="0">
      <alignment horizontal="centerContinuous"/>
    </xf>
    <xf numFmtId="0" fontId="1" fillId="0" borderId="0"/>
    <xf numFmtId="0" fontId="120" fillId="69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0" fillId="69" borderId="0" applyBorder="0">
      <alignment horizontal="centerContinuous"/>
    </xf>
    <xf numFmtId="183" fontId="120" fillId="69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22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3" fillId="70" borderId="49">
      <alignment horizontal="left"/>
    </xf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124" fillId="0" borderId="3">
      <alignment horizontal="center"/>
    </xf>
    <xf numFmtId="3" fontId="92" fillId="0" borderId="0" applyFont="0" applyFill="0" applyBorder="0" applyAlignment="0" applyProtection="0"/>
    <xf numFmtId="0" fontId="92" fillId="71" borderId="0" applyNumberFormat="0" applyFont="0" applyBorder="0" applyAlignment="0" applyProtection="0"/>
    <xf numFmtId="183" fontId="31" fillId="3" borderId="0">
      <alignment horizontal="center"/>
    </xf>
    <xf numFmtId="0" fontId="31" fillId="3" borderId="0">
      <alignment horizontal="center"/>
    </xf>
    <xf numFmtId="0" fontId="31" fillId="3" borderId="0">
      <alignment horizontal="center"/>
    </xf>
    <xf numFmtId="183" fontId="31" fillId="3" borderId="0">
      <alignment horizontal="center"/>
    </xf>
    <xf numFmtId="0" fontId="31" fillId="3" borderId="0">
      <alignment horizontal="center"/>
    </xf>
    <xf numFmtId="0" fontId="1" fillId="0" borderId="0"/>
    <xf numFmtId="0" fontId="1" fillId="0" borderId="0"/>
    <xf numFmtId="49" fontId="35" fillId="4" borderId="0">
      <alignment horizontal="center"/>
    </xf>
    <xf numFmtId="0" fontId="108" fillId="0" borderId="0"/>
    <xf numFmtId="183" fontId="28" fillId="5" borderId="0">
      <alignment horizontal="center"/>
    </xf>
    <xf numFmtId="0" fontId="28" fillId="5" borderId="0">
      <alignment horizontal="center"/>
    </xf>
    <xf numFmtId="0" fontId="28" fillId="5" borderId="0">
      <alignment horizontal="center"/>
    </xf>
    <xf numFmtId="183" fontId="28" fillId="5" borderId="0">
      <alignment horizontal="center"/>
    </xf>
    <xf numFmtId="0" fontId="1" fillId="0" borderId="0"/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1" fillId="0" borderId="0"/>
    <xf numFmtId="183" fontId="36" fillId="4" borderId="0">
      <alignment horizontal="left"/>
    </xf>
    <xf numFmtId="0" fontId="36" fillId="4" borderId="0">
      <alignment horizontal="left"/>
    </xf>
    <xf numFmtId="0" fontId="36" fillId="4" borderId="0">
      <alignment horizontal="left"/>
    </xf>
    <xf numFmtId="183" fontId="36" fillId="4" borderId="0">
      <alignment horizontal="left"/>
    </xf>
    <xf numFmtId="0" fontId="1" fillId="0" borderId="0"/>
    <xf numFmtId="0" fontId="1" fillId="0" borderId="0"/>
    <xf numFmtId="49" fontId="36" fillId="4" borderId="0">
      <alignment horizontal="center"/>
    </xf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0" fontId="1" fillId="0" borderId="0"/>
    <xf numFmtId="0" fontId="1" fillId="0" borderId="0"/>
    <xf numFmtId="49" fontId="36" fillId="4" borderId="0">
      <alignment horizontal="left"/>
    </xf>
    <xf numFmtId="183" fontId="27" fillId="5" borderId="0">
      <alignment horizontal="centerContinuous"/>
    </xf>
    <xf numFmtId="0" fontId="27" fillId="5" borderId="0">
      <alignment horizontal="centerContinuous"/>
    </xf>
    <xf numFmtId="0" fontId="27" fillId="5" borderId="0">
      <alignment horizontal="centerContinuous"/>
    </xf>
    <xf numFmtId="183" fontId="27" fillId="5" borderId="0">
      <alignment horizontal="centerContinuous"/>
    </xf>
    <xf numFmtId="0" fontId="1" fillId="0" borderId="0"/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0" fontId="1" fillId="0" borderId="0"/>
    <xf numFmtId="49" fontId="31" fillId="4" borderId="0">
      <alignment horizontal="left"/>
    </xf>
    <xf numFmtId="49" fontId="31" fillId="4" borderId="0">
      <alignment horizontal="left"/>
    </xf>
    <xf numFmtId="0" fontId="1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1" fillId="0" borderId="0"/>
    <xf numFmtId="183" fontId="36" fillId="2" borderId="0">
      <alignment horizontal="center"/>
    </xf>
    <xf numFmtId="0" fontId="36" fillId="2" borderId="0">
      <alignment horizontal="center"/>
    </xf>
    <xf numFmtId="0" fontId="36" fillId="2" borderId="0">
      <alignment horizontal="center"/>
    </xf>
    <xf numFmtId="183" fontId="36" fillId="2" borderId="0">
      <alignment horizontal="center"/>
    </xf>
    <xf numFmtId="0" fontId="1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1" fillId="0" borderId="0"/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4" fontId="8" fillId="69" borderId="0" applyNumberFormat="0" applyProtection="0">
      <alignment horizontal="left" vertical="center" indent="1"/>
    </xf>
    <xf numFmtId="4" fontId="8" fillId="69" borderId="0" applyNumberFormat="0" applyProtection="0">
      <alignment horizontal="left" vertical="center" indent="1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8" fillId="76" borderId="0" applyNumberFormat="0" applyProtection="0">
      <alignment horizontal="left" vertical="center" indent="1"/>
    </xf>
    <xf numFmtId="4" fontId="8" fillId="76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35" fillId="77" borderId="0" applyNumberFormat="0" applyProtection="0">
      <alignment horizontal="left" vertical="center" indent="1"/>
    </xf>
    <xf numFmtId="4" fontId="35" fillId="77" borderId="0" applyNumberFormat="0" applyProtection="0">
      <alignment horizontal="left" vertical="center" indent="1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7" fillId="73" borderId="0" applyNumberFormat="0" applyProtection="0">
      <alignment horizontal="left" vertical="center" indent="1"/>
    </xf>
    <xf numFmtId="4" fontId="7" fillId="73" borderId="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4" fontId="128" fillId="0" borderId="0" applyNumberFormat="0" applyProtection="0">
      <alignment horizontal="left" vertical="center" indent="1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192" fontId="129" fillId="0" borderId="52" applyNumberFormat="0" applyProtection="0">
      <alignment horizontal="right" vertical="center"/>
    </xf>
    <xf numFmtId="192" fontId="130" fillId="0" borderId="53" applyNumberFormat="0" applyProtection="0">
      <alignment horizontal="right" vertical="center"/>
    </xf>
    <xf numFmtId="0" fontId="130" fillId="80" borderId="54" applyNumberFormat="0" applyAlignment="0" applyProtection="0">
      <alignment horizontal="left" vertical="center" indent="1"/>
    </xf>
    <xf numFmtId="0" fontId="131" fillId="0" borderId="55" applyNumberFormat="0" applyFill="0" applyBorder="0" applyAlignment="0" applyProtection="0"/>
    <xf numFmtId="0" fontId="132" fillId="81" borderId="54" applyNumberFormat="0" applyAlignment="0" applyProtection="0">
      <alignment horizontal="left" vertical="center" indent="1"/>
    </xf>
    <xf numFmtId="0" fontId="132" fillId="82" borderId="54" applyNumberFormat="0" applyAlignment="0" applyProtection="0">
      <alignment horizontal="left" vertical="center" indent="1"/>
    </xf>
    <xf numFmtId="0" fontId="132" fillId="83" borderId="54" applyNumberFormat="0" applyAlignment="0" applyProtection="0">
      <alignment horizontal="left" vertical="center" indent="1"/>
    </xf>
    <xf numFmtId="0" fontId="132" fillId="84" borderId="54" applyNumberFormat="0" applyAlignment="0" applyProtection="0">
      <alignment horizontal="left" vertical="center" indent="1"/>
    </xf>
    <xf numFmtId="0" fontId="132" fillId="85" borderId="53" applyNumberFormat="0" applyAlignment="0" applyProtection="0">
      <alignment horizontal="left" vertical="center" indent="1"/>
    </xf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192" fontId="129" fillId="86" borderId="54" applyNumberFormat="0" applyAlignment="0" applyProtection="0">
      <alignment horizontal="left" vertical="center" indent="1"/>
    </xf>
    <xf numFmtId="0" fontId="130" fillId="80" borderId="53" applyNumberFormat="0" applyAlignment="0" applyProtection="0">
      <alignment horizontal="left" vertical="center" inden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8" fillId="0" borderId="45"/>
    <xf numFmtId="49" fontId="7" fillId="0" borderId="44">
      <alignment horizontal="center" vertical="center"/>
      <protection locked="0"/>
    </xf>
    <xf numFmtId="0" fontId="133" fillId="5" borderId="0"/>
    <xf numFmtId="181" fontId="96" fillId="0" borderId="0" applyNumberFormat="0" applyFill="0" applyBorder="0" applyAlignment="0" applyProtection="0"/>
    <xf numFmtId="0" fontId="7" fillId="0" borderId="2" applyNumberFormat="0" applyFont="0" applyFill="0" applyAlignment="0" applyProtection="0"/>
    <xf numFmtId="183" fontId="107" fillId="0" borderId="57" applyNumberFormat="0" applyFont="0" applyBorder="0" applyAlignment="0" applyProtection="0"/>
    <xf numFmtId="0" fontId="98" fillId="0" borderId="41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1" fillId="0" borderId="0"/>
    <xf numFmtId="0" fontId="7" fillId="0" borderId="2" applyNumberFormat="0" applyFont="0" applyFill="0" applyAlignment="0" applyProtection="0"/>
    <xf numFmtId="0" fontId="1" fillId="0" borderId="0"/>
    <xf numFmtId="183" fontId="107" fillId="0" borderId="57" applyNumberFormat="0" applyFont="0" applyBorder="0" applyAlignment="0" applyProtection="0"/>
    <xf numFmtId="0" fontId="114" fillId="0" borderId="58"/>
    <xf numFmtId="0" fontId="114" fillId="0" borderId="45"/>
    <xf numFmtId="0" fontId="115" fillId="0" borderId="0"/>
    <xf numFmtId="0" fontId="115" fillId="0" borderId="0"/>
    <xf numFmtId="183" fontId="38" fillId="4" borderId="0">
      <alignment horizontal="center"/>
    </xf>
    <xf numFmtId="0" fontId="38" fillId="4" borderId="0">
      <alignment horizontal="center"/>
    </xf>
    <xf numFmtId="183" fontId="38" fillId="4" borderId="0">
      <alignment horizontal="center"/>
    </xf>
    <xf numFmtId="0" fontId="1" fillId="0" borderId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165" fontId="0" fillId="0" borderId="0" xfId="0" applyNumberFormat="1"/>
    <xf numFmtId="170" fontId="0" fillId="0" borderId="0" xfId="6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6" applyFont="1" applyAlignment="1">
      <alignment horizontal="right"/>
    </xf>
    <xf numFmtId="0" fontId="5" fillId="0" borderId="0" xfId="0" applyFont="1" applyBorder="1"/>
    <xf numFmtId="164" fontId="6" fillId="0" borderId="0" xfId="8" applyNumberFormat="1" applyFont="1"/>
    <xf numFmtId="165" fontId="6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5" fillId="0" borderId="0" xfId="6" applyFont="1" applyBorder="1" applyAlignment="1">
      <alignment horizontal="right"/>
    </xf>
    <xf numFmtId="170" fontId="5" fillId="0" borderId="0" xfId="6" applyNumberFormat="1" applyFont="1" applyBorder="1" applyAlignment="1">
      <alignment horizontal="right" wrapText="1"/>
    </xf>
    <xf numFmtId="165" fontId="5" fillId="0" borderId="0" xfId="6" applyNumberFormat="1" applyFont="1" applyBorder="1" applyAlignment="1">
      <alignment horizontal="right"/>
    </xf>
    <xf numFmtId="43" fontId="5" fillId="0" borderId="0" xfId="6" applyFont="1" applyBorder="1" applyAlignment="1">
      <alignment horizontal="right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9" fillId="0" borderId="0" xfId="0" applyFont="1"/>
    <xf numFmtId="43" fontId="5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5" fillId="0" borderId="3" xfId="6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/>
    <xf numFmtId="0" fontId="8" fillId="0" borderId="4" xfId="0" applyFont="1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horizontal="right" wrapText="1"/>
    </xf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2" fontId="13" fillId="0" borderId="0" xfId="0" applyNumberFormat="1" applyFont="1" applyFill="1"/>
    <xf numFmtId="164" fontId="13" fillId="0" borderId="0" xfId="8" applyNumberFormat="1" applyFont="1"/>
    <xf numFmtId="165" fontId="13" fillId="0" borderId="0" xfId="6" applyNumberFormat="1" applyFont="1"/>
    <xf numFmtId="164" fontId="13" fillId="0" borderId="0" xfId="0" applyNumberFormat="1" applyFont="1"/>
    <xf numFmtId="0" fontId="14" fillId="0" borderId="0" xfId="0" applyFont="1" applyFill="1"/>
    <xf numFmtId="165" fontId="13" fillId="0" borderId="0" xfId="0" applyNumberFormat="1" applyFont="1"/>
    <xf numFmtId="43" fontId="13" fillId="0" borderId="0" xfId="6" applyFont="1"/>
    <xf numFmtId="0" fontId="13" fillId="0" borderId="0" xfId="0" quotePrefix="1" applyFont="1" applyFill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4" fillId="0" borderId="3" xfId="0" applyFont="1" applyFill="1" applyBorder="1" applyAlignment="1">
      <alignment horizontal="right"/>
    </xf>
    <xf numFmtId="10" fontId="13" fillId="0" borderId="0" xfId="30" applyNumberFormat="1" applyFont="1"/>
    <xf numFmtId="43" fontId="13" fillId="0" borderId="0" xfId="0" applyNumberFormat="1" applyFont="1"/>
    <xf numFmtId="164" fontId="13" fillId="0" borderId="0" xfId="8" applyNumberFormat="1" applyFont="1" applyFill="1"/>
    <xf numFmtId="0" fontId="13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right"/>
    </xf>
    <xf numFmtId="165" fontId="13" fillId="0" borderId="0" xfId="6" applyNumberFormat="1" applyFont="1" applyFill="1"/>
    <xf numFmtId="164" fontId="13" fillId="0" borderId="0" xfId="0" applyNumberFormat="1" applyFont="1" applyFill="1"/>
    <xf numFmtId="166" fontId="13" fillId="0" borderId="0" xfId="0" applyNumberFormat="1" applyFont="1" applyFill="1"/>
    <xf numFmtId="43" fontId="13" fillId="0" borderId="0" xfId="6" applyFont="1" applyFill="1"/>
    <xf numFmtId="169" fontId="13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6" fillId="0" borderId="0" xfId="6" applyFont="1"/>
    <xf numFmtId="165" fontId="4" fillId="0" borderId="0" xfId="6" applyNumberFormat="1" applyFont="1"/>
    <xf numFmtId="43" fontId="4" fillId="0" borderId="0" xfId="6" applyFont="1"/>
    <xf numFmtId="165" fontId="6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Alignment="1">
      <alignment horizontal="left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70" fontId="13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165" fontId="13" fillId="0" borderId="0" xfId="0" applyNumberFormat="1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165" fontId="25" fillId="0" borderId="0" xfId="6" applyNumberFormat="1" applyFont="1"/>
    <xf numFmtId="165" fontId="25" fillId="0" borderId="0" xfId="0" applyNumberFormat="1" applyFont="1"/>
    <xf numFmtId="43" fontId="25" fillId="0" borderId="0" xfId="6" applyNumberFormat="1" applyFont="1"/>
    <xf numFmtId="44" fontId="25" fillId="0" borderId="0" xfId="8" applyFont="1"/>
    <xf numFmtId="1" fontId="25" fillId="0" borderId="0" xfId="0" applyNumberFormat="1" applyFont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164" fontId="25" fillId="0" borderId="0" xfId="8" applyNumberFormat="1" applyFont="1"/>
    <xf numFmtId="164" fontId="25" fillId="0" borderId="0" xfId="8" applyNumberFormat="1" applyFont="1" applyFill="1"/>
    <xf numFmtId="164" fontId="25" fillId="0" borderId="0" xfId="8" applyNumberFormat="1" applyFont="1" applyFill="1" applyBorder="1"/>
    <xf numFmtId="165" fontId="25" fillId="0" borderId="0" xfId="6" applyNumberFormat="1" applyFont="1" applyFill="1" applyBorder="1" applyAlignment="1">
      <alignment horizontal="right"/>
    </xf>
    <xf numFmtId="43" fontId="25" fillId="0" borderId="0" xfId="6" applyFont="1"/>
    <xf numFmtId="43" fontId="25" fillId="0" borderId="0" xfId="0" applyNumberFormat="1" applyFont="1"/>
    <xf numFmtId="171" fontId="25" fillId="0" borderId="0" xfId="0" applyNumberFormat="1" applyFont="1"/>
    <xf numFmtId="164" fontId="26" fillId="0" borderId="0" xfId="8" applyNumberFormat="1" applyFont="1"/>
    <xf numFmtId="165" fontId="25" fillId="0" borderId="0" xfId="8" applyNumberFormat="1" applyFont="1"/>
    <xf numFmtId="4" fontId="25" fillId="0" borderId="0" xfId="0" applyNumberFormat="1" applyFont="1"/>
    <xf numFmtId="43" fontId="13" fillId="0" borderId="0" xfId="0" applyNumberFormat="1" applyFont="1" applyFill="1"/>
    <xf numFmtId="164" fontId="13" fillId="0" borderId="4" xfId="8" applyNumberFormat="1" applyFont="1" applyFill="1" applyBorder="1"/>
    <xf numFmtId="164" fontId="13" fillId="0" borderId="4" xfId="0" applyNumberFormat="1" applyFont="1" applyFill="1" applyBorder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10" fontId="14" fillId="0" borderId="0" xfId="30" applyNumberFormat="1" applyFont="1" applyFill="1" applyBorder="1"/>
    <xf numFmtId="0" fontId="13" fillId="0" borderId="0" xfId="0" applyFont="1" applyFill="1" applyBorder="1" applyAlignment="1">
      <alignment horizontal="center"/>
    </xf>
    <xf numFmtId="168" fontId="13" fillId="0" borderId="0" xfId="6" applyNumberFormat="1" applyFont="1" applyFill="1" applyBorder="1"/>
    <xf numFmtId="165" fontId="13" fillId="0" borderId="0" xfId="6" applyNumberFormat="1" applyFont="1" applyFill="1" applyBorder="1"/>
    <xf numFmtId="165" fontId="13" fillId="0" borderId="4" xfId="6" applyNumberFormat="1" applyFont="1" applyFill="1" applyBorder="1"/>
    <xf numFmtId="0" fontId="13" fillId="0" borderId="4" xfId="0" applyFont="1" applyFill="1" applyBorder="1" applyAlignment="1">
      <alignment horizontal="center"/>
    </xf>
    <xf numFmtId="10" fontId="13" fillId="0" borderId="0" xfId="0" applyNumberFormat="1" applyFont="1" applyFill="1"/>
    <xf numFmtId="0" fontId="14" fillId="0" borderId="5" xfId="0" applyFont="1" applyFill="1" applyBorder="1"/>
    <xf numFmtId="10" fontId="14" fillId="0" borderId="7" xfId="30" applyNumberFormat="1" applyFont="1" applyFill="1" applyBorder="1"/>
    <xf numFmtId="10" fontId="13" fillId="0" borderId="0" xfId="30" applyNumberFormat="1" applyFont="1" applyFill="1"/>
    <xf numFmtId="164" fontId="13" fillId="0" borderId="0" xfId="0" applyNumberFormat="1" applyFont="1" applyFill="1" applyBorder="1"/>
    <xf numFmtId="0" fontId="13" fillId="7" borderId="0" xfId="0" applyFont="1" applyFill="1"/>
    <xf numFmtId="164" fontId="13" fillId="7" borderId="0" xfId="0" applyNumberFormat="1" applyFont="1" applyFill="1"/>
    <xf numFmtId="0" fontId="13" fillId="7" borderId="0" xfId="0" applyFont="1" applyFill="1" applyAlignment="1">
      <alignment horizontal="center"/>
    </xf>
    <xf numFmtId="164" fontId="13" fillId="7" borderId="0" xfId="8" applyNumberFormat="1" applyFont="1" applyFill="1"/>
    <xf numFmtId="10" fontId="13" fillId="7" borderId="0" xfId="30" applyNumberFormat="1" applyFont="1" applyFill="1"/>
    <xf numFmtId="165" fontId="13" fillId="7" borderId="0" xfId="0" applyNumberFormat="1" applyFont="1" applyFill="1"/>
    <xf numFmtId="10" fontId="14" fillId="7" borderId="7" xfId="30" applyNumberFormat="1" applyFont="1" applyFill="1" applyBorder="1"/>
    <xf numFmtId="0" fontId="14" fillId="7" borderId="0" xfId="0" applyFont="1" applyFill="1" applyBorder="1"/>
    <xf numFmtId="170" fontId="13" fillId="0" borderId="0" xfId="0" applyNumberFormat="1" applyFont="1" applyFill="1" applyBorder="1"/>
    <xf numFmtId="0" fontId="13" fillId="0" borderId="0" xfId="0" applyNumberFormat="1" applyFont="1" applyFill="1"/>
    <xf numFmtId="165" fontId="13" fillId="8" borderId="0" xfId="6" applyNumberFormat="1" applyFont="1" applyFill="1"/>
    <xf numFmtId="164" fontId="13" fillId="8" borderId="0" xfId="8" applyNumberFormat="1" applyFont="1" applyFill="1"/>
    <xf numFmtId="0" fontId="13" fillId="0" borderId="0" xfId="0" applyFont="1" applyFill="1" applyAlignment="1">
      <alignment horizontal="left"/>
    </xf>
    <xf numFmtId="0" fontId="13" fillId="8" borderId="0" xfId="0" applyFont="1" applyFill="1" applyAlignment="1">
      <alignment horizontal="center"/>
    </xf>
    <xf numFmtId="0" fontId="13" fillId="8" borderId="0" xfId="0" applyFont="1" applyFill="1"/>
    <xf numFmtId="171" fontId="13" fillId="8" borderId="0" xfId="0" applyNumberFormat="1" applyFont="1" applyFill="1"/>
    <xf numFmtId="164" fontId="13" fillId="8" borderId="0" xfId="0" applyNumberFormat="1" applyFont="1" applyFill="1"/>
    <xf numFmtId="169" fontId="13" fillId="8" borderId="0" xfId="6" applyNumberFormat="1" applyFont="1" applyFill="1"/>
    <xf numFmtId="43" fontId="13" fillId="8" borderId="0" xfId="6" applyFont="1" applyFill="1"/>
    <xf numFmtId="167" fontId="13" fillId="8" borderId="0" xfId="0" applyNumberFormat="1" applyFont="1" applyFill="1"/>
    <xf numFmtId="0" fontId="13" fillId="9" borderId="0" xfId="0" applyFont="1" applyFill="1"/>
    <xf numFmtId="165" fontId="13" fillId="9" borderId="0" xfId="6" applyNumberFormat="1" applyFont="1" applyFill="1"/>
    <xf numFmtId="0" fontId="13" fillId="9" borderId="0" xfId="0" applyFont="1" applyFill="1" applyAlignment="1">
      <alignment horizontal="center"/>
    </xf>
    <xf numFmtId="43" fontId="13" fillId="9" borderId="0" xfId="0" applyNumberFormat="1" applyFont="1" applyFill="1"/>
    <xf numFmtId="164" fontId="13" fillId="9" borderId="0" xfId="8" applyNumberFormat="1" applyFont="1" applyFill="1"/>
    <xf numFmtId="165" fontId="13" fillId="9" borderId="0" xfId="0" applyNumberFormat="1" applyFont="1" applyFill="1"/>
    <xf numFmtId="170" fontId="13" fillId="9" borderId="0" xfId="6" applyNumberFormat="1" applyFont="1" applyFill="1"/>
    <xf numFmtId="169" fontId="13" fillId="9" borderId="0" xfId="6" applyNumberFormat="1" applyFont="1" applyFill="1"/>
    <xf numFmtId="164" fontId="13" fillId="9" borderId="0" xfId="0" applyNumberFormat="1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/>
    <xf numFmtId="0" fontId="5" fillId="0" borderId="13" xfId="0" applyFont="1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quotePrefix="1" applyFont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3" fillId="0" borderId="12" xfId="0" applyFont="1" applyBorder="1"/>
    <xf numFmtId="0" fontId="7" fillId="0" borderId="11" xfId="0" quotePrefix="1" applyFont="1" applyFill="1" applyBorder="1"/>
    <xf numFmtId="164" fontId="7" fillId="0" borderId="13" xfId="8" applyNumberFormat="1" applyFont="1" applyBorder="1" applyAlignment="1">
      <alignment horizontal="center"/>
    </xf>
    <xf numFmtId="165" fontId="7" fillId="0" borderId="0" xfId="0" applyNumberFormat="1" applyFont="1" applyFill="1"/>
    <xf numFmtId="0" fontId="7" fillId="0" borderId="14" xfId="0" quotePrefix="1" applyFont="1" applyBorder="1"/>
    <xf numFmtId="0" fontId="7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3" fillId="0" borderId="0" xfId="0" applyFont="1"/>
    <xf numFmtId="0" fontId="8" fillId="0" borderId="0" xfId="0" applyFont="1" applyFill="1" applyBorder="1"/>
    <xf numFmtId="10" fontId="13" fillId="0" borderId="0" xfId="30" applyNumberFormat="1" applyFont="1" applyFill="1" applyBorder="1"/>
    <xf numFmtId="164" fontId="13" fillId="0" borderId="0" xfId="30" applyNumberFormat="1" applyFont="1" applyFill="1"/>
    <xf numFmtId="0" fontId="15" fillId="0" borderId="0" xfId="0" applyFont="1" applyFill="1" applyBorder="1"/>
    <xf numFmtId="44" fontId="13" fillId="0" borderId="0" xfId="8" applyFont="1" applyFill="1" applyBorder="1"/>
    <xf numFmtId="44" fontId="13" fillId="0" borderId="0" xfId="0" applyNumberFormat="1" applyFont="1" applyFill="1" applyBorder="1"/>
    <xf numFmtId="10" fontId="13" fillId="0" borderId="0" xfId="0" applyNumberFormat="1" applyFont="1" applyFill="1" applyBorder="1"/>
    <xf numFmtId="0" fontId="8" fillId="0" borderId="0" xfId="0" applyFont="1" applyBorder="1" applyAlignment="1"/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2" xfId="0" applyFont="1" applyFill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9" fillId="0" borderId="0" xfId="0" applyFont="1" applyBorder="1"/>
    <xf numFmtId="166" fontId="13" fillId="0" borderId="0" xfId="6" applyNumberFormat="1" applyFont="1" applyFill="1"/>
    <xf numFmtId="166" fontId="3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0" fontId="13" fillId="10" borderId="0" xfId="0" applyFont="1" applyFill="1"/>
    <xf numFmtId="0" fontId="5" fillId="0" borderId="3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2" fillId="0" borderId="3" xfId="0" applyFont="1" applyBorder="1" applyAlignment="1">
      <alignment horizontal="right"/>
    </xf>
    <xf numFmtId="43" fontId="0" fillId="0" borderId="0" xfId="6" applyFont="1" applyBorder="1"/>
    <xf numFmtId="10" fontId="13" fillId="0" borderId="0" xfId="0" applyNumberFormat="1" applyFont="1"/>
    <xf numFmtId="44" fontId="40" fillId="0" borderId="0" xfId="8" applyFont="1" applyFill="1"/>
    <xf numFmtId="0" fontId="0" fillId="0" borderId="0" xfId="0" applyFill="1"/>
    <xf numFmtId="165" fontId="13" fillId="0" borderId="0" xfId="8" applyNumberFormat="1" applyFont="1" applyFill="1"/>
    <xf numFmtId="17" fontId="13" fillId="0" borderId="0" xfId="0" applyNumberFormat="1" applyFont="1"/>
    <xf numFmtId="165" fontId="10" fillId="0" borderId="0" xfId="6" applyNumberFormat="1" applyFont="1" applyFill="1"/>
    <xf numFmtId="165" fontId="25" fillId="0" borderId="0" xfId="6" applyNumberFormat="1" applyFont="1" applyFill="1"/>
    <xf numFmtId="165" fontId="25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3" fillId="0" borderId="0" xfId="8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164" fontId="0" fillId="0" borderId="0" xfId="0" applyNumberFormat="1"/>
    <xf numFmtId="43" fontId="5" fillId="0" borderId="0" xfId="6" applyFont="1" applyBorder="1" applyAlignment="1"/>
    <xf numFmtId="165" fontId="0" fillId="0" borderId="0" xfId="6" quotePrefix="1" applyNumberFormat="1" applyFont="1"/>
    <xf numFmtId="0" fontId="13" fillId="0" borderId="0" xfId="0" applyFont="1" applyFill="1" applyAlignment="1">
      <alignment horizontal="right"/>
    </xf>
    <xf numFmtId="44" fontId="13" fillId="0" borderId="0" xfId="8" applyNumberFormat="1" applyFont="1" applyFill="1"/>
    <xf numFmtId="0" fontId="5" fillId="0" borderId="18" xfId="0" applyFont="1" applyBorder="1" applyAlignment="1">
      <alignment horizontal="center"/>
    </xf>
    <xf numFmtId="0" fontId="3" fillId="0" borderId="10" xfId="0" applyFont="1" applyBorder="1"/>
    <xf numFmtId="0" fontId="3" fillId="0" borderId="13" xfId="0" applyFont="1" applyBorder="1"/>
    <xf numFmtId="0" fontId="14" fillId="0" borderId="15" xfId="0" applyFont="1" applyBorder="1" applyAlignment="1">
      <alignment horizontal="center"/>
    </xf>
    <xf numFmtId="165" fontId="3" fillId="0" borderId="11" xfId="6" applyNumberFormat="1" applyFont="1" applyFill="1" applyBorder="1"/>
    <xf numFmtId="0" fontId="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44" fontId="3" fillId="0" borderId="11" xfId="8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4" fillId="0" borderId="0" xfId="0" quotePrefix="1" applyFont="1" applyFill="1"/>
    <xf numFmtId="0" fontId="15" fillId="0" borderId="0" xfId="0" quotePrefix="1" applyFont="1" applyFill="1" applyAlignment="1">
      <alignment horizontal="left"/>
    </xf>
    <xf numFmtId="0" fontId="13" fillId="0" borderId="0" xfId="6" applyNumberFormat="1" applyFont="1" applyFill="1"/>
    <xf numFmtId="0" fontId="13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5" fillId="0" borderId="0" xfId="30" applyNumberFormat="1" applyFont="1" applyFill="1"/>
    <xf numFmtId="43" fontId="25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0" fontId="14" fillId="0" borderId="18" xfId="0" applyFont="1" applyFill="1" applyBorder="1"/>
    <xf numFmtId="174" fontId="13" fillId="0" borderId="0" xfId="0" applyNumberFormat="1" applyFont="1" applyFill="1"/>
    <xf numFmtId="165" fontId="13" fillId="11" borderId="0" xfId="6" applyNumberFormat="1" applyFont="1" applyFill="1"/>
    <xf numFmtId="165" fontId="13" fillId="11" borderId="4" xfId="6" applyNumberFormat="1" applyFont="1" applyFill="1" applyBorder="1"/>
    <xf numFmtId="0" fontId="13" fillId="0" borderId="0" xfId="0" quotePrefix="1" applyFont="1" applyFill="1" applyBorder="1"/>
    <xf numFmtId="171" fontId="13" fillId="0" borderId="0" xfId="6" applyNumberFormat="1" applyFont="1" applyFill="1"/>
    <xf numFmtId="164" fontId="13" fillId="11" borderId="0" xfId="8" applyNumberFormat="1" applyFont="1" applyFill="1"/>
    <xf numFmtId="0" fontId="5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5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3" fillId="0" borderId="0" xfId="6" applyNumberFormat="1" applyFont="1" applyFill="1"/>
    <xf numFmtId="173" fontId="0" fillId="0" borderId="0" xfId="0" applyNumberFormat="1"/>
    <xf numFmtId="164" fontId="13" fillId="0" borderId="0" xfId="0" applyNumberFormat="1" applyFont="1" applyBorder="1"/>
    <xf numFmtId="164" fontId="13" fillId="0" borderId="0" xfId="8" applyNumberFormat="1" applyFont="1" applyFill="1" applyBorder="1"/>
    <xf numFmtId="164" fontId="13" fillId="0" borderId="0" xfId="8" applyNumberFormat="1" applyFont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43" fontId="13" fillId="0" borderId="0" xfId="6" applyFont="1" applyFill="1" applyBorder="1"/>
    <xf numFmtId="170" fontId="13" fillId="0" borderId="0" xfId="6" applyNumberFormat="1" applyFont="1" applyFill="1" applyBorder="1"/>
    <xf numFmtId="170" fontId="13" fillId="0" borderId="0" xfId="0" applyNumberFormat="1" applyFont="1" applyBorder="1"/>
    <xf numFmtId="171" fontId="13" fillId="0" borderId="0" xfId="0" applyNumberFormat="1" applyFont="1" applyFill="1" applyBorder="1"/>
    <xf numFmtId="44" fontId="13" fillId="0" borderId="0" xfId="8" applyFont="1" applyBorder="1"/>
    <xf numFmtId="175" fontId="13" fillId="0" borderId="0" xfId="0" applyNumberFormat="1" applyFont="1" applyFill="1" applyBorder="1"/>
    <xf numFmtId="2" fontId="13" fillId="0" borderId="0" xfId="0" applyNumberFormat="1" applyFont="1" applyFill="1" applyBorder="1"/>
    <xf numFmtId="0" fontId="13" fillId="0" borderId="0" xfId="0" quotePrefix="1" applyFont="1" applyFill="1" applyBorder="1" applyAlignment="1">
      <alignment horizontal="left"/>
    </xf>
    <xf numFmtId="170" fontId="17" fillId="0" borderId="0" xfId="0" applyNumberFormat="1" applyFont="1" applyFill="1" applyBorder="1"/>
    <xf numFmtId="170" fontId="17" fillId="0" borderId="0" xfId="0" applyNumberFormat="1" applyFont="1" applyBorder="1"/>
    <xf numFmtId="43" fontId="13" fillId="0" borderId="0" xfId="0" applyNumberFormat="1" applyFont="1" applyBorder="1"/>
    <xf numFmtId="43" fontId="17" fillId="0" borderId="0" xfId="6" applyFont="1" applyFill="1" applyBorder="1"/>
    <xf numFmtId="43" fontId="17" fillId="0" borderId="0" xfId="6" applyNumberFormat="1" applyFont="1" applyFill="1" applyBorder="1"/>
    <xf numFmtId="43" fontId="17" fillId="0" borderId="0" xfId="6" applyFont="1" applyBorder="1"/>
    <xf numFmtId="173" fontId="13" fillId="0" borderId="0" xfId="8" applyNumberFormat="1" applyFont="1" applyFill="1" applyBorder="1"/>
    <xf numFmtId="0" fontId="4" fillId="0" borderId="0" xfId="0" applyFont="1" applyFill="1" applyAlignment="1">
      <alignment horizontal="center"/>
    </xf>
    <xf numFmtId="165" fontId="25" fillId="0" borderId="0" xfId="6" applyNumberFormat="1" applyFont="1" applyFill="1" applyBorder="1"/>
    <xf numFmtId="165" fontId="25" fillId="0" borderId="0" xfId="6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67" fontId="25" fillId="0" borderId="0" xfId="6" applyNumberFormat="1" applyFont="1" applyFill="1" applyBorder="1" applyAlignment="1">
      <alignment horizontal="right"/>
    </xf>
    <xf numFmtId="44" fontId="25" fillId="0" borderId="0" xfId="8" applyFont="1" applyFill="1"/>
    <xf numFmtId="164" fontId="25" fillId="0" borderId="0" xfId="8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72" fontId="25" fillId="0" borderId="0" xfId="8" applyNumberFormat="1" applyFont="1" applyFill="1"/>
    <xf numFmtId="1" fontId="25" fillId="0" borderId="0" xfId="0" applyNumberFormat="1" applyFont="1" applyFill="1"/>
    <xf numFmtId="165" fontId="4" fillId="0" borderId="0" xfId="6" applyNumberFormat="1" applyFont="1" applyFill="1" applyAlignment="1">
      <alignment horizontal="right"/>
    </xf>
    <xf numFmtId="0" fontId="25" fillId="0" borderId="0" xfId="0" applyFont="1" applyFill="1" applyBorder="1" applyAlignment="1">
      <alignment horizontal="right"/>
    </xf>
    <xf numFmtId="44" fontId="25" fillId="0" borderId="0" xfId="8" applyFont="1" applyFill="1" applyBorder="1" applyAlignment="1">
      <alignment horizontal="right"/>
    </xf>
    <xf numFmtId="10" fontId="25" fillId="0" borderId="0" xfId="30" applyNumberFormat="1" applyFont="1" applyFill="1" applyAlignment="1">
      <alignment horizontal="right"/>
    </xf>
    <xf numFmtId="165" fontId="4" fillId="0" borderId="0" xfId="6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14" fillId="0" borderId="4" xfId="0" applyFont="1" applyFill="1" applyBorder="1"/>
    <xf numFmtId="165" fontId="25" fillId="0" borderId="4" xfId="6" applyNumberFormat="1" applyFont="1" applyFill="1" applyBorder="1" applyAlignment="1">
      <alignment horizontal="right"/>
    </xf>
    <xf numFmtId="165" fontId="25" fillId="0" borderId="4" xfId="0" applyNumberFormat="1" applyFont="1" applyFill="1" applyBorder="1" applyAlignment="1">
      <alignment horizontal="right"/>
    </xf>
    <xf numFmtId="164" fontId="3" fillId="0" borderId="0" xfId="8" applyNumberFormat="1" applyFont="1" applyFill="1" applyAlignment="1">
      <alignment horizontal="right"/>
    </xf>
    <xf numFmtId="165" fontId="25" fillId="0" borderId="19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5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9" fontId="0" fillId="0" borderId="0" xfId="0" applyNumberFormat="1" applyBorder="1"/>
    <xf numFmtId="0" fontId="14" fillId="0" borderId="6" xfId="0" applyFont="1" applyBorder="1" applyAlignment="1">
      <alignment horizontal="right" wrapText="1"/>
    </xf>
    <xf numFmtId="0" fontId="13" fillId="0" borderId="0" xfId="0" applyFont="1" applyBorder="1" applyAlignment="1"/>
    <xf numFmtId="0" fontId="2" fillId="0" borderId="0" xfId="0" applyFont="1" applyFill="1" applyAlignment="1">
      <alignment wrapText="1"/>
    </xf>
    <xf numFmtId="164" fontId="13" fillId="0" borderId="0" xfId="0" applyNumberFormat="1" applyFont="1" applyFill="1" applyBorder="1" applyAlignment="1">
      <alignment horizontal="center"/>
    </xf>
    <xf numFmtId="10" fontId="13" fillId="0" borderId="11" xfId="30" applyNumberFormat="1" applyFont="1" applyFill="1" applyBorder="1" applyAlignment="1">
      <alignment horizontal="right"/>
    </xf>
    <xf numFmtId="10" fontId="13" fillId="0" borderId="0" xfId="30" applyNumberFormat="1" applyFont="1" applyBorder="1" applyAlignment="1">
      <alignment horizontal="right"/>
    </xf>
    <xf numFmtId="165" fontId="13" fillId="0" borderId="11" xfId="6" applyNumberFormat="1" applyFont="1" applyFill="1" applyBorder="1" applyAlignment="1">
      <alignment horizontal="center"/>
    </xf>
    <xf numFmtId="165" fontId="13" fillId="0" borderId="11" xfId="6" applyNumberFormat="1" applyFont="1" applyFill="1" applyBorder="1"/>
    <xf numFmtId="0" fontId="3" fillId="0" borderId="0" xfId="0" applyFont="1" applyFill="1" applyBorder="1"/>
    <xf numFmtId="168" fontId="0" fillId="0" borderId="0" xfId="6" applyNumberFormat="1" applyFont="1"/>
    <xf numFmtId="0" fontId="7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12" fillId="0" borderId="0" xfId="0" applyFont="1" applyBorder="1" applyAlignment="1">
      <alignment horizontal="center"/>
    </xf>
    <xf numFmtId="165" fontId="3" fillId="0" borderId="0" xfId="6" applyNumberFormat="1" applyFont="1" applyBorder="1" applyAlignment="1">
      <alignment horizontal="center"/>
    </xf>
    <xf numFmtId="165" fontId="13" fillId="0" borderId="0" xfId="6" applyNumberFormat="1" applyFont="1" applyBorder="1" applyAlignment="1">
      <alignment horizontal="center"/>
    </xf>
    <xf numFmtId="165" fontId="13" fillId="0" borderId="0" xfId="6" applyNumberFormat="1" applyFont="1" applyBorder="1"/>
    <xf numFmtId="173" fontId="13" fillId="0" borderId="3" xfId="8" applyNumberFormat="1" applyFont="1" applyBorder="1"/>
    <xf numFmtId="44" fontId="13" fillId="0" borderId="3" xfId="8" applyFont="1" applyBorder="1"/>
    <xf numFmtId="164" fontId="13" fillId="0" borderId="0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2" xfId="0" applyFont="1" applyBorder="1"/>
    <xf numFmtId="0" fontId="2" fillId="0" borderId="17" xfId="0" applyFont="1" applyBorder="1"/>
    <xf numFmtId="0" fontId="3" fillId="0" borderId="9" xfId="0" applyFont="1" applyBorder="1"/>
    <xf numFmtId="0" fontId="10" fillId="0" borderId="12" xfId="0" applyFont="1" applyFill="1" applyBorder="1"/>
    <xf numFmtId="0" fontId="3" fillId="0" borderId="17" xfId="0" applyFont="1" applyBorder="1"/>
    <xf numFmtId="44" fontId="0" fillId="0" borderId="0" xfId="0" applyNumberFormat="1"/>
    <xf numFmtId="44" fontId="0" fillId="0" borderId="0" xfId="8" applyFont="1"/>
    <xf numFmtId="0" fontId="3" fillId="0" borderId="18" xfId="0" applyFont="1" applyBorder="1"/>
    <xf numFmtId="2" fontId="0" fillId="0" borderId="6" xfId="0" applyNumberFormat="1" applyBorder="1"/>
    <xf numFmtId="169" fontId="0" fillId="0" borderId="6" xfId="6" applyNumberFormat="1" applyFont="1" applyBorder="1"/>
    <xf numFmtId="44" fontId="13" fillId="9" borderId="7" xfId="8" applyFont="1" applyFill="1" applyBorder="1"/>
    <xf numFmtId="0" fontId="1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13" fillId="0" borderId="7" xfId="8" applyFont="1" applyFill="1" applyBorder="1"/>
    <xf numFmtId="0" fontId="1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5Plan/Utility%20Plan/Margin/100504%20Version%20of%20GM%202005%20Plan/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Documents%20and%20Settings/e011661/Local%20Settings/Temporary%20Internet%20Files/OLK29/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36.140625" style="213" customWidth="1"/>
    <col min="3" max="3" width="30.7109375" hidden="1" customWidth="1"/>
    <col min="4" max="4" width="20.140625" hidden="1" customWidth="1"/>
    <col min="5" max="5" width="19.42578125" hidden="1" customWidth="1"/>
    <col min="6" max="6" width="19.140625" hidden="1" customWidth="1"/>
    <col min="7" max="7" width="20.28515625" hidden="1" customWidth="1"/>
    <col min="8" max="8" width="19.7109375" hidden="1" customWidth="1"/>
    <col min="9" max="9" width="23.85546875" customWidth="1"/>
    <col min="10" max="10" width="21.140625" customWidth="1"/>
    <col min="11" max="11" width="23" customWidth="1"/>
    <col min="12" max="12" width="17.85546875" hidden="1" customWidth="1"/>
    <col min="13" max="16" width="0" hidden="1" customWidth="1"/>
  </cols>
  <sheetData>
    <row r="1" spans="1:14" ht="15.75">
      <c r="A1" s="380" t="s">
        <v>617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221"/>
      <c r="M1" s="221"/>
      <c r="N1" s="221"/>
    </row>
    <row r="2" spans="1:14" ht="15.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183"/>
      <c r="M2" s="183"/>
      <c r="N2" s="183"/>
    </row>
    <row r="3" spans="1:14" ht="15.75">
      <c r="A3" s="380" t="s">
        <v>1385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221"/>
      <c r="M3" s="221"/>
      <c r="N3" s="221"/>
    </row>
    <row r="4" spans="1:14" ht="15.75">
      <c r="A4" s="380" t="s">
        <v>1358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221"/>
      <c r="M4" s="221"/>
      <c r="N4" s="221"/>
    </row>
    <row r="5" spans="1:14" ht="15.75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0"/>
      <c r="M5" s="20"/>
      <c r="N5" s="20"/>
    </row>
    <row r="6" spans="1:14" ht="15.75">
      <c r="A6" s="380" t="s">
        <v>1189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221"/>
      <c r="M6" s="221"/>
      <c r="N6" s="221"/>
    </row>
    <row r="7" spans="1:14" ht="15.75" thickBot="1"/>
    <row r="8" spans="1:14" ht="15.75" thickBot="1">
      <c r="A8" s="185"/>
      <c r="B8" s="363"/>
      <c r="C8" s="186"/>
      <c r="D8" s="185"/>
      <c r="E8" s="381" t="s">
        <v>721</v>
      </c>
      <c r="F8" s="382"/>
      <c r="G8" s="187" t="s">
        <v>1130</v>
      </c>
      <c r="H8" s="383"/>
      <c r="I8" s="384"/>
      <c r="J8" s="377"/>
      <c r="K8" s="186"/>
      <c r="L8" s="257"/>
    </row>
    <row r="9" spans="1:14">
      <c r="A9" s="189"/>
      <c r="B9" s="364"/>
      <c r="C9" s="190"/>
      <c r="D9" s="190"/>
      <c r="E9" s="186"/>
      <c r="F9" s="186"/>
      <c r="G9" s="186"/>
      <c r="H9" s="190"/>
      <c r="I9" s="190"/>
      <c r="J9" s="189"/>
      <c r="K9" s="190"/>
      <c r="L9" s="258"/>
    </row>
    <row r="10" spans="1:14">
      <c r="A10" s="189"/>
      <c r="B10" s="364"/>
      <c r="C10" s="190"/>
      <c r="D10" s="190"/>
      <c r="E10" s="190"/>
      <c r="F10" s="190"/>
      <c r="G10" s="190"/>
      <c r="H10" s="190"/>
      <c r="I10" s="190"/>
      <c r="J10" s="189"/>
      <c r="K10" s="190"/>
      <c r="L10" s="258"/>
    </row>
    <row r="11" spans="1:14" ht="30" thickBot="1">
      <c r="A11" s="192"/>
      <c r="B11" s="365" t="s">
        <v>925</v>
      </c>
      <c r="C11" s="259" t="s">
        <v>1191</v>
      </c>
      <c r="D11" s="259" t="s">
        <v>1252</v>
      </c>
      <c r="E11" s="193" t="s">
        <v>1192</v>
      </c>
      <c r="F11" s="193" t="s">
        <v>1193</v>
      </c>
      <c r="G11" s="193" t="s">
        <v>1192</v>
      </c>
      <c r="H11" s="193" t="s">
        <v>1192</v>
      </c>
      <c r="I11" s="378" t="s">
        <v>938</v>
      </c>
      <c r="J11" s="376" t="s">
        <v>1190</v>
      </c>
      <c r="K11" s="194" t="s">
        <v>922</v>
      </c>
      <c r="L11" s="194" t="s">
        <v>1195</v>
      </c>
    </row>
    <row r="12" spans="1:14">
      <c r="A12" s="195"/>
      <c r="B12" s="366"/>
      <c r="C12" s="196"/>
      <c r="D12" s="197"/>
      <c r="E12" s="198"/>
      <c r="F12" s="198"/>
      <c r="G12" s="198"/>
      <c r="H12" s="198"/>
      <c r="I12" s="198"/>
      <c r="J12" s="198"/>
      <c r="K12" s="188"/>
      <c r="L12" s="191"/>
    </row>
    <row r="13" spans="1:14">
      <c r="A13" s="199" t="s">
        <v>1196</v>
      </c>
      <c r="B13" s="206" t="s">
        <v>965</v>
      </c>
      <c r="C13" s="200"/>
      <c r="D13" s="262">
        <f>Allocation!G176</f>
        <v>1151746077.2153518</v>
      </c>
      <c r="E13" s="346">
        <f>Allocation!G125+Allocation!G126+Allocation!G127</f>
        <v>515004027.33939111</v>
      </c>
      <c r="F13" s="346">
        <f>Allocation!G128</f>
        <v>18583061.593407668</v>
      </c>
      <c r="G13" s="346">
        <f>Allocation!G137</f>
        <v>111943212.22982559</v>
      </c>
      <c r="H13" s="346">
        <f>Allocation!G147+Allocation!G149+Allocation!G154+Allocation!G143</f>
        <v>184388867.25262314</v>
      </c>
      <c r="I13" s="346">
        <f>Allocation!G159+Allocation!G162+Allocation!G165</f>
        <v>32055914.988905419</v>
      </c>
      <c r="J13" s="346">
        <f>Allocation!G168+Allocation!G171</f>
        <v>2307010.4031823776</v>
      </c>
      <c r="K13" s="269">
        <f>SUM(I13:J13)</f>
        <v>34362925.392087795</v>
      </c>
      <c r="L13" s="201" t="str">
        <f>IF(ABS(K13-D13)&lt;0.01,"ok","err")</f>
        <v>err</v>
      </c>
    </row>
    <row r="14" spans="1:14">
      <c r="A14" s="202" t="s">
        <v>1197</v>
      </c>
      <c r="B14" s="206" t="s">
        <v>1198</v>
      </c>
      <c r="C14" s="200"/>
      <c r="D14" s="262">
        <f>Allocation!G831+Allocation!G832+Allocation!G833</f>
        <v>0</v>
      </c>
      <c r="E14" s="346">
        <f t="shared" ref="E14:J14" si="0">(E13/$D$13)*$D$14</f>
        <v>0</v>
      </c>
      <c r="F14" s="346">
        <f t="shared" si="0"/>
        <v>0</v>
      </c>
      <c r="G14" s="346">
        <f t="shared" si="0"/>
        <v>0</v>
      </c>
      <c r="H14" s="346">
        <f t="shared" si="0"/>
        <v>0</v>
      </c>
      <c r="I14" s="346">
        <f t="shared" si="0"/>
        <v>0</v>
      </c>
      <c r="J14" s="346">
        <f t="shared" si="0"/>
        <v>0</v>
      </c>
      <c r="K14" s="269">
        <f t="shared" ref="K14:K15" si="1">SUM(I14:J14)</f>
        <v>0</v>
      </c>
      <c r="L14" s="201" t="str">
        <f>IF(ABS(K14-D14)&lt;0.01,"ok","err")</f>
        <v>ok</v>
      </c>
    </row>
    <row r="15" spans="1:14">
      <c r="A15" s="202" t="s">
        <v>1199</v>
      </c>
      <c r="B15" s="224" t="s">
        <v>1200</v>
      </c>
      <c r="C15" s="200"/>
      <c r="D15" s="262">
        <f>D13+D14</f>
        <v>1151746077.2153518</v>
      </c>
      <c r="E15" s="346">
        <f t="shared" ref="E15:J15" si="2">E13+E14</f>
        <v>515004027.33939111</v>
      </c>
      <c r="F15" s="346">
        <f t="shared" si="2"/>
        <v>18583061.593407668</v>
      </c>
      <c r="G15" s="346">
        <f t="shared" si="2"/>
        <v>111943212.22982559</v>
      </c>
      <c r="H15" s="346">
        <f t="shared" si="2"/>
        <v>184388867.25262314</v>
      </c>
      <c r="I15" s="346">
        <f t="shared" si="2"/>
        <v>32055914.988905419</v>
      </c>
      <c r="J15" s="346">
        <f t="shared" si="2"/>
        <v>2307010.4031823776</v>
      </c>
      <c r="K15" s="269">
        <f t="shared" si="1"/>
        <v>34362925.392087795</v>
      </c>
      <c r="L15" s="201" t="str">
        <f>IF(ABS(K15-D15)&lt;0.01,"ok","err")</f>
        <v>err</v>
      </c>
    </row>
    <row r="16" spans="1:14">
      <c r="A16" s="202"/>
      <c r="B16" s="367"/>
      <c r="C16" s="203"/>
      <c r="D16" s="261"/>
      <c r="E16" s="225"/>
      <c r="F16" s="225"/>
      <c r="G16" s="225"/>
      <c r="H16" s="225"/>
      <c r="I16" s="225"/>
      <c r="J16" s="69"/>
      <c r="K16" s="269"/>
      <c r="L16" s="204"/>
    </row>
    <row r="17" spans="1:12">
      <c r="A17" s="202" t="s">
        <v>1201</v>
      </c>
      <c r="B17" s="206" t="s">
        <v>1120</v>
      </c>
      <c r="C17" s="200"/>
      <c r="D17" s="347">
        <f>Allocation!G988</f>
        <v>4.9152529456142117E-2</v>
      </c>
      <c r="E17" s="348">
        <f t="shared" ref="E17:J17" si="3">D17</f>
        <v>4.9152529456142117E-2</v>
      </c>
      <c r="F17" s="348">
        <f t="shared" si="3"/>
        <v>4.9152529456142117E-2</v>
      </c>
      <c r="G17" s="348">
        <f t="shared" si="3"/>
        <v>4.9152529456142117E-2</v>
      </c>
      <c r="H17" s="348">
        <f t="shared" si="3"/>
        <v>4.9152529456142117E-2</v>
      </c>
      <c r="I17" s="348">
        <f t="shared" si="3"/>
        <v>4.9152529456142117E-2</v>
      </c>
      <c r="J17" s="348">
        <f t="shared" si="3"/>
        <v>4.9152529456142117E-2</v>
      </c>
      <c r="K17" s="269"/>
      <c r="L17" s="201"/>
    </row>
    <row r="18" spans="1:12">
      <c r="A18" s="205"/>
      <c r="B18" s="206"/>
      <c r="C18" s="203"/>
      <c r="D18" s="261"/>
      <c r="E18" s="225"/>
      <c r="F18" s="225"/>
      <c r="G18" s="225"/>
      <c r="H18" s="225"/>
      <c r="I18" s="225"/>
      <c r="J18" s="69"/>
      <c r="K18" s="269"/>
      <c r="L18" s="204"/>
    </row>
    <row r="19" spans="1:12">
      <c r="A19" s="202" t="s">
        <v>1202</v>
      </c>
      <c r="B19" s="206" t="s">
        <v>1203</v>
      </c>
      <c r="C19" s="200"/>
      <c r="D19" s="262">
        <f>D17*D15</f>
        <v>56611232.986323714</v>
      </c>
      <c r="E19" s="223">
        <f t="shared" ref="E19:J19" si="4">E17*E15</f>
        <v>25313750.623831242</v>
      </c>
      <c r="F19" s="223">
        <f t="shared" si="4"/>
        <v>913404.48235527368</v>
      </c>
      <c r="G19" s="223">
        <f t="shared" si="4"/>
        <v>5502292.0365416706</v>
      </c>
      <c r="H19" s="223">
        <f t="shared" si="4"/>
        <v>9063179.2290192377</v>
      </c>
      <c r="I19" s="223">
        <f t="shared" si="4"/>
        <v>1575629.3057357613</v>
      </c>
      <c r="J19" s="362">
        <f t="shared" si="4"/>
        <v>113395.39679804811</v>
      </c>
      <c r="K19" s="269">
        <f>SUM(I19:J19)</f>
        <v>1689024.7025338095</v>
      </c>
      <c r="L19" s="201" t="str">
        <f>IF(ABS(K19-D19)&lt;0.01,"ok","err")</f>
        <v>err</v>
      </c>
    </row>
    <row r="20" spans="1:12">
      <c r="A20" s="205"/>
      <c r="B20" s="206"/>
      <c r="C20" s="203"/>
      <c r="D20" s="261"/>
      <c r="E20" s="225"/>
      <c r="F20" s="225"/>
      <c r="G20" s="225"/>
      <c r="H20" s="225"/>
      <c r="I20" s="225"/>
      <c r="J20" s="69"/>
      <c r="K20" s="270"/>
      <c r="L20" s="204"/>
    </row>
    <row r="21" spans="1:12">
      <c r="A21" s="202" t="s">
        <v>1204</v>
      </c>
      <c r="B21" s="206" t="s">
        <v>806</v>
      </c>
      <c r="C21" s="200"/>
      <c r="D21" s="262">
        <f>Allocation!G743</f>
        <v>30245175.128357016</v>
      </c>
      <c r="E21" s="223">
        <f t="shared" ref="E21:J21" si="5">(E13/$D$13)*$D$21</f>
        <v>13524150.250504041</v>
      </c>
      <c r="F21" s="223">
        <f t="shared" si="5"/>
        <v>487996.41121640144</v>
      </c>
      <c r="G21" s="223">
        <f t="shared" si="5"/>
        <v>2939660.1606040029</v>
      </c>
      <c r="H21" s="223">
        <f t="shared" si="5"/>
        <v>4842103.3872835189</v>
      </c>
      <c r="I21" s="223">
        <f t="shared" si="5"/>
        <v>841797.32140549459</v>
      </c>
      <c r="J21" s="362">
        <f t="shared" si="5"/>
        <v>60582.740456033636</v>
      </c>
      <c r="K21" s="269">
        <f>SUM(I21:J21)</f>
        <v>902380.0618615282</v>
      </c>
      <c r="L21" s="201" t="str">
        <f>IF(ABS(K21-D21)&lt;0.01,"ok","err")</f>
        <v>err</v>
      </c>
    </row>
    <row r="22" spans="1:12">
      <c r="A22" s="205"/>
      <c r="B22" s="206"/>
      <c r="C22" s="203"/>
      <c r="D22" s="261"/>
      <c r="E22" s="225"/>
      <c r="F22" s="225"/>
      <c r="G22" s="225"/>
      <c r="H22" s="225"/>
      <c r="I22" s="225"/>
      <c r="J22" s="69"/>
      <c r="K22" s="270"/>
      <c r="L22" s="204"/>
    </row>
    <row r="23" spans="1:12">
      <c r="A23" s="202" t="s">
        <v>1205</v>
      </c>
      <c r="B23" s="206" t="s">
        <v>1206</v>
      </c>
      <c r="C23" s="200"/>
      <c r="D23" s="262">
        <f>D19-D21</f>
        <v>26366057.857966699</v>
      </c>
      <c r="E23" s="223">
        <f t="shared" ref="E23:J23" si="6">E19-E21</f>
        <v>11789600.373327201</v>
      </c>
      <c r="F23" s="223">
        <f t="shared" si="6"/>
        <v>425408.07113887224</v>
      </c>
      <c r="G23" s="223">
        <f t="shared" si="6"/>
        <v>2562631.8759376677</v>
      </c>
      <c r="H23" s="223">
        <f t="shared" si="6"/>
        <v>4221075.8417357188</v>
      </c>
      <c r="I23" s="223">
        <f t="shared" si="6"/>
        <v>733831.98433026671</v>
      </c>
      <c r="J23" s="362">
        <f t="shared" si="6"/>
        <v>52812.656342014474</v>
      </c>
      <c r="K23" s="269">
        <f>SUM(I23:J23)</f>
        <v>786644.64067228115</v>
      </c>
      <c r="L23" s="201" t="str">
        <f>IF(ABS(K23-D23)&lt;0.01,"ok","err")</f>
        <v>err</v>
      </c>
    </row>
    <row r="24" spans="1:12">
      <c r="A24" s="205"/>
      <c r="B24" s="206"/>
      <c r="C24" s="203"/>
      <c r="D24" s="261"/>
      <c r="E24" s="225"/>
      <c r="F24" s="225"/>
      <c r="G24" s="225"/>
      <c r="H24" s="225"/>
      <c r="I24" s="225"/>
      <c r="J24" s="69"/>
      <c r="K24" s="270"/>
      <c r="L24" s="204"/>
    </row>
    <row r="25" spans="1:12">
      <c r="A25" s="202" t="s">
        <v>1207</v>
      </c>
      <c r="B25" s="206" t="s">
        <v>1208</v>
      </c>
      <c r="C25" s="203"/>
      <c r="D25" s="262">
        <f>Allocation!G783+Allocation!G979</f>
        <v>19030526.606072955</v>
      </c>
      <c r="E25" s="223">
        <f t="shared" ref="E25:H25" si="7">$D$25*(E23/$K$23)</f>
        <v>285214303.86638969</v>
      </c>
      <c r="F25" s="223">
        <f t="shared" si="7"/>
        <v>10291482.580149168</v>
      </c>
      <c r="G25" s="223">
        <f t="shared" si="7"/>
        <v>61995253.733533591</v>
      </c>
      <c r="H25" s="223">
        <f t="shared" si="7"/>
        <v>102116371.17841734</v>
      </c>
      <c r="I25" s="223">
        <f>$D$25*(I23/$D$23)</f>
        <v>529666.17828932521</v>
      </c>
      <c r="J25" s="362">
        <f>$D$25*(J23/$D$23)</f>
        <v>38119.185927160135</v>
      </c>
      <c r="K25" s="269">
        <f>SUM(I25:J25)</f>
        <v>567785.36421648529</v>
      </c>
      <c r="L25" s="201" t="str">
        <f>IF(ABS(K25-D25)&lt;0.01,"ok","err")</f>
        <v>err</v>
      </c>
    </row>
    <row r="26" spans="1:12">
      <c r="A26" s="205"/>
      <c r="B26" s="206"/>
      <c r="C26" s="203"/>
      <c r="D26" s="261"/>
      <c r="E26" s="225"/>
      <c r="F26" s="225"/>
      <c r="G26" s="225"/>
      <c r="H26" s="225"/>
      <c r="I26" s="225"/>
      <c r="J26" s="69"/>
      <c r="K26" s="270"/>
      <c r="L26" s="204"/>
    </row>
    <row r="27" spans="1:12">
      <c r="A27" s="202" t="s">
        <v>1209</v>
      </c>
      <c r="B27" s="206" t="s">
        <v>975</v>
      </c>
      <c r="C27" s="200"/>
      <c r="D27" s="262">
        <f>Allocation!G774</f>
        <v>287977479.04383886</v>
      </c>
      <c r="E27" s="362">
        <f>Allocation!G182+Allocation!G183+Allocation!G184</f>
        <v>38079049.395119704</v>
      </c>
      <c r="F27" s="362">
        <f>Allocation!G185</f>
        <v>168422502.43944997</v>
      </c>
      <c r="G27" s="362">
        <f>Allocation!G194</f>
        <v>9843945.0934296139</v>
      </c>
      <c r="H27" s="362">
        <f>Allocation!G200+Allocation!G204+Allocation!G206+Allocation!G211</f>
        <v>15549876.538997941</v>
      </c>
      <c r="I27" s="362">
        <f>Allocation!G216+Allocation!G219</f>
        <v>12245835.058615068</v>
      </c>
      <c r="J27" s="362">
        <f>Allocation!G225+Allocation!G228</f>
        <v>18688874.962648217</v>
      </c>
      <c r="K27" s="269">
        <f t="shared" ref="K27:K36" si="8">SUM(I27:J27)</f>
        <v>30934710.021263286</v>
      </c>
      <c r="L27" s="201" t="str">
        <f>IF(ABS(K27-D27)&lt;0.01,"ok","err")</f>
        <v>err</v>
      </c>
    </row>
    <row r="28" spans="1:12">
      <c r="A28" s="202" t="s">
        <v>1210</v>
      </c>
      <c r="B28" s="206" t="s">
        <v>1071</v>
      </c>
      <c r="C28" s="200"/>
      <c r="D28" s="349">
        <f>Allocation!G775</f>
        <v>66956528.663069092</v>
      </c>
      <c r="E28" s="358">
        <f>Allocation!G302</f>
        <v>32589861.887140639</v>
      </c>
      <c r="F28" s="358">
        <v>0</v>
      </c>
      <c r="G28" s="358">
        <f>Allocation!G308</f>
        <v>5230791.5018595681</v>
      </c>
      <c r="H28" s="358">
        <f>Allocation!G314+Allocation!G318+Allocation!G320+Allocation!G325</f>
        <v>10666046.542608526</v>
      </c>
      <c r="I28" s="358">
        <f>Allocation!G330+Allocation!G333</f>
        <v>1773201.26331614</v>
      </c>
      <c r="J28" s="358">
        <v>0</v>
      </c>
      <c r="K28" s="269">
        <f t="shared" si="8"/>
        <v>1773201.26331614</v>
      </c>
      <c r="L28" s="201" t="str">
        <f>IF(ABS(K28-D28)&lt;0.01,"ok","err")</f>
        <v>err</v>
      </c>
    </row>
    <row r="29" spans="1:12">
      <c r="A29" s="202" t="s">
        <v>1211</v>
      </c>
      <c r="B29" s="206" t="s">
        <v>1212</v>
      </c>
      <c r="C29" s="200"/>
      <c r="D29" s="349">
        <f>Allocation!G780+Allocation!G781</f>
        <v>15333621.874158604</v>
      </c>
      <c r="E29" s="358">
        <f>Allocation!G417+Allocation!G474+Allocation!G359+Allocation!G531+Allocation!G589</f>
        <v>6986846.9336919747</v>
      </c>
      <c r="F29" s="358">
        <f>Allocation!G356+Allocation!G357+Allocation!G358+Allocation!G414+Allocation!G415+Allocation!G416+Allocation!G471+Allocation!G472+Allocation!G473+Allocation!G528+Allocation!G529+Allocation!G530+Allocation!G586+Allocation!G587+Allocation!G588</f>
        <v>0</v>
      </c>
      <c r="G29" s="358">
        <f>Allocation!G365+Allocation!G423+Allocation!G480+Allocation!G537+Allocation!G595</f>
        <v>1492320.7842309314</v>
      </c>
      <c r="H29" s="358">
        <f>Allocation!G371+Allocation!G375+Allocation!G377+Allocation!G382+Allocation!G429+Allocation!G433+Allocation!G435+Allocation!G440+Allocation!G486+Allocation!G490+Allocation!G492+Allocation!G497+Allocation!G543+Allocation!G547+Allocation!G549+Allocation!G554+Allocation!G601+Allocation!G605+Allocation!G607+Allocation!G612</f>
        <v>2509275.1244598692</v>
      </c>
      <c r="I29" s="358">
        <f>Allocation!G387+Allocation!G391+Allocation!G445+Allocation!G448+Allocation!G502+Allocation!G505+Allocation!G559+Allocation!G562+Allocation!G617+Allocation!G620</f>
        <v>417160.1729774407</v>
      </c>
      <c r="J29" s="358">
        <v>0</v>
      </c>
      <c r="K29" s="269">
        <f t="shared" si="8"/>
        <v>417160.1729774407</v>
      </c>
      <c r="L29" s="201" t="str">
        <f>IF(ABS(K29-D29)&lt;0.01,"ok","err")</f>
        <v>err</v>
      </c>
    </row>
    <row r="30" spans="1:12">
      <c r="A30" s="202" t="s">
        <v>1213</v>
      </c>
      <c r="B30" s="206" t="s">
        <v>1240</v>
      </c>
      <c r="C30" s="200"/>
      <c r="D30" s="260">
        <f>Allocation!G717+Allocation!G718</f>
        <v>0</v>
      </c>
      <c r="E30" s="357">
        <f t="shared" ref="E30:J30" si="9">$D$30*(E13/$K$13)</f>
        <v>0</v>
      </c>
      <c r="F30" s="357">
        <f t="shared" si="9"/>
        <v>0</v>
      </c>
      <c r="G30" s="357">
        <f t="shared" si="9"/>
        <v>0</v>
      </c>
      <c r="H30" s="357">
        <f t="shared" si="9"/>
        <v>0</v>
      </c>
      <c r="I30" s="357">
        <f>$D$30*(I13/$D$13)</f>
        <v>0</v>
      </c>
      <c r="J30" s="357">
        <f t="shared" si="9"/>
        <v>0</v>
      </c>
      <c r="K30" s="269">
        <f t="shared" si="8"/>
        <v>0</v>
      </c>
      <c r="L30" s="201" t="str">
        <f>IF(ABS(K30-D30)&lt;0.01,"ok","err")</f>
        <v>ok</v>
      </c>
    </row>
    <row r="31" spans="1:12">
      <c r="A31" s="202" t="s">
        <v>1214</v>
      </c>
      <c r="B31" s="206" t="s">
        <v>1215</v>
      </c>
      <c r="C31" s="200"/>
      <c r="D31" s="260">
        <f>Allocation!G801</f>
        <v>0</v>
      </c>
      <c r="E31" s="357">
        <f>D31</f>
        <v>0</v>
      </c>
      <c r="F31" s="357">
        <v>0</v>
      </c>
      <c r="G31" s="357">
        <v>0</v>
      </c>
      <c r="H31" s="357">
        <v>0</v>
      </c>
      <c r="I31" s="357">
        <v>0</v>
      </c>
      <c r="J31" s="357">
        <v>0</v>
      </c>
      <c r="K31" s="269">
        <f t="shared" si="8"/>
        <v>0</v>
      </c>
      <c r="L31" s="201" t="str">
        <f t="shared" ref="L31:L38" si="10">IF(ABS(K31-D31)&lt;0.01,"ok","err")</f>
        <v>ok</v>
      </c>
    </row>
    <row r="32" spans="1:12">
      <c r="A32" s="202" t="s">
        <v>1216</v>
      </c>
      <c r="B32" s="206" t="s">
        <v>1217</v>
      </c>
      <c r="C32" s="200"/>
      <c r="D32" s="260">
        <f>Allocation!G788+Allocation!G791+Allocation!G792</f>
        <v>0</v>
      </c>
      <c r="E32" s="357">
        <v>0</v>
      </c>
      <c r="F32" s="357">
        <f>D32</f>
        <v>0</v>
      </c>
      <c r="G32" s="357">
        <v>0</v>
      </c>
      <c r="H32" s="357">
        <v>0</v>
      </c>
      <c r="I32" s="357">
        <v>0</v>
      </c>
      <c r="J32" s="357">
        <v>0</v>
      </c>
      <c r="K32" s="269">
        <f t="shared" si="8"/>
        <v>0</v>
      </c>
      <c r="L32" s="201" t="str">
        <f t="shared" si="10"/>
        <v>ok</v>
      </c>
    </row>
    <row r="33" spans="1:12">
      <c r="A33" s="202" t="s">
        <v>1218</v>
      </c>
      <c r="B33" s="206" t="s">
        <v>1219</v>
      </c>
      <c r="C33" s="200"/>
      <c r="D33" s="260">
        <f>Allocation!G799+Allocation!G802</f>
        <v>0</v>
      </c>
      <c r="E33" s="357">
        <v>0</v>
      </c>
      <c r="F33" s="357">
        <v>0</v>
      </c>
      <c r="G33" s="357">
        <f>D33</f>
        <v>0</v>
      </c>
      <c r="H33" s="357">
        <v>0</v>
      </c>
      <c r="I33" s="357">
        <v>0</v>
      </c>
      <c r="J33" s="357">
        <v>0</v>
      </c>
      <c r="K33" s="269">
        <f t="shared" si="8"/>
        <v>0</v>
      </c>
      <c r="L33" s="201" t="str">
        <f t="shared" si="10"/>
        <v>ok</v>
      </c>
    </row>
    <row r="34" spans="1:12">
      <c r="A34" s="202" t="s">
        <v>1220</v>
      </c>
      <c r="B34" s="206" t="s">
        <v>1221</v>
      </c>
      <c r="C34" s="200"/>
      <c r="D34" s="260">
        <f>Allocation!G793</f>
        <v>0</v>
      </c>
      <c r="E34" s="357">
        <v>0</v>
      </c>
      <c r="F34" s="357">
        <v>0</v>
      </c>
      <c r="G34" s="357">
        <v>0</v>
      </c>
      <c r="H34" s="357">
        <f>(H13/($I$13+$H$13)*$D$34)</f>
        <v>0</v>
      </c>
      <c r="I34" s="357">
        <f>(I13/($I$13+$H$13)*$D$34)</f>
        <v>0</v>
      </c>
      <c r="J34" s="357">
        <v>0</v>
      </c>
      <c r="K34" s="269">
        <f t="shared" si="8"/>
        <v>0</v>
      </c>
      <c r="L34" s="201" t="str">
        <f t="shared" si="10"/>
        <v>ok</v>
      </c>
    </row>
    <row r="35" spans="1:12">
      <c r="A35" s="207" t="s">
        <v>1222</v>
      </c>
      <c r="B35" s="206" t="s">
        <v>1223</v>
      </c>
      <c r="C35" s="200"/>
      <c r="D35" s="349">
        <f>Allocation!G800+Allocation!G813+Allocation!G976+Allocation!G977-Allocation!G966</f>
        <v>-297350.18116601103</v>
      </c>
      <c r="E35" s="357">
        <f t="shared" ref="E35:J35" si="11">(E13/($D$13)*$D$35)</f>
        <v>-132960.33202113523</v>
      </c>
      <c r="F35" s="357">
        <f t="shared" si="11"/>
        <v>-4797.651878944258</v>
      </c>
      <c r="G35" s="357">
        <f t="shared" si="11"/>
        <v>-28900.757810543015</v>
      </c>
      <c r="H35" s="357">
        <f t="shared" si="11"/>
        <v>-47604.297654847906</v>
      </c>
      <c r="I35" s="357">
        <f t="shared" si="11"/>
        <v>-8275.9840193586588</v>
      </c>
      <c r="J35" s="357">
        <f t="shared" si="11"/>
        <v>-595.6086805146432</v>
      </c>
      <c r="K35" s="269">
        <f t="shared" si="8"/>
        <v>-8871.5926998733012</v>
      </c>
      <c r="L35" s="201" t="str">
        <f t="shared" si="10"/>
        <v>err</v>
      </c>
    </row>
    <row r="36" spans="1:12">
      <c r="A36" s="207" t="s">
        <v>1224</v>
      </c>
      <c r="B36" s="206" t="s">
        <v>1373</v>
      </c>
      <c r="C36" s="353"/>
      <c r="D36" s="349">
        <f>-Allocation!G767-Allocation!G965</f>
        <v>2508690.1700856597</v>
      </c>
      <c r="E36" s="357">
        <f>D36</f>
        <v>2508690.1700856597</v>
      </c>
      <c r="F36" s="357">
        <v>0</v>
      </c>
      <c r="G36" s="357">
        <v>0</v>
      </c>
      <c r="H36" s="357">
        <v>0</v>
      </c>
      <c r="I36" s="357">
        <v>0</v>
      </c>
      <c r="J36" s="357">
        <v>0</v>
      </c>
      <c r="K36" s="269">
        <f t="shared" si="8"/>
        <v>0</v>
      </c>
      <c r="L36" s="201" t="str">
        <f t="shared" si="10"/>
        <v>err</v>
      </c>
    </row>
    <row r="37" spans="1:12">
      <c r="A37" s="202"/>
      <c r="B37" s="206"/>
      <c r="D37" s="262"/>
      <c r="E37" s="223"/>
      <c r="F37" s="223"/>
      <c r="G37" s="223"/>
      <c r="H37" s="223"/>
      <c r="I37" s="223"/>
      <c r="J37" s="223"/>
      <c r="K37" s="269"/>
      <c r="L37" s="201"/>
    </row>
    <row r="38" spans="1:12" s="44" customFormat="1">
      <c r="A38" s="202" t="s">
        <v>1225</v>
      </c>
      <c r="B38" s="206" t="s">
        <v>1374</v>
      </c>
      <c r="C38" s="200"/>
      <c r="D38" s="262">
        <f t="shared" ref="D38:J38" si="12">SUM(D31:D36)</f>
        <v>2211339.9889196488</v>
      </c>
      <c r="E38" s="346">
        <f t="shared" si="12"/>
        <v>2375729.8380645243</v>
      </c>
      <c r="F38" s="346">
        <f t="shared" si="12"/>
        <v>-4797.651878944258</v>
      </c>
      <c r="G38" s="346">
        <f t="shared" si="12"/>
        <v>-28900.757810543015</v>
      </c>
      <c r="H38" s="346">
        <f t="shared" si="12"/>
        <v>-47604.297654847906</v>
      </c>
      <c r="I38" s="346">
        <f t="shared" si="12"/>
        <v>-8275.9840193586588</v>
      </c>
      <c r="J38" s="346">
        <f t="shared" si="12"/>
        <v>-595.6086805146432</v>
      </c>
      <c r="K38" s="269">
        <f>SUM(I38:J38)</f>
        <v>-8871.5926998733012</v>
      </c>
      <c r="L38" s="201" t="str">
        <f t="shared" si="10"/>
        <v>err</v>
      </c>
    </row>
    <row r="39" spans="1:12">
      <c r="A39" s="205"/>
      <c r="B39" s="206"/>
      <c r="C39" s="203"/>
      <c r="D39" s="222"/>
      <c r="E39" s="225"/>
      <c r="F39" s="225"/>
      <c r="G39" s="225"/>
      <c r="H39" s="225"/>
      <c r="I39" s="225"/>
      <c r="J39" s="225"/>
      <c r="K39" s="269"/>
      <c r="L39" s="204"/>
    </row>
    <row r="40" spans="1:12" s="44" customFormat="1">
      <c r="A40" s="202" t="s">
        <v>1227</v>
      </c>
      <c r="B40" s="206" t="s">
        <v>1226</v>
      </c>
      <c r="C40" s="208"/>
      <c r="D40" s="262">
        <f t="shared" ref="D40:J40" si="13">SUM(D27:D30)+D21+D25+D38+D23</f>
        <v>448120729.1623829</v>
      </c>
      <c r="E40" s="362">
        <f t="shared" si="13"/>
        <v>390559542.54423779</v>
      </c>
      <c r="F40" s="362">
        <f t="shared" si="13"/>
        <v>179622591.85007545</v>
      </c>
      <c r="G40" s="362">
        <f t="shared" si="13"/>
        <v>84035702.391784832</v>
      </c>
      <c r="H40" s="362">
        <f t="shared" si="13"/>
        <v>139857144.31584808</v>
      </c>
      <c r="I40" s="362">
        <f t="shared" si="13"/>
        <v>16533215.994914375</v>
      </c>
      <c r="J40" s="362">
        <f t="shared" si="13"/>
        <v>18839793.936692908</v>
      </c>
      <c r="K40" s="269">
        <f>SUM(I40:J40)</f>
        <v>35373009.931607284</v>
      </c>
      <c r="L40" s="201" t="str">
        <f>IF(ABS(K40-D40)&lt;0.01,"ok","err")</f>
        <v>err</v>
      </c>
    </row>
    <row r="41" spans="1:12">
      <c r="A41" s="205"/>
      <c r="B41" s="206"/>
      <c r="C41" s="203"/>
      <c r="D41" s="263"/>
      <c r="E41" s="225"/>
      <c r="F41" s="225"/>
      <c r="G41" s="225"/>
      <c r="H41" s="225"/>
      <c r="I41" s="225"/>
      <c r="J41" s="225"/>
      <c r="K41" s="269"/>
      <c r="L41" s="204"/>
    </row>
    <row r="42" spans="1:12">
      <c r="A42" s="202" t="s">
        <v>1228</v>
      </c>
      <c r="B42" s="206" t="s">
        <v>1382</v>
      </c>
      <c r="C42" s="203"/>
      <c r="D42" s="262">
        <f>-Allocation!G703</f>
        <v>1781296.7047978356</v>
      </c>
      <c r="E42" s="298">
        <f>D42</f>
        <v>1781296.7047978356</v>
      </c>
      <c r="F42" s="298"/>
      <c r="G42" s="298"/>
      <c r="H42" s="298"/>
      <c r="I42" s="298"/>
      <c r="J42" s="298"/>
      <c r="K42" s="269">
        <f t="shared" ref="K42:K45" si="14">SUM(I42:J42)</f>
        <v>0</v>
      </c>
      <c r="L42" s="201" t="str">
        <f>IF(ABS(K42-D42)&lt;0.01,"ok","err")</f>
        <v>err</v>
      </c>
    </row>
    <row r="43" spans="1:12">
      <c r="A43" s="202" t="s">
        <v>1230</v>
      </c>
      <c r="B43" s="206" t="s">
        <v>1229</v>
      </c>
      <c r="C43" s="200"/>
      <c r="D43" s="349">
        <f>-(Allocation!G699+Allocation!G700+Allocation!G701+Allocation!G702)</f>
        <v>-15545979.971223349</v>
      </c>
      <c r="E43" s="358">
        <v>0</v>
      </c>
      <c r="F43" s="358">
        <f>D43</f>
        <v>-15545979.971223349</v>
      </c>
      <c r="G43" s="358">
        <v>0</v>
      </c>
      <c r="H43" s="358">
        <v>0</v>
      </c>
      <c r="I43" s="358">
        <v>0</v>
      </c>
      <c r="J43" s="358">
        <v>0</v>
      </c>
      <c r="K43" s="269">
        <f t="shared" si="14"/>
        <v>0</v>
      </c>
      <c r="L43" s="201" t="str">
        <f>IF(ABS(K43-D43)&lt;0.01,"ok","err")</f>
        <v>err</v>
      </c>
    </row>
    <row r="44" spans="1:12">
      <c r="A44" s="202" t="s">
        <v>1232</v>
      </c>
      <c r="B44" s="206" t="s">
        <v>1231</v>
      </c>
      <c r="C44" s="200"/>
      <c r="D44" s="350">
        <f>-(Allocation!G698+Allocation!G704+Allocation!G705+Allocation!G706+Allocation!G707)</f>
        <v>-13024237.895957291</v>
      </c>
      <c r="E44" s="358">
        <f>-(Allocation!G698)-(E13/($D$13)*(Allocation!G704+Allocation!G705+Allocation!G706+Allocation!G707))</f>
        <v>-5823796.6702361573</v>
      </c>
      <c r="F44" s="358">
        <f>(F13/($D$13)*-(Allocation!G704+Allocation!G705+Allocation!G706+Allocation!G707))</f>
        <v>-210141.99207254098</v>
      </c>
      <c r="G44" s="358">
        <f>(G13/($D$13)*-(Allocation!G704+Allocation!G705+Allocation!G706+Allocation!G707))</f>
        <v>-1265882.3466053568</v>
      </c>
      <c r="H44" s="358">
        <f>(H13/($D$13)*-(Allocation!G704+Allocation!G705+Allocation!G706+Allocation!G707))</f>
        <v>-2085116.2595409639</v>
      </c>
      <c r="I44" s="358">
        <f>(I13/($D$13)*-(Allocation!G704+Allocation!G705+Allocation!G706+Allocation!G707))</f>
        <v>-362496.4486942403</v>
      </c>
      <c r="J44" s="358">
        <f>(J13/($D$13)*-(Allocation!G704+Allocation!G705+Allocation!G706+Allocation!G707))</f>
        <v>-26088.261044606515</v>
      </c>
      <c r="K44" s="269">
        <f t="shared" si="14"/>
        <v>-388584.70973884681</v>
      </c>
      <c r="L44" s="201" t="str">
        <f>IF(ABS(K44-D44)&lt;0.01,"ok","err")</f>
        <v>err</v>
      </c>
    </row>
    <row r="45" spans="1:12">
      <c r="A45" s="202" t="s">
        <v>1234</v>
      </c>
      <c r="B45" s="206" t="s">
        <v>1233</v>
      </c>
      <c r="C45" s="200"/>
      <c r="D45" s="350">
        <f>SUM(D42:D44)</f>
        <v>-26788921.162382804</v>
      </c>
      <c r="E45" s="146">
        <f>SUM(E42:E44)</f>
        <v>-4042499.9654383217</v>
      </c>
      <c r="F45" s="146">
        <f>SUM(F43:F44)</f>
        <v>-15756121.96329589</v>
      </c>
      <c r="G45" s="146">
        <f>SUM(G43:G44)</f>
        <v>-1265882.3466053568</v>
      </c>
      <c r="H45" s="146">
        <f>SUM(H43:H44)</f>
        <v>-2085116.2595409639</v>
      </c>
      <c r="I45" s="146">
        <f>SUM(I43:I44)</f>
        <v>-362496.4486942403</v>
      </c>
      <c r="J45" s="146">
        <f>SUM(J43:J44)</f>
        <v>-26088.261044606515</v>
      </c>
      <c r="K45" s="269">
        <f t="shared" si="14"/>
        <v>-388584.70973884681</v>
      </c>
      <c r="L45" s="201" t="str">
        <f>IF(ABS(K45-D45)&lt;0.01,"ok","err")</f>
        <v>err</v>
      </c>
    </row>
    <row r="46" spans="1:12">
      <c r="A46" s="205"/>
      <c r="B46" s="206"/>
      <c r="D46" s="264"/>
      <c r="E46" s="225"/>
      <c r="F46" s="225"/>
      <c r="G46" s="225"/>
      <c r="H46" s="225"/>
      <c r="I46" s="225"/>
      <c r="J46" s="225"/>
      <c r="K46" s="269"/>
      <c r="L46" s="204"/>
    </row>
    <row r="47" spans="1:12">
      <c r="A47" s="202" t="s">
        <v>1236</v>
      </c>
      <c r="B47" s="206" t="s">
        <v>1235</v>
      </c>
      <c r="C47" s="209">
        <f>Allocation!G968-SUM(Allocation!G698:G707)-Allocation!G767-Allocation!G965-Allocation!G966</f>
        <v>421331808</v>
      </c>
      <c r="D47" s="262">
        <f t="shared" ref="D47:J47" si="15">D40+D45</f>
        <v>421331808.00000012</v>
      </c>
      <c r="E47" s="346">
        <f t="shared" si="15"/>
        <v>386517042.57879949</v>
      </c>
      <c r="F47" s="346">
        <f t="shared" si="15"/>
        <v>163866469.88677958</v>
      </c>
      <c r="G47" s="346">
        <f t="shared" si="15"/>
        <v>82769820.045179471</v>
      </c>
      <c r="H47" s="346">
        <f t="shared" si="15"/>
        <v>137772028.05630711</v>
      </c>
      <c r="I47" s="346">
        <f t="shared" si="15"/>
        <v>16170719.546220135</v>
      </c>
      <c r="J47" s="346">
        <f t="shared" si="15"/>
        <v>18813705.675648302</v>
      </c>
      <c r="K47" s="269">
        <f>SUM(I47:J47)</f>
        <v>34984425.221868441</v>
      </c>
      <c r="L47" s="201" t="str">
        <f>IF(ABS(K47-D47)&lt;0.01,"ok","err")</f>
        <v>err</v>
      </c>
    </row>
    <row r="48" spans="1:12">
      <c r="A48" s="205"/>
      <c r="B48" s="206"/>
      <c r="C48" s="203"/>
      <c r="D48" s="265"/>
      <c r="E48" s="225"/>
      <c r="F48" s="225"/>
      <c r="G48" s="225"/>
      <c r="H48" s="225"/>
      <c r="I48" s="225"/>
      <c r="J48" s="225"/>
      <c r="K48" s="269"/>
      <c r="L48" s="204"/>
    </row>
    <row r="49" spans="1:12">
      <c r="A49" s="202" t="s">
        <v>1238</v>
      </c>
      <c r="B49" s="206" t="s">
        <v>1237</v>
      </c>
      <c r="C49" s="200"/>
      <c r="D49" s="266"/>
      <c r="E49" s="359">
        <f>Allocation!G1006</f>
        <v>4180088831</v>
      </c>
      <c r="F49" s="359">
        <f>Allocation!G1006</f>
        <v>4180088831</v>
      </c>
      <c r="G49" s="359">
        <f>Allocation!G1006</f>
        <v>4180088831</v>
      </c>
      <c r="H49" s="359">
        <f>Allocation!G1006</f>
        <v>4180088831</v>
      </c>
      <c r="I49" s="359">
        <f>Allocation!$G$1022*12</f>
        <v>4369310</v>
      </c>
      <c r="J49" s="359">
        <f>Allocation!$G$1022*12</f>
        <v>4369310</v>
      </c>
      <c r="K49" s="258"/>
      <c r="L49" s="204"/>
    </row>
    <row r="50" spans="1:12" ht="15.75" thickBot="1">
      <c r="A50" s="205"/>
      <c r="B50" s="206"/>
      <c r="C50" s="203"/>
      <c r="D50" s="264"/>
      <c r="E50" s="69"/>
      <c r="F50" s="69"/>
      <c r="G50" s="69"/>
      <c r="H50" s="69"/>
      <c r="I50" s="69"/>
      <c r="J50" s="69"/>
      <c r="K50" s="258"/>
      <c r="L50" s="204"/>
    </row>
    <row r="51" spans="1:12" ht="15.75" thickBot="1">
      <c r="A51" s="210" t="s">
        <v>1375</v>
      </c>
      <c r="B51" s="368" t="s">
        <v>1239</v>
      </c>
      <c r="C51" s="211"/>
      <c r="D51" s="267"/>
      <c r="E51" s="360">
        <f t="shared" ref="E51:J51" si="16">E47/E49</f>
        <v>9.2466226964447853E-2</v>
      </c>
      <c r="F51" s="360">
        <f t="shared" si="16"/>
        <v>3.9201671665809526E-2</v>
      </c>
      <c r="G51" s="360">
        <f t="shared" si="16"/>
        <v>1.9800971556238077E-2</v>
      </c>
      <c r="H51" s="360">
        <f t="shared" si="16"/>
        <v>3.2959114895974112E-2</v>
      </c>
      <c r="I51" s="361">
        <f t="shared" si="16"/>
        <v>3.7009778537618376</v>
      </c>
      <c r="J51" s="361">
        <f t="shared" si="16"/>
        <v>4.305875681892176</v>
      </c>
      <c r="K51" s="379">
        <f>I51+J51</f>
        <v>8.0068535356540131</v>
      </c>
      <c r="L51" s="212"/>
    </row>
    <row r="52" spans="1:12" ht="15.75" hidden="1" thickBot="1"/>
    <row r="53" spans="1:12" ht="15.75" hidden="1" thickBot="1">
      <c r="J53" s="371" t="s">
        <v>1362</v>
      </c>
      <c r="K53" s="372">
        <f>I51+J51</f>
        <v>8.0068535356540131</v>
      </c>
    </row>
    <row r="54" spans="1:12" ht="15.75" hidden="1" thickBot="1">
      <c r="J54" s="371" t="s">
        <v>1376</v>
      </c>
      <c r="K54" s="373">
        <f>E51+G51+H51</f>
        <v>0.14522631341666004</v>
      </c>
    </row>
    <row r="55" spans="1:12" ht="15.75" hidden="1" thickBot="1">
      <c r="J55" s="371" t="s">
        <v>1384</v>
      </c>
      <c r="K55" s="373">
        <f>K65</f>
        <v>6.9100000000000003E-3</v>
      </c>
    </row>
    <row r="56" spans="1:12" ht="15.75" hidden="1" thickBot="1">
      <c r="J56" s="371" t="s">
        <v>1383</v>
      </c>
      <c r="K56" s="373">
        <f>K54+K55</f>
        <v>0.15213631341666004</v>
      </c>
    </row>
    <row r="57" spans="1:12" ht="15.75" hidden="1" thickBot="1">
      <c r="J57" s="371" t="s">
        <v>1361</v>
      </c>
      <c r="K57" s="373">
        <f>F51</f>
        <v>3.9201671665809526E-2</v>
      </c>
    </row>
    <row r="58" spans="1:12" hidden="1">
      <c r="D58" s="251"/>
      <c r="E58" s="4">
        <f>G58*0.8187</f>
        <v>9032214.955106765</v>
      </c>
      <c r="F58" s="295"/>
      <c r="G58" s="4">
        <v>11032386.655804038</v>
      </c>
      <c r="H58" s="4">
        <f>G58</f>
        <v>11032386.655804038</v>
      </c>
    </row>
    <row r="59" spans="1:12" hidden="1">
      <c r="D59" s="251"/>
      <c r="E59" s="19"/>
      <c r="I59" s="19"/>
    </row>
    <row r="60" spans="1:12" hidden="1">
      <c r="E60" s="369">
        <f>E47/E58</f>
        <v>42.79316252989139</v>
      </c>
      <c r="G60" s="369">
        <f>G47/G58</f>
        <v>7.5024400999973135</v>
      </c>
      <c r="H60" s="369">
        <f>H47/H58</f>
        <v>12.487962247391547</v>
      </c>
    </row>
    <row r="61" spans="1:12" hidden="1">
      <c r="I61" s="7"/>
      <c r="J61" s="225"/>
      <c r="K61" s="342"/>
    </row>
    <row r="62" spans="1:12" hidden="1">
      <c r="E62" s="352">
        <v>1.58391817114398</v>
      </c>
      <c r="G62" s="352">
        <v>1.58391817114398</v>
      </c>
      <c r="H62" s="352">
        <v>1.58391817114398</v>
      </c>
      <c r="J62" s="351" t="s">
        <v>1370</v>
      </c>
      <c r="K62" s="293">
        <v>22</v>
      </c>
    </row>
    <row r="63" spans="1:12" hidden="1">
      <c r="J63" s="351" t="s">
        <v>1371</v>
      </c>
      <c r="K63" s="35">
        <f>(K53-K62)*I49</f>
        <v>-61140394.778131567</v>
      </c>
    </row>
    <row r="64" spans="1:12" hidden="1">
      <c r="E64" s="370">
        <f>E60/E62</f>
        <v>27.017281138320524</v>
      </c>
      <c r="G64" s="370">
        <f>G60/G62</f>
        <v>4.7366336447663198</v>
      </c>
      <c r="H64" s="370">
        <f>H60/H62</f>
        <v>7.8842218461147864</v>
      </c>
      <c r="J64" s="351" t="s">
        <v>1372</v>
      </c>
      <c r="K64" s="355">
        <f>K63/H49</f>
        <v>-1.4626577867127524E-2</v>
      </c>
    </row>
    <row r="65" spans="10:12" hidden="1">
      <c r="J65" s="351" t="s">
        <v>1378</v>
      </c>
      <c r="K65">
        <v>6.9100000000000003E-3</v>
      </c>
    </row>
    <row r="66" spans="10:12" hidden="1">
      <c r="J66" s="351" t="s">
        <v>1379</v>
      </c>
      <c r="K66" s="354">
        <f>K64+K65+K54</f>
        <v>0.13750973554953252</v>
      </c>
      <c r="L66" s="354">
        <f>K66+K57</f>
        <v>0.17671140721534206</v>
      </c>
    </row>
    <row r="67" spans="10:12" hidden="1"/>
    <row r="68" spans="10:12" hidden="1"/>
    <row r="69" spans="10:12" hidden="1"/>
  </sheetData>
  <mergeCells count="6">
    <mergeCell ref="A1:K1"/>
    <mergeCell ref="A3:K3"/>
    <mergeCell ref="A4:K4"/>
    <mergeCell ref="A6:K6"/>
    <mergeCell ref="E8:F8"/>
    <mergeCell ref="H8:I8"/>
  </mergeCells>
  <printOptions verticalCentered="1"/>
  <pageMargins left="0.7" right="0.7" top="0.75" bottom="0.75" header="0.3" footer="0.3"/>
  <pageSetup scale="85" orientation="portrait" r:id="rId1"/>
  <headerFooter>
    <oddHeader>&amp;R&amp;"Times New Roman,Bold"&amp;12Exhibit JFW-2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view="pageBreakPreview" zoomScale="75" zoomScaleNormal="85" zoomScaleSheetLayoutView="75" workbookViewId="0">
      <pane xSplit="4" ySplit="4" topLeftCell="E5" activePane="bottomRight" state="frozen"/>
      <selection activeCell="F767" sqref="F767"/>
      <selection pane="topRight" activeCell="F767" sqref="F767"/>
      <selection pane="bottomLeft" activeCell="F767" sqref="F767"/>
      <selection pane="bottomRight" activeCell="E5" sqref="E5"/>
    </sheetView>
  </sheetViews>
  <sheetFormatPr defaultColWidth="9.140625" defaultRowHeight="14.25"/>
  <cols>
    <col min="1" max="1" width="7.7109375" style="44" customWidth="1"/>
    <col min="2" max="2" width="55.85546875" style="44" customWidth="1"/>
    <col min="3" max="3" width="14.42578125" style="44" customWidth="1"/>
    <col min="4" max="4" width="12.42578125" style="44" customWidth="1"/>
    <col min="5" max="5" width="2.7109375" style="44" customWidth="1"/>
    <col min="6" max="6" width="17.5703125" style="60" customWidth="1"/>
    <col min="7" max="7" width="2.140625" style="44" customWidth="1"/>
    <col min="8" max="8" width="20.42578125" style="44" bestFit="1" customWidth="1"/>
    <col min="9" max="9" width="19" style="44" bestFit="1" customWidth="1"/>
    <col min="10" max="11" width="18" style="44" customWidth="1"/>
    <col min="12" max="12" width="21.85546875" style="44" hidden="1" customWidth="1"/>
    <col min="13" max="13" width="22.28515625" style="44" hidden="1" customWidth="1"/>
    <col min="14" max="14" width="18.7109375" style="44" bestFit="1" customWidth="1"/>
    <col min="15" max="16" width="18.7109375" style="44" hidden="1" customWidth="1"/>
    <col min="17" max="17" width="17.5703125" style="44" hidden="1" customWidth="1"/>
    <col min="18" max="18" width="17.5703125" style="44" customWidth="1"/>
    <col min="19" max="19" width="16.28515625" style="44" customWidth="1"/>
    <col min="20" max="20" width="17.85546875" style="44" customWidth="1"/>
    <col min="21" max="21" width="16.28515625" style="44" customWidth="1"/>
    <col min="22" max="22" width="16.7109375" style="44" customWidth="1"/>
    <col min="23" max="23" width="16.7109375" style="43" customWidth="1"/>
    <col min="24" max="25" width="16.85546875" style="44" customWidth="1"/>
    <col min="26" max="28" width="17.5703125" style="44" customWidth="1"/>
    <col min="29" max="29" width="17.85546875" style="44" customWidth="1"/>
    <col min="30" max="30" width="15" style="44" customWidth="1"/>
    <col min="31" max="31" width="18.28515625" style="44" bestFit="1" customWidth="1"/>
    <col min="32" max="32" width="18.28515625" style="44" customWidth="1"/>
    <col min="33" max="33" width="14.7109375" style="44" customWidth="1"/>
    <col min="34" max="35" width="17.5703125" style="44" bestFit="1" customWidth="1"/>
    <col min="36" max="36" width="15.140625" style="44" bestFit="1" customWidth="1"/>
    <col min="37" max="37" width="17.5703125" style="44" bestFit="1" customWidth="1"/>
    <col min="38" max="16384" width="9.140625" style="44"/>
  </cols>
  <sheetData>
    <row r="1" spans="1:37" ht="15" thickBot="1"/>
    <row r="2" spans="1:37" ht="15" hidden="1" thickBot="1">
      <c r="A2" s="43"/>
      <c r="B2" s="43"/>
      <c r="C2" s="43">
        <v>1</v>
      </c>
      <c r="D2" s="43">
        <f>C2+1</f>
        <v>2</v>
      </c>
      <c r="E2" s="43">
        <f t="shared" ref="E2:AG2" si="0">D2+1</f>
        <v>3</v>
      </c>
      <c r="F2" s="77">
        <f t="shared" si="0"/>
        <v>4</v>
      </c>
      <c r="G2" s="43">
        <f t="shared" si="0"/>
        <v>5</v>
      </c>
      <c r="H2" s="43">
        <f t="shared" si="0"/>
        <v>6</v>
      </c>
      <c r="I2" s="43">
        <f t="shared" si="0"/>
        <v>7</v>
      </c>
      <c r="J2" s="43">
        <f t="shared" si="0"/>
        <v>8</v>
      </c>
      <c r="K2" s="43">
        <f t="shared" si="0"/>
        <v>9</v>
      </c>
      <c r="L2" s="43">
        <f t="shared" si="0"/>
        <v>10</v>
      </c>
      <c r="M2" s="43">
        <f t="shared" si="0"/>
        <v>11</v>
      </c>
      <c r="N2" s="43">
        <f t="shared" si="0"/>
        <v>12</v>
      </c>
      <c r="O2" s="43">
        <f t="shared" si="0"/>
        <v>13</v>
      </c>
      <c r="P2" s="43">
        <f t="shared" si="0"/>
        <v>14</v>
      </c>
      <c r="Q2" s="43">
        <f t="shared" si="0"/>
        <v>15</v>
      </c>
      <c r="R2" s="43">
        <f t="shared" si="0"/>
        <v>16</v>
      </c>
      <c r="S2" s="43">
        <f t="shared" si="0"/>
        <v>17</v>
      </c>
      <c r="T2" s="43">
        <f t="shared" si="0"/>
        <v>18</v>
      </c>
      <c r="U2" s="43">
        <f t="shared" si="0"/>
        <v>19</v>
      </c>
      <c r="V2" s="43">
        <f t="shared" si="0"/>
        <v>20</v>
      </c>
      <c r="W2" s="43">
        <f t="shared" si="0"/>
        <v>21</v>
      </c>
      <c r="X2" s="43">
        <f t="shared" si="0"/>
        <v>22</v>
      </c>
      <c r="Y2" s="43">
        <f t="shared" si="0"/>
        <v>23</v>
      </c>
      <c r="Z2" s="43">
        <f t="shared" si="0"/>
        <v>24</v>
      </c>
      <c r="AA2" s="43">
        <f t="shared" si="0"/>
        <v>25</v>
      </c>
      <c r="AB2" s="43">
        <f t="shared" si="0"/>
        <v>26</v>
      </c>
      <c r="AC2" s="43">
        <f t="shared" si="0"/>
        <v>27</v>
      </c>
      <c r="AD2" s="43">
        <f t="shared" si="0"/>
        <v>28</v>
      </c>
      <c r="AE2" s="43">
        <f t="shared" si="0"/>
        <v>29</v>
      </c>
      <c r="AF2" s="43">
        <f t="shared" si="0"/>
        <v>30</v>
      </c>
      <c r="AG2" s="43">
        <f t="shared" si="0"/>
        <v>31</v>
      </c>
    </row>
    <row r="3" spans="1:37" ht="48" customHeight="1" thickBot="1">
      <c r="A3" s="45"/>
      <c r="B3" s="45"/>
      <c r="C3" s="46"/>
      <c r="D3" s="47" t="s">
        <v>921</v>
      </c>
      <c r="E3" s="46"/>
      <c r="F3" s="72" t="s">
        <v>922</v>
      </c>
      <c r="G3" s="46"/>
      <c r="H3" s="387" t="s">
        <v>345</v>
      </c>
      <c r="I3" s="388"/>
      <c r="J3" s="389"/>
      <c r="K3" s="50" t="s">
        <v>346</v>
      </c>
      <c r="L3" s="48"/>
      <c r="M3" s="49"/>
      <c r="N3" s="50" t="s">
        <v>175</v>
      </c>
      <c r="O3" s="344"/>
      <c r="P3" s="344"/>
      <c r="Q3" s="343" t="s">
        <v>348</v>
      </c>
      <c r="R3" s="50" t="s">
        <v>349</v>
      </c>
      <c r="S3" s="387" t="s">
        <v>356</v>
      </c>
      <c r="T3" s="388"/>
      <c r="U3" s="389"/>
      <c r="V3" s="385" t="s">
        <v>355</v>
      </c>
      <c r="W3" s="386"/>
      <c r="X3" s="385" t="s">
        <v>357</v>
      </c>
      <c r="Y3" s="386"/>
      <c r="Z3" s="50" t="s">
        <v>354</v>
      </c>
      <c r="AA3" s="50" t="s">
        <v>353</v>
      </c>
      <c r="AB3" s="50" t="s">
        <v>352</v>
      </c>
      <c r="AC3" s="50" t="s">
        <v>1025</v>
      </c>
      <c r="AD3" s="50" t="s">
        <v>351</v>
      </c>
      <c r="AE3" s="50" t="s">
        <v>350</v>
      </c>
      <c r="AF3" s="45"/>
      <c r="AG3" s="45"/>
    </row>
    <row r="4" spans="1:37" ht="15.75" thickBot="1">
      <c r="A4" s="51" t="s">
        <v>925</v>
      </c>
      <c r="B4" s="51"/>
      <c r="C4" s="52" t="s">
        <v>926</v>
      </c>
      <c r="D4" s="52" t="s">
        <v>927</v>
      </c>
      <c r="E4" s="53"/>
      <c r="F4" s="73" t="s">
        <v>928</v>
      </c>
      <c r="G4" s="54"/>
      <c r="H4" s="53" t="s">
        <v>183</v>
      </c>
      <c r="I4" s="53" t="s">
        <v>1253</v>
      </c>
      <c r="J4" s="53" t="s">
        <v>1254</v>
      </c>
      <c r="K4" s="53"/>
      <c r="L4" s="53"/>
      <c r="M4" s="53"/>
      <c r="N4" s="53" t="s">
        <v>929</v>
      </c>
      <c r="O4" s="53"/>
      <c r="P4" s="53"/>
      <c r="Q4" s="53" t="s">
        <v>347</v>
      </c>
      <c r="R4" s="53" t="s">
        <v>205</v>
      </c>
      <c r="S4" s="53" t="s">
        <v>347</v>
      </c>
      <c r="T4" s="53" t="s">
        <v>929</v>
      </c>
      <c r="U4" s="53" t="s">
        <v>931</v>
      </c>
      <c r="V4" s="53" t="s">
        <v>929</v>
      </c>
      <c r="W4" s="53" t="s">
        <v>931</v>
      </c>
      <c r="X4" s="53" t="s">
        <v>929</v>
      </c>
      <c r="Y4" s="53" t="s">
        <v>931</v>
      </c>
      <c r="Z4" s="53" t="s">
        <v>931</v>
      </c>
      <c r="AA4" s="53"/>
      <c r="AB4" s="53"/>
      <c r="AC4" s="53"/>
      <c r="AD4" s="53"/>
      <c r="AE4" s="53"/>
      <c r="AF4" s="53" t="s">
        <v>932</v>
      </c>
      <c r="AG4" s="55" t="s">
        <v>933</v>
      </c>
    </row>
    <row r="5" spans="1:37">
      <c r="F5" s="78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6"/>
      <c r="Y5" s="56"/>
      <c r="Z5" s="56"/>
      <c r="AA5" s="56"/>
      <c r="AB5" s="56"/>
      <c r="AC5" s="56"/>
      <c r="AD5" s="56"/>
      <c r="AE5" s="56"/>
      <c r="AG5" s="58"/>
    </row>
    <row r="6" spans="1:37" ht="15">
      <c r="A6" s="217" t="s">
        <v>934</v>
      </c>
      <c r="F6" s="78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6"/>
      <c r="Y6" s="56"/>
      <c r="Z6" s="56"/>
      <c r="AA6" s="56"/>
      <c r="AB6" s="56"/>
      <c r="AC6" s="56"/>
      <c r="AD6" s="56"/>
      <c r="AE6" s="56"/>
      <c r="AG6" s="58"/>
      <c r="AK6" s="241"/>
    </row>
    <row r="7" spans="1:37">
      <c r="A7" s="60"/>
      <c r="AG7" s="58"/>
      <c r="AH7" s="44" t="s">
        <v>1283</v>
      </c>
      <c r="AJ7" s="74">
        <v>0.7</v>
      </c>
    </row>
    <row r="8" spans="1:37" ht="15">
      <c r="A8" s="59" t="s">
        <v>1132</v>
      </c>
      <c r="B8" s="60"/>
      <c r="AG8" s="58"/>
      <c r="AJ8" s="237"/>
    </row>
    <row r="9" spans="1:37">
      <c r="A9" s="61">
        <v>301</v>
      </c>
      <c r="B9" s="60" t="s">
        <v>1135</v>
      </c>
      <c r="C9" s="44" t="s">
        <v>1136</v>
      </c>
      <c r="D9" s="44" t="s">
        <v>1163</v>
      </c>
      <c r="F9" s="76">
        <v>2240.2600000000002</v>
      </c>
      <c r="H9" s="63">
        <f t="shared" ref="H9:Q13" si="1">IF(VLOOKUP($D9,$C$6:$AE$653,H$2,)=0,0,((VLOOKUP($D9,$C$6:$AE$653,H$2,)/VLOOKUP($D9,$C$6:$AE$653,4,))*$F9))</f>
        <v>432.00964298566305</v>
      </c>
      <c r="I9" s="63">
        <f t="shared" si="1"/>
        <v>452.55744478522757</v>
      </c>
      <c r="J9" s="63">
        <f t="shared" si="1"/>
        <v>372.00069358041463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3">
        <f t="shared" si="1"/>
        <v>241.01991756327914</v>
      </c>
      <c r="O9" s="63">
        <f t="shared" si="1"/>
        <v>0</v>
      </c>
      <c r="P9" s="63">
        <f t="shared" si="1"/>
        <v>0</v>
      </c>
      <c r="Q9" s="63">
        <f t="shared" si="1"/>
        <v>0</v>
      </c>
      <c r="R9" s="63">
        <f t="shared" ref="R9:AE13" si="2">IF(VLOOKUP($D9,$C$6:$AE$653,R$2,)=0,0,((VLOOKUP($D9,$C$6:$AE$653,R$2,)/VLOOKUP($D9,$C$6:$AE$653,4,))*$F9))</f>
        <v>83.210751696166724</v>
      </c>
      <c r="S9" s="63">
        <f t="shared" si="2"/>
        <v>0</v>
      </c>
      <c r="T9" s="63">
        <f t="shared" si="2"/>
        <v>142.29894446331681</v>
      </c>
      <c r="U9" s="63">
        <f t="shared" si="2"/>
        <v>226.45050854984552</v>
      </c>
      <c r="V9" s="63">
        <f t="shared" si="2"/>
        <v>39.118514594606545</v>
      </c>
      <c r="W9" s="63">
        <f t="shared" si="2"/>
        <v>59.446687975871285</v>
      </c>
      <c r="X9" s="63">
        <f t="shared" si="2"/>
        <v>54.07358946008582</v>
      </c>
      <c r="Y9" s="63">
        <f t="shared" si="2"/>
        <v>37.816492082904702</v>
      </c>
      <c r="Z9" s="63">
        <f t="shared" si="2"/>
        <v>18.780377047705514</v>
      </c>
      <c r="AA9" s="63">
        <f t="shared" si="2"/>
        <v>21.784712803141915</v>
      </c>
      <c r="AB9" s="63">
        <f t="shared" si="2"/>
        <v>59.691722411771039</v>
      </c>
      <c r="AC9" s="63">
        <f t="shared" si="2"/>
        <v>0</v>
      </c>
      <c r="AD9" s="63">
        <f t="shared" si="2"/>
        <v>0</v>
      </c>
      <c r="AE9" s="63">
        <f t="shared" si="2"/>
        <v>0</v>
      </c>
      <c r="AF9" s="63">
        <f>SUM(H9:AE9)</f>
        <v>2240.2599999999998</v>
      </c>
      <c r="AG9" s="58" t="str">
        <f>IF(ABS(AF9-F9)&lt;1,"ok","err")</f>
        <v>ok</v>
      </c>
      <c r="AH9" s="44" t="s">
        <v>1284</v>
      </c>
      <c r="AJ9" s="74">
        <v>0.3</v>
      </c>
    </row>
    <row r="10" spans="1:37">
      <c r="A10" s="61">
        <v>302</v>
      </c>
      <c r="B10" s="60" t="s">
        <v>1134</v>
      </c>
      <c r="C10" s="44" t="s">
        <v>1136</v>
      </c>
      <c r="D10" s="44" t="s">
        <v>1163</v>
      </c>
      <c r="F10" s="79"/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si="1"/>
        <v>0</v>
      </c>
      <c r="O10" s="63">
        <f t="shared" si="1"/>
        <v>0</v>
      </c>
      <c r="P10" s="63">
        <f t="shared" si="1"/>
        <v>0</v>
      </c>
      <c r="Q10" s="63">
        <f t="shared" si="1"/>
        <v>0</v>
      </c>
      <c r="R10" s="63">
        <f t="shared" si="2"/>
        <v>0</v>
      </c>
      <c r="S10" s="63">
        <f t="shared" si="2"/>
        <v>0</v>
      </c>
      <c r="T10" s="63">
        <f t="shared" si="2"/>
        <v>0</v>
      </c>
      <c r="U10" s="63">
        <f t="shared" si="2"/>
        <v>0</v>
      </c>
      <c r="V10" s="63">
        <f t="shared" si="2"/>
        <v>0</v>
      </c>
      <c r="W10" s="63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2"/>
        <v>0</v>
      </c>
      <c r="AB10" s="63">
        <f t="shared" si="2"/>
        <v>0</v>
      </c>
      <c r="AC10" s="63">
        <f t="shared" si="2"/>
        <v>0</v>
      </c>
      <c r="AD10" s="63">
        <f t="shared" si="2"/>
        <v>0</v>
      </c>
      <c r="AE10" s="63">
        <f t="shared" si="2"/>
        <v>0</v>
      </c>
      <c r="AF10" s="63">
        <f>SUM(H10:AE10)</f>
        <v>0</v>
      </c>
      <c r="AG10" s="58" t="str">
        <f>IF(ABS(AF10-F10)&lt;1,"ok","err")</f>
        <v>ok</v>
      </c>
    </row>
    <row r="11" spans="1:37">
      <c r="A11" s="61">
        <v>303</v>
      </c>
      <c r="B11" s="60" t="s">
        <v>915</v>
      </c>
      <c r="C11" s="44" t="s">
        <v>1137</v>
      </c>
      <c r="D11" s="44" t="s">
        <v>1163</v>
      </c>
      <c r="F11" s="79"/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1"/>
        <v>0</v>
      </c>
      <c r="Q11" s="63">
        <f t="shared" si="1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3">
        <f t="shared" si="2"/>
        <v>0</v>
      </c>
      <c r="V11" s="63">
        <f t="shared" si="2"/>
        <v>0</v>
      </c>
      <c r="W11" s="63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2"/>
        <v>0</v>
      </c>
      <c r="AB11" s="63">
        <f t="shared" si="2"/>
        <v>0</v>
      </c>
      <c r="AC11" s="63">
        <f t="shared" si="2"/>
        <v>0</v>
      </c>
      <c r="AD11" s="63">
        <f t="shared" si="2"/>
        <v>0</v>
      </c>
      <c r="AE11" s="63">
        <f t="shared" si="2"/>
        <v>0</v>
      </c>
      <c r="AF11" s="63">
        <f>SUM(H11:AE11)</f>
        <v>0</v>
      </c>
      <c r="AG11" s="58" t="str">
        <f>IF(ABS(AF11-F11)&lt;1,"ok","err")</f>
        <v>ok</v>
      </c>
    </row>
    <row r="12" spans="1:37">
      <c r="A12" s="61">
        <v>301</v>
      </c>
      <c r="B12" s="60" t="s">
        <v>913</v>
      </c>
      <c r="C12" s="44" t="s">
        <v>1136</v>
      </c>
      <c r="D12" s="44" t="s">
        <v>1163</v>
      </c>
      <c r="F12" s="240"/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f t="shared" si="1"/>
        <v>0</v>
      </c>
      <c r="O12" s="63">
        <f t="shared" si="1"/>
        <v>0</v>
      </c>
      <c r="P12" s="63">
        <f t="shared" si="1"/>
        <v>0</v>
      </c>
      <c r="Q12" s="63">
        <f t="shared" si="1"/>
        <v>0</v>
      </c>
      <c r="R12" s="63">
        <f t="shared" si="2"/>
        <v>0</v>
      </c>
      <c r="S12" s="63">
        <f t="shared" si="2"/>
        <v>0</v>
      </c>
      <c r="T12" s="63">
        <f t="shared" si="2"/>
        <v>0</v>
      </c>
      <c r="U12" s="63">
        <f t="shared" si="2"/>
        <v>0</v>
      </c>
      <c r="V12" s="63">
        <f t="shared" si="2"/>
        <v>0</v>
      </c>
      <c r="W12" s="63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2"/>
        <v>0</v>
      </c>
      <c r="AB12" s="63">
        <f t="shared" si="2"/>
        <v>0</v>
      </c>
      <c r="AC12" s="63">
        <f t="shared" si="2"/>
        <v>0</v>
      </c>
      <c r="AD12" s="63">
        <f t="shared" si="2"/>
        <v>0</v>
      </c>
      <c r="AE12" s="63">
        <f t="shared" si="2"/>
        <v>0</v>
      </c>
      <c r="AF12" s="63">
        <f>SUM(H12:AE12)</f>
        <v>0</v>
      </c>
      <c r="AG12" s="58" t="str">
        <f>IF(ABS(AF12-F12)&lt;1,"ok","err")</f>
        <v>ok</v>
      </c>
    </row>
    <row r="13" spans="1:37">
      <c r="A13" s="61">
        <v>302</v>
      </c>
      <c r="B13" s="60" t="s">
        <v>914</v>
      </c>
      <c r="C13" s="44" t="s">
        <v>1136</v>
      </c>
      <c r="D13" s="44" t="s">
        <v>1163</v>
      </c>
      <c r="F13" s="79"/>
      <c r="H13" s="63">
        <f t="shared" si="1"/>
        <v>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f t="shared" si="1"/>
        <v>0</v>
      </c>
      <c r="O13" s="63">
        <f t="shared" si="1"/>
        <v>0</v>
      </c>
      <c r="P13" s="63">
        <f t="shared" si="1"/>
        <v>0</v>
      </c>
      <c r="Q13" s="63">
        <f t="shared" si="1"/>
        <v>0</v>
      </c>
      <c r="R13" s="63">
        <f t="shared" si="2"/>
        <v>0</v>
      </c>
      <c r="S13" s="63">
        <f t="shared" si="2"/>
        <v>0</v>
      </c>
      <c r="T13" s="63">
        <f t="shared" si="2"/>
        <v>0</v>
      </c>
      <c r="U13" s="63">
        <f t="shared" si="2"/>
        <v>0</v>
      </c>
      <c r="V13" s="63">
        <f t="shared" si="2"/>
        <v>0</v>
      </c>
      <c r="W13" s="63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2"/>
        <v>0</v>
      </c>
      <c r="AB13" s="63">
        <f t="shared" si="2"/>
        <v>0</v>
      </c>
      <c r="AC13" s="63">
        <f t="shared" si="2"/>
        <v>0</v>
      </c>
      <c r="AD13" s="63">
        <f t="shared" si="2"/>
        <v>0</v>
      </c>
      <c r="AE13" s="63">
        <f t="shared" si="2"/>
        <v>0</v>
      </c>
      <c r="AF13" s="63">
        <f>SUM(H13:AE13)</f>
        <v>0</v>
      </c>
      <c r="AG13" s="58" t="str">
        <f>IF(ABS(AF13-F13)&lt;1,"ok","err")</f>
        <v>ok</v>
      </c>
    </row>
    <row r="14" spans="1:37">
      <c r="A14" s="60"/>
      <c r="B14" s="60"/>
      <c r="AG14" s="58"/>
    </row>
    <row r="15" spans="1:37">
      <c r="A15" s="60"/>
      <c r="B15" s="60" t="s">
        <v>936</v>
      </c>
      <c r="C15" s="44" t="s">
        <v>937</v>
      </c>
      <c r="F15" s="80">
        <f>SUM(F9:F14)</f>
        <v>2240.2600000000002</v>
      </c>
      <c r="G15" s="64">
        <f>SUM(G9:G11)</f>
        <v>0</v>
      </c>
      <c r="H15" s="64">
        <f>SUM(H9:H13)</f>
        <v>432.00964298566305</v>
      </c>
      <c r="I15" s="64">
        <f>SUM(I9:I13)</f>
        <v>452.55744478522757</v>
      </c>
      <c r="J15" s="64">
        <f t="shared" ref="J15:AE15" si="3">SUM(J9:J13)</f>
        <v>372.00069358041463</v>
      </c>
      <c r="K15" s="64">
        <f t="shared" si="3"/>
        <v>0</v>
      </c>
      <c r="L15" s="64">
        <f t="shared" si="3"/>
        <v>0</v>
      </c>
      <c r="M15" s="64">
        <f t="shared" si="3"/>
        <v>0</v>
      </c>
      <c r="N15" s="64">
        <f t="shared" si="3"/>
        <v>241.01991756327914</v>
      </c>
      <c r="O15" s="64">
        <f t="shared" si="3"/>
        <v>0</v>
      </c>
      <c r="P15" s="64">
        <f t="shared" si="3"/>
        <v>0</v>
      </c>
      <c r="Q15" s="64">
        <f t="shared" si="3"/>
        <v>0</v>
      </c>
      <c r="R15" s="64">
        <f t="shared" si="3"/>
        <v>83.210751696166724</v>
      </c>
      <c r="S15" s="64">
        <f t="shared" si="3"/>
        <v>0</v>
      </c>
      <c r="T15" s="64">
        <f t="shared" si="3"/>
        <v>142.29894446331681</v>
      </c>
      <c r="U15" s="64">
        <f t="shared" si="3"/>
        <v>226.45050854984552</v>
      </c>
      <c r="V15" s="64">
        <f t="shared" si="3"/>
        <v>39.118514594606545</v>
      </c>
      <c r="W15" s="64">
        <f t="shared" si="3"/>
        <v>59.446687975871285</v>
      </c>
      <c r="X15" s="64">
        <f t="shared" si="3"/>
        <v>54.07358946008582</v>
      </c>
      <c r="Y15" s="64">
        <f t="shared" si="3"/>
        <v>37.816492082904702</v>
      </c>
      <c r="Z15" s="64">
        <f t="shared" si="3"/>
        <v>18.780377047705514</v>
      </c>
      <c r="AA15" s="64">
        <f t="shared" si="3"/>
        <v>21.784712803141915</v>
      </c>
      <c r="AB15" s="64">
        <f t="shared" si="3"/>
        <v>59.691722411771039</v>
      </c>
      <c r="AC15" s="64">
        <f t="shared" si="3"/>
        <v>0</v>
      </c>
      <c r="AD15" s="64">
        <f t="shared" si="3"/>
        <v>0</v>
      </c>
      <c r="AE15" s="64">
        <f t="shared" si="3"/>
        <v>0</v>
      </c>
      <c r="AF15" s="63">
        <f>SUM(H15:AE15)</f>
        <v>2240.2599999999998</v>
      </c>
      <c r="AG15" s="58" t="str">
        <f>IF(ABS(AF15-F15)&lt;1,"ok","err")</f>
        <v>ok</v>
      </c>
    </row>
    <row r="16" spans="1:37">
      <c r="A16" s="60"/>
      <c r="B16" s="60"/>
      <c r="F16" s="80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3"/>
      <c r="AG16" s="58"/>
    </row>
    <row r="17" spans="1:33" ht="15">
      <c r="A17" s="59" t="s">
        <v>194</v>
      </c>
      <c r="B17" s="60"/>
      <c r="W17" s="44"/>
      <c r="AG17" s="58"/>
    </row>
    <row r="18" spans="1:33">
      <c r="A18" s="60"/>
      <c r="B18" s="60"/>
      <c r="F18" s="80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3"/>
      <c r="AG18" s="58"/>
    </row>
    <row r="19" spans="1:33">
      <c r="A19" s="60"/>
      <c r="B19" s="60" t="s">
        <v>195</v>
      </c>
      <c r="C19" s="44" t="s">
        <v>196</v>
      </c>
      <c r="D19" s="44" t="s">
        <v>638</v>
      </c>
      <c r="F19" s="80">
        <v>1762102620.8707695</v>
      </c>
      <c r="G19" s="64"/>
      <c r="H19" s="63">
        <f t="shared" ref="H19:AE19" si="4">IF(VLOOKUP($D19,$C$6:$AE$653,H$2,)=0,0,((VLOOKUP($D19,$C$6:$AE$653,H$2,)/VLOOKUP($D19,$C$6:$AE$653,4,))*$F19))</f>
        <v>605813180.5097245</v>
      </c>
      <c r="I19" s="63">
        <f t="shared" si="4"/>
        <v>634627651.11886954</v>
      </c>
      <c r="J19" s="63">
        <f t="shared" si="4"/>
        <v>521661789.24217552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3">
        <f t="shared" si="4"/>
        <v>0</v>
      </c>
      <c r="U19" s="63">
        <f t="shared" si="4"/>
        <v>0</v>
      </c>
      <c r="V19" s="63">
        <f t="shared" si="4"/>
        <v>0</v>
      </c>
      <c r="W19" s="63">
        <f t="shared" si="4"/>
        <v>0</v>
      </c>
      <c r="X19" s="63">
        <f t="shared" si="4"/>
        <v>0</v>
      </c>
      <c r="Y19" s="63">
        <f t="shared" si="4"/>
        <v>0</v>
      </c>
      <c r="Z19" s="63">
        <f t="shared" si="4"/>
        <v>0</v>
      </c>
      <c r="AA19" s="63">
        <f t="shared" si="4"/>
        <v>0</v>
      </c>
      <c r="AB19" s="63">
        <f t="shared" si="4"/>
        <v>0</v>
      </c>
      <c r="AC19" s="63">
        <f t="shared" si="4"/>
        <v>0</v>
      </c>
      <c r="AD19" s="63">
        <f t="shared" si="4"/>
        <v>0</v>
      </c>
      <c r="AE19" s="63">
        <f t="shared" si="4"/>
        <v>0</v>
      </c>
      <c r="AF19" s="63">
        <f>SUM(H19:AE19)</f>
        <v>1762102620.8707695</v>
      </c>
      <c r="AG19" s="58" t="str">
        <f>IF(ABS(AF19-F19)&lt;1,"ok","err")</f>
        <v>ok</v>
      </c>
    </row>
    <row r="20" spans="1:33">
      <c r="A20" s="60"/>
      <c r="B20" s="60"/>
      <c r="AG20" s="58"/>
    </row>
    <row r="21" spans="1:33" ht="15">
      <c r="A21" s="59" t="s">
        <v>302</v>
      </c>
      <c r="B21" s="60"/>
      <c r="W21" s="44"/>
      <c r="AG21" s="58"/>
    </row>
    <row r="22" spans="1:33">
      <c r="A22" s="60"/>
      <c r="B22" s="60"/>
      <c r="F22" s="80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3"/>
      <c r="AG22" s="58"/>
    </row>
    <row r="23" spans="1:33">
      <c r="A23" s="60"/>
      <c r="B23" s="60" t="s">
        <v>303</v>
      </c>
      <c r="C23" s="44" t="s">
        <v>304</v>
      </c>
      <c r="D23" s="44" t="s">
        <v>638</v>
      </c>
      <c r="F23" s="80">
        <v>146463607.74692306</v>
      </c>
      <c r="G23" s="64"/>
      <c r="H23" s="63">
        <f t="shared" ref="H23:AE23" si="5">IF(VLOOKUP($D23,$C$6:$AE$653,H$2,)=0,0,((VLOOKUP($D23,$C$6:$AE$653,H$2,)/VLOOKUP($D23,$C$6:$AE$653,4,))*$F23))</f>
        <v>50354379.470955625</v>
      </c>
      <c r="I23" s="63">
        <f t="shared" si="5"/>
        <v>52749399.642168783</v>
      </c>
      <c r="J23" s="63">
        <f t="shared" si="5"/>
        <v>43359828.633798651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63">
        <f t="shared" si="5"/>
        <v>0</v>
      </c>
      <c r="Q23" s="63">
        <f t="shared" si="5"/>
        <v>0</v>
      </c>
      <c r="R23" s="63">
        <f t="shared" si="5"/>
        <v>0</v>
      </c>
      <c r="S23" s="63">
        <f t="shared" si="5"/>
        <v>0</v>
      </c>
      <c r="T23" s="63">
        <f t="shared" si="5"/>
        <v>0</v>
      </c>
      <c r="U23" s="63">
        <f t="shared" si="5"/>
        <v>0</v>
      </c>
      <c r="V23" s="63">
        <f t="shared" si="5"/>
        <v>0</v>
      </c>
      <c r="W23" s="63">
        <f t="shared" si="5"/>
        <v>0</v>
      </c>
      <c r="X23" s="63">
        <f t="shared" si="5"/>
        <v>0</v>
      </c>
      <c r="Y23" s="63">
        <f t="shared" si="5"/>
        <v>0</v>
      </c>
      <c r="Z23" s="63">
        <f t="shared" si="5"/>
        <v>0</v>
      </c>
      <c r="AA23" s="63">
        <f t="shared" si="5"/>
        <v>0</v>
      </c>
      <c r="AB23" s="63">
        <f t="shared" si="5"/>
        <v>0</v>
      </c>
      <c r="AC23" s="63">
        <f t="shared" si="5"/>
        <v>0</v>
      </c>
      <c r="AD23" s="63">
        <f t="shared" si="5"/>
        <v>0</v>
      </c>
      <c r="AE23" s="63">
        <f t="shared" si="5"/>
        <v>0</v>
      </c>
      <c r="AF23" s="63">
        <f>SUM(H23:AE23)</f>
        <v>146463607.74692306</v>
      </c>
      <c r="AG23" s="58" t="str">
        <f>IF(ABS(AF23-F23)&lt;1,"ok","err")</f>
        <v>ok</v>
      </c>
    </row>
    <row r="24" spans="1:33">
      <c r="A24" s="60"/>
      <c r="B24" s="60"/>
      <c r="AG24" s="58"/>
    </row>
    <row r="25" spans="1:33" ht="15">
      <c r="A25" s="59" t="s">
        <v>197</v>
      </c>
      <c r="B25" s="60"/>
      <c r="W25" s="44"/>
      <c r="AG25" s="58"/>
    </row>
    <row r="26" spans="1:33">
      <c r="A26" s="60"/>
      <c r="B26" s="60"/>
      <c r="F26" s="80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3"/>
      <c r="AG26" s="58"/>
    </row>
    <row r="27" spans="1:33">
      <c r="A27" s="60"/>
      <c r="B27" s="60" t="s">
        <v>198</v>
      </c>
      <c r="C27" s="44" t="s">
        <v>199</v>
      </c>
      <c r="D27" s="44" t="s">
        <v>638</v>
      </c>
      <c r="F27" s="80">
        <v>396983699.15923077</v>
      </c>
      <c r="G27" s="64"/>
      <c r="H27" s="63">
        <f t="shared" ref="H27:AE27" si="6">IF(VLOOKUP($D27,$C$6:$AE$653,H$2,)=0,0,((VLOOKUP($D27,$C$6:$AE$653,H$2,)/VLOOKUP($D27,$C$6:$AE$653,4,))*$F27))</f>
        <v>136483513.81449255</v>
      </c>
      <c r="I27" s="63">
        <f t="shared" si="6"/>
        <v>142975119.35224533</v>
      </c>
      <c r="J27" s="63">
        <f t="shared" si="6"/>
        <v>117525065.99249288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3">
        <f t="shared" si="6"/>
        <v>0</v>
      </c>
      <c r="O27" s="63">
        <f t="shared" si="6"/>
        <v>0</v>
      </c>
      <c r="P27" s="63">
        <f t="shared" si="6"/>
        <v>0</v>
      </c>
      <c r="Q27" s="63">
        <f t="shared" si="6"/>
        <v>0</v>
      </c>
      <c r="R27" s="63">
        <f t="shared" si="6"/>
        <v>0</v>
      </c>
      <c r="S27" s="63">
        <f t="shared" si="6"/>
        <v>0</v>
      </c>
      <c r="T27" s="63">
        <f t="shared" si="6"/>
        <v>0</v>
      </c>
      <c r="U27" s="63">
        <f t="shared" si="6"/>
        <v>0</v>
      </c>
      <c r="V27" s="63">
        <f t="shared" si="6"/>
        <v>0</v>
      </c>
      <c r="W27" s="63">
        <f t="shared" si="6"/>
        <v>0</v>
      </c>
      <c r="X27" s="63">
        <f t="shared" si="6"/>
        <v>0</v>
      </c>
      <c r="Y27" s="63">
        <f t="shared" si="6"/>
        <v>0</v>
      </c>
      <c r="Z27" s="63">
        <f t="shared" si="6"/>
        <v>0</v>
      </c>
      <c r="AA27" s="63">
        <f t="shared" si="6"/>
        <v>0</v>
      </c>
      <c r="AB27" s="63">
        <f t="shared" si="6"/>
        <v>0</v>
      </c>
      <c r="AC27" s="63">
        <f t="shared" si="6"/>
        <v>0</v>
      </c>
      <c r="AD27" s="63">
        <f t="shared" si="6"/>
        <v>0</v>
      </c>
      <c r="AE27" s="63">
        <f t="shared" si="6"/>
        <v>0</v>
      </c>
      <c r="AF27" s="63">
        <f>SUM(H27:AE27)</f>
        <v>396983699.15923083</v>
      </c>
      <c r="AG27" s="58" t="str">
        <f>IF(ABS(AF27-F27)&lt;1,"ok","err")</f>
        <v>ok</v>
      </c>
    </row>
    <row r="28" spans="1:33">
      <c r="A28" s="60"/>
      <c r="B28" s="60"/>
      <c r="AG28" s="58"/>
    </row>
    <row r="29" spans="1:33" ht="15">
      <c r="A29" s="60"/>
      <c r="B29" s="65" t="s">
        <v>200</v>
      </c>
      <c r="C29" s="44" t="s">
        <v>201</v>
      </c>
      <c r="F29" s="80">
        <f>SUM(F19:F28)</f>
        <v>2305549927.7769232</v>
      </c>
      <c r="G29" s="64"/>
      <c r="H29" s="64">
        <f t="shared" ref="H29:Q29" si="7">H19+H23+H27</f>
        <v>792651073.79517269</v>
      </c>
      <c r="I29" s="64">
        <f t="shared" si="7"/>
        <v>830352170.11328363</v>
      </c>
      <c r="J29" s="64">
        <f t="shared" si="7"/>
        <v>682546683.86846709</v>
      </c>
      <c r="K29" s="64">
        <f t="shared" si="7"/>
        <v>0</v>
      </c>
      <c r="L29" s="64">
        <f t="shared" si="7"/>
        <v>0</v>
      </c>
      <c r="M29" s="64">
        <f t="shared" si="7"/>
        <v>0</v>
      </c>
      <c r="N29" s="64">
        <f t="shared" si="7"/>
        <v>0</v>
      </c>
      <c r="O29" s="64">
        <f t="shared" si="7"/>
        <v>0</v>
      </c>
      <c r="P29" s="64">
        <f t="shared" si="7"/>
        <v>0</v>
      </c>
      <c r="Q29" s="64">
        <f t="shared" si="7"/>
        <v>0</v>
      </c>
      <c r="R29" s="64"/>
      <c r="S29" s="64">
        <f>S19+S23+S27</f>
        <v>0</v>
      </c>
      <c r="T29" s="64">
        <f>T19+T23+T27</f>
        <v>0</v>
      </c>
      <c r="U29" s="64"/>
      <c r="V29" s="64"/>
      <c r="W29" s="64"/>
      <c r="X29" s="64">
        <f>X19+X23+X27</f>
        <v>0</v>
      </c>
      <c r="Y29" s="64">
        <f>Y19+Y23+Y27</f>
        <v>0</v>
      </c>
      <c r="Z29" s="64"/>
      <c r="AA29" s="64"/>
      <c r="AB29" s="64">
        <f>AB19+AB23+AB27</f>
        <v>0</v>
      </c>
      <c r="AC29" s="64">
        <f>AC19+AC23+AC27</f>
        <v>0</v>
      </c>
      <c r="AD29" s="64">
        <f>AD19+AD23+AD27</f>
        <v>0</v>
      </c>
      <c r="AE29" s="64">
        <f>AE19+AE23+AE27</f>
        <v>0</v>
      </c>
      <c r="AF29" s="63">
        <f>SUM(H29:AE29)</f>
        <v>2305549927.7769232</v>
      </c>
      <c r="AG29" s="58" t="str">
        <f>IF(ABS(AF29-F29)&lt;1,"ok","err")</f>
        <v>ok</v>
      </c>
    </row>
    <row r="30" spans="1:33">
      <c r="A30" s="60"/>
      <c r="B30" s="60"/>
      <c r="AG30" s="58"/>
    </row>
    <row r="31" spans="1:33" ht="15">
      <c r="A31" s="59" t="s">
        <v>1130</v>
      </c>
      <c r="B31" s="60"/>
      <c r="W31" s="44"/>
      <c r="AG31" s="58"/>
    </row>
    <row r="32" spans="1:33">
      <c r="A32" s="60"/>
      <c r="B32" s="60"/>
      <c r="W32" s="44"/>
      <c r="AF32" s="63"/>
      <c r="AG32" s="58"/>
    </row>
    <row r="33" spans="1:33">
      <c r="A33" s="60"/>
      <c r="B33" s="60" t="s">
        <v>1133</v>
      </c>
      <c r="C33" s="44" t="s">
        <v>1161</v>
      </c>
      <c r="D33" s="44" t="s">
        <v>1162</v>
      </c>
      <c r="F33" s="80">
        <v>442223222.47769213</v>
      </c>
      <c r="G33" s="64"/>
      <c r="H33" s="63">
        <f t="shared" ref="H33:AE33" si="8">IF(VLOOKUP($D33,$C$6:$AE$653,H$2,)=0,0,((VLOOKUP($D33,$C$6:$AE$653,H$2,)/VLOOKUP($D33,$C$6:$AE$653,4,))*$F33))</f>
        <v>0</v>
      </c>
      <c r="I33" s="63">
        <f t="shared" si="8"/>
        <v>0</v>
      </c>
      <c r="J33" s="63">
        <f t="shared" si="8"/>
        <v>0</v>
      </c>
      <c r="K33" s="63">
        <f t="shared" si="8"/>
        <v>0</v>
      </c>
      <c r="L33" s="63">
        <f t="shared" si="8"/>
        <v>0</v>
      </c>
      <c r="M33" s="63">
        <f t="shared" si="8"/>
        <v>0</v>
      </c>
      <c r="N33" s="63">
        <f t="shared" si="8"/>
        <v>442223222.47769213</v>
      </c>
      <c r="O33" s="63">
        <f t="shared" si="8"/>
        <v>0</v>
      </c>
      <c r="P33" s="63">
        <f t="shared" si="8"/>
        <v>0</v>
      </c>
      <c r="Q33" s="63">
        <f t="shared" si="8"/>
        <v>0</v>
      </c>
      <c r="R33" s="63">
        <f t="shared" si="8"/>
        <v>0</v>
      </c>
      <c r="S33" s="63">
        <f t="shared" si="8"/>
        <v>0</v>
      </c>
      <c r="T33" s="63">
        <f t="shared" si="8"/>
        <v>0</v>
      </c>
      <c r="U33" s="63">
        <f t="shared" si="8"/>
        <v>0</v>
      </c>
      <c r="V33" s="63">
        <f t="shared" si="8"/>
        <v>0</v>
      </c>
      <c r="W33" s="63">
        <f t="shared" si="8"/>
        <v>0</v>
      </c>
      <c r="X33" s="63">
        <f t="shared" si="8"/>
        <v>0</v>
      </c>
      <c r="Y33" s="63">
        <f t="shared" si="8"/>
        <v>0</v>
      </c>
      <c r="Z33" s="63">
        <f t="shared" si="8"/>
        <v>0</v>
      </c>
      <c r="AA33" s="63">
        <f t="shared" si="8"/>
        <v>0</v>
      </c>
      <c r="AB33" s="63">
        <f t="shared" si="8"/>
        <v>0</v>
      </c>
      <c r="AC33" s="63">
        <f t="shared" si="8"/>
        <v>0</v>
      </c>
      <c r="AD33" s="63">
        <f t="shared" si="8"/>
        <v>0</v>
      </c>
      <c r="AE33" s="63">
        <f t="shared" si="8"/>
        <v>0</v>
      </c>
      <c r="AF33" s="63">
        <f>SUM(H33:AE33)</f>
        <v>442223222.47769213</v>
      </c>
      <c r="AG33" s="58" t="str">
        <f>IF(ABS(AF33-F33)&lt;1,"ok","err")</f>
        <v>ok</v>
      </c>
    </row>
    <row r="34" spans="1:33">
      <c r="A34" s="60"/>
      <c r="B34" s="60"/>
      <c r="F34" s="80"/>
      <c r="G34" s="64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58"/>
    </row>
    <row r="35" spans="1:33" ht="15">
      <c r="A35" s="60"/>
      <c r="B35" s="65" t="s">
        <v>1133</v>
      </c>
      <c r="C35" s="44" t="s">
        <v>1349</v>
      </c>
      <c r="F35" s="80">
        <f>SUM(F33:F33)</f>
        <v>442223222.47769213</v>
      </c>
      <c r="G35" s="64"/>
      <c r="H35" s="80">
        <f>SUM(H33:H33)</f>
        <v>0</v>
      </c>
      <c r="I35" s="80">
        <f>SUM(I33:I33)</f>
        <v>0</v>
      </c>
      <c r="J35" s="80">
        <f>SUM(J33:J33)</f>
        <v>0</v>
      </c>
      <c r="K35" s="80">
        <f>SUM(K33:K33)</f>
        <v>0</v>
      </c>
      <c r="L35" s="64">
        <f>L24+L28+L33</f>
        <v>0</v>
      </c>
      <c r="M35" s="64">
        <f>M24+M28+M33</f>
        <v>0</v>
      </c>
      <c r="N35" s="80">
        <f>SUM(N33:N33)</f>
        <v>442223222.47769213</v>
      </c>
      <c r="O35" s="80">
        <f>SUM(O33:O33)</f>
        <v>0</v>
      </c>
      <c r="P35" s="80">
        <f>SUM(P33:P33)</f>
        <v>0</v>
      </c>
      <c r="Q35" s="64">
        <f>Q24+Q28+Q33</f>
        <v>0</v>
      </c>
      <c r="R35" s="80">
        <f t="shared" ref="R35:AE35" si="9">SUM(R33:R33)</f>
        <v>0</v>
      </c>
      <c r="S35" s="80">
        <f t="shared" si="9"/>
        <v>0</v>
      </c>
      <c r="T35" s="80">
        <f t="shared" si="9"/>
        <v>0</v>
      </c>
      <c r="U35" s="80">
        <f t="shared" si="9"/>
        <v>0</v>
      </c>
      <c r="V35" s="80">
        <f t="shared" si="9"/>
        <v>0</v>
      </c>
      <c r="W35" s="80">
        <f t="shared" si="9"/>
        <v>0</v>
      </c>
      <c r="X35" s="80">
        <f t="shared" si="9"/>
        <v>0</v>
      </c>
      <c r="Y35" s="80">
        <f t="shared" si="9"/>
        <v>0</v>
      </c>
      <c r="Z35" s="80">
        <f t="shared" si="9"/>
        <v>0</v>
      </c>
      <c r="AA35" s="80">
        <f t="shared" si="9"/>
        <v>0</v>
      </c>
      <c r="AB35" s="80">
        <f t="shared" si="9"/>
        <v>0</v>
      </c>
      <c r="AC35" s="80">
        <f t="shared" si="9"/>
        <v>0</v>
      </c>
      <c r="AD35" s="80">
        <f t="shared" si="9"/>
        <v>0</v>
      </c>
      <c r="AE35" s="80">
        <f t="shared" si="9"/>
        <v>0</v>
      </c>
      <c r="AF35" s="63">
        <f>SUM(H35:AE35)</f>
        <v>442223222.47769213</v>
      </c>
      <c r="AG35" s="58" t="str">
        <f>IF(ABS(AF35-F35)&lt;1,"ok","err")</f>
        <v>ok</v>
      </c>
    </row>
    <row r="36" spans="1:33">
      <c r="A36" s="60"/>
      <c r="B36" s="60"/>
      <c r="W36" s="44"/>
      <c r="AG36" s="58"/>
    </row>
    <row r="37" spans="1:33" ht="15">
      <c r="A37" s="59" t="s">
        <v>938</v>
      </c>
      <c r="B37" s="60"/>
      <c r="W37" s="44"/>
      <c r="AG37" s="58"/>
    </row>
    <row r="38" spans="1:33">
      <c r="A38" s="272"/>
      <c r="B38" s="42" t="s">
        <v>305</v>
      </c>
      <c r="C38" s="44" t="s">
        <v>939</v>
      </c>
      <c r="D38" s="44" t="s">
        <v>940</v>
      </c>
      <c r="F38" s="76">
        <f>4477292+8074953+140122800</f>
        <v>152675045</v>
      </c>
      <c r="H38" s="63">
        <f t="shared" ref="H38:Q46" si="10">IF(VLOOKUP($D38,$C$6:$AE$653,H$2,)=0,0,((VLOOKUP($D38,$C$6:$AE$653,H$2,)/VLOOKUP($D38,$C$6:$AE$653,4,))*$F38))</f>
        <v>0</v>
      </c>
      <c r="I38" s="63">
        <f t="shared" si="10"/>
        <v>0</v>
      </c>
      <c r="J38" s="63">
        <f t="shared" si="10"/>
        <v>0</v>
      </c>
      <c r="K38" s="63">
        <f t="shared" si="10"/>
        <v>0</v>
      </c>
      <c r="L38" s="63">
        <f t="shared" si="10"/>
        <v>0</v>
      </c>
      <c r="M38" s="63">
        <f t="shared" si="10"/>
        <v>0</v>
      </c>
      <c r="N38" s="63">
        <f t="shared" si="10"/>
        <v>0</v>
      </c>
      <c r="O38" s="63">
        <f t="shared" si="10"/>
        <v>0</v>
      </c>
      <c r="P38" s="63">
        <f t="shared" si="10"/>
        <v>0</v>
      </c>
      <c r="Q38" s="63">
        <f t="shared" si="10"/>
        <v>0</v>
      </c>
      <c r="R38" s="63">
        <f t="shared" ref="R38:AE46" si="11">IF(VLOOKUP($D38,$C$6:$AE$653,R$2,)=0,0,((VLOOKUP($D38,$C$6:$AE$653,R$2,)/VLOOKUP($D38,$C$6:$AE$653,4,))*$F38))</f>
        <v>152675045</v>
      </c>
      <c r="S38" s="63">
        <f t="shared" si="11"/>
        <v>0</v>
      </c>
      <c r="T38" s="63">
        <f t="shared" si="11"/>
        <v>0</v>
      </c>
      <c r="U38" s="63">
        <f t="shared" si="11"/>
        <v>0</v>
      </c>
      <c r="V38" s="63">
        <f t="shared" si="11"/>
        <v>0</v>
      </c>
      <c r="W38" s="63">
        <f t="shared" si="11"/>
        <v>0</v>
      </c>
      <c r="X38" s="63">
        <f t="shared" si="11"/>
        <v>0</v>
      </c>
      <c r="Y38" s="63">
        <f t="shared" si="11"/>
        <v>0</v>
      </c>
      <c r="Z38" s="63">
        <f t="shared" si="11"/>
        <v>0</v>
      </c>
      <c r="AA38" s="63">
        <f t="shared" si="11"/>
        <v>0</v>
      </c>
      <c r="AB38" s="63">
        <f t="shared" si="11"/>
        <v>0</v>
      </c>
      <c r="AC38" s="63">
        <f t="shared" si="11"/>
        <v>0</v>
      </c>
      <c r="AD38" s="63">
        <f t="shared" si="11"/>
        <v>0</v>
      </c>
      <c r="AE38" s="63">
        <f t="shared" si="11"/>
        <v>0</v>
      </c>
      <c r="AF38" s="63">
        <f t="shared" ref="AF38:AF45" si="12">SUM(H38:AE38)</f>
        <v>152675045</v>
      </c>
      <c r="AG38" s="58" t="str">
        <f t="shared" ref="AG38:AG46" si="13">IF(ABS(AF38-F38)&lt;1,"ok","err")</f>
        <v>ok</v>
      </c>
    </row>
    <row r="39" spans="1:33">
      <c r="A39" s="272"/>
      <c r="B39" s="42" t="s">
        <v>306</v>
      </c>
      <c r="C39" s="44" t="s">
        <v>942</v>
      </c>
      <c r="D39" s="44" t="s">
        <v>943</v>
      </c>
      <c r="F39" s="79">
        <f>213293280+314946460</f>
        <v>528239740</v>
      </c>
      <c r="H39" s="63">
        <f t="shared" si="10"/>
        <v>0</v>
      </c>
      <c r="I39" s="63">
        <f t="shared" si="10"/>
        <v>0</v>
      </c>
      <c r="J39" s="63">
        <f t="shared" si="10"/>
        <v>0</v>
      </c>
      <c r="K39" s="63">
        <f t="shared" si="10"/>
        <v>0</v>
      </c>
      <c r="L39" s="63">
        <f t="shared" si="10"/>
        <v>0</v>
      </c>
      <c r="M39" s="63">
        <f t="shared" si="10"/>
        <v>0</v>
      </c>
      <c r="N39" s="63">
        <f t="shared" si="10"/>
        <v>0</v>
      </c>
      <c r="O39" s="63">
        <f t="shared" si="10"/>
        <v>0</v>
      </c>
      <c r="P39" s="63">
        <f t="shared" si="10"/>
        <v>0</v>
      </c>
      <c r="Q39" s="63">
        <f t="shared" si="10"/>
        <v>0</v>
      </c>
      <c r="R39" s="63">
        <f t="shared" si="11"/>
        <v>0</v>
      </c>
      <c r="S39" s="63">
        <f t="shared" si="11"/>
        <v>0</v>
      </c>
      <c r="T39" s="63">
        <f t="shared" si="11"/>
        <v>157757520.01082921</v>
      </c>
      <c r="U39" s="63">
        <f t="shared" si="11"/>
        <v>228808321.72117078</v>
      </c>
      <c r="V39" s="63">
        <f t="shared" si="11"/>
        <v>57817117.883170806</v>
      </c>
      <c r="W39" s="63">
        <f t="shared" si="11"/>
        <v>83856780.384829193</v>
      </c>
      <c r="X39" s="63">
        <f t="shared" si="11"/>
        <v>0</v>
      </c>
      <c r="Y39" s="63">
        <f t="shared" si="11"/>
        <v>0</v>
      </c>
      <c r="Z39" s="63">
        <f t="shared" si="11"/>
        <v>0</v>
      </c>
      <c r="AA39" s="63">
        <f t="shared" si="11"/>
        <v>0</v>
      </c>
      <c r="AB39" s="63">
        <f t="shared" si="11"/>
        <v>0</v>
      </c>
      <c r="AC39" s="63">
        <f t="shared" si="11"/>
        <v>0</v>
      </c>
      <c r="AD39" s="63">
        <f t="shared" si="11"/>
        <v>0</v>
      </c>
      <c r="AE39" s="63">
        <f t="shared" si="11"/>
        <v>0</v>
      </c>
      <c r="AF39" s="63">
        <f t="shared" si="12"/>
        <v>528239740</v>
      </c>
      <c r="AG39" s="58" t="str">
        <f t="shared" si="13"/>
        <v>ok</v>
      </c>
    </row>
    <row r="40" spans="1:33">
      <c r="A40" s="272"/>
      <c r="B40" s="42" t="s">
        <v>307</v>
      </c>
      <c r="C40" s="44" t="s">
        <v>945</v>
      </c>
      <c r="D40" s="44" t="s">
        <v>944</v>
      </c>
      <c r="F40" s="79">
        <f>103722363+225466590</f>
        <v>329188953</v>
      </c>
      <c r="H40" s="63">
        <f t="shared" si="10"/>
        <v>0</v>
      </c>
      <c r="I40" s="63">
        <f t="shared" si="10"/>
        <v>0</v>
      </c>
      <c r="J40" s="63">
        <f t="shared" si="10"/>
        <v>0</v>
      </c>
      <c r="K40" s="63">
        <f t="shared" si="10"/>
        <v>0</v>
      </c>
      <c r="L40" s="63">
        <f t="shared" si="10"/>
        <v>0</v>
      </c>
      <c r="M40" s="63">
        <f t="shared" si="10"/>
        <v>0</v>
      </c>
      <c r="N40" s="63">
        <f t="shared" si="10"/>
        <v>0</v>
      </c>
      <c r="O40" s="63">
        <f t="shared" si="10"/>
        <v>0</v>
      </c>
      <c r="P40" s="63">
        <f t="shared" si="10"/>
        <v>0</v>
      </c>
      <c r="Q40" s="63">
        <f t="shared" si="10"/>
        <v>0</v>
      </c>
      <c r="R40" s="63">
        <f t="shared" si="11"/>
        <v>0</v>
      </c>
      <c r="S40" s="63">
        <f t="shared" si="11"/>
        <v>0</v>
      </c>
      <c r="T40" s="63">
        <f t="shared" si="11"/>
        <v>103332511.10338591</v>
      </c>
      <c r="U40" s="63">
        <f t="shared" si="11"/>
        <v>186682956.48961413</v>
      </c>
      <c r="V40" s="63">
        <f t="shared" si="11"/>
        <v>13957512.850514099</v>
      </c>
      <c r="W40" s="63">
        <f t="shared" si="11"/>
        <v>25215972.556485899</v>
      </c>
      <c r="X40" s="63">
        <f t="shared" si="11"/>
        <v>0</v>
      </c>
      <c r="Y40" s="63">
        <f t="shared" si="11"/>
        <v>0</v>
      </c>
      <c r="Z40" s="63">
        <f t="shared" si="11"/>
        <v>0</v>
      </c>
      <c r="AA40" s="63">
        <f t="shared" si="11"/>
        <v>0</v>
      </c>
      <c r="AB40" s="63">
        <f t="shared" si="11"/>
        <v>0</v>
      </c>
      <c r="AC40" s="63">
        <f t="shared" si="11"/>
        <v>0</v>
      </c>
      <c r="AD40" s="63">
        <f t="shared" si="11"/>
        <v>0</v>
      </c>
      <c r="AE40" s="63">
        <f t="shared" si="11"/>
        <v>0</v>
      </c>
      <c r="AF40" s="63">
        <f t="shared" si="12"/>
        <v>329188953.00000006</v>
      </c>
      <c r="AG40" s="58" t="str">
        <f t="shared" si="13"/>
        <v>ok</v>
      </c>
    </row>
    <row r="41" spans="1:33">
      <c r="A41" s="272"/>
      <c r="B41" s="42" t="s">
        <v>1357</v>
      </c>
      <c r="C41" s="44" t="s">
        <v>946</v>
      </c>
      <c r="D41" s="44" t="s">
        <v>947</v>
      </c>
      <c r="F41" s="79">
        <v>168599875</v>
      </c>
      <c r="H41" s="63">
        <f t="shared" si="10"/>
        <v>0</v>
      </c>
      <c r="I41" s="63">
        <f t="shared" si="10"/>
        <v>0</v>
      </c>
      <c r="J41" s="63">
        <f t="shared" si="10"/>
        <v>0</v>
      </c>
      <c r="K41" s="63">
        <f t="shared" si="10"/>
        <v>0</v>
      </c>
      <c r="L41" s="63">
        <f t="shared" si="10"/>
        <v>0</v>
      </c>
      <c r="M41" s="63">
        <f t="shared" si="10"/>
        <v>0</v>
      </c>
      <c r="N41" s="63">
        <f t="shared" si="10"/>
        <v>0</v>
      </c>
      <c r="O41" s="63">
        <f t="shared" si="10"/>
        <v>0</v>
      </c>
      <c r="P41" s="63">
        <f t="shared" si="10"/>
        <v>0</v>
      </c>
      <c r="Q41" s="63">
        <f t="shared" si="10"/>
        <v>0</v>
      </c>
      <c r="R41" s="63">
        <f t="shared" si="11"/>
        <v>0</v>
      </c>
      <c r="S41" s="63">
        <f t="shared" si="11"/>
        <v>0</v>
      </c>
      <c r="T41" s="63">
        <f t="shared" si="11"/>
        <v>0</v>
      </c>
      <c r="U41" s="63">
        <f t="shared" si="11"/>
        <v>0</v>
      </c>
      <c r="V41" s="63">
        <f t="shared" si="11"/>
        <v>0</v>
      </c>
      <c r="W41" s="63">
        <f t="shared" si="11"/>
        <v>0</v>
      </c>
      <c r="X41" s="63">
        <f t="shared" si="11"/>
        <v>99214194.510280386</v>
      </c>
      <c r="Y41" s="63">
        <f t="shared" si="11"/>
        <v>69385680.489719614</v>
      </c>
      <c r="Z41" s="63">
        <f t="shared" si="11"/>
        <v>0</v>
      </c>
      <c r="AA41" s="63">
        <f t="shared" si="11"/>
        <v>0</v>
      </c>
      <c r="AB41" s="63">
        <f t="shared" si="11"/>
        <v>0</v>
      </c>
      <c r="AC41" s="63">
        <f t="shared" si="11"/>
        <v>0</v>
      </c>
      <c r="AD41" s="63">
        <f t="shared" si="11"/>
        <v>0</v>
      </c>
      <c r="AE41" s="63">
        <f t="shared" si="11"/>
        <v>0</v>
      </c>
      <c r="AF41" s="63">
        <f t="shared" si="12"/>
        <v>168599875</v>
      </c>
      <c r="AG41" s="58" t="str">
        <f t="shared" si="13"/>
        <v>ok</v>
      </c>
    </row>
    <row r="42" spans="1:33">
      <c r="A42" s="272"/>
      <c r="B42" s="42" t="s">
        <v>308</v>
      </c>
      <c r="C42" s="44" t="s">
        <v>948</v>
      </c>
      <c r="D42" s="44" t="s">
        <v>949</v>
      </c>
      <c r="F42" s="79">
        <v>34458226.280000001</v>
      </c>
      <c r="H42" s="63">
        <f t="shared" si="10"/>
        <v>0</v>
      </c>
      <c r="I42" s="63">
        <f t="shared" si="10"/>
        <v>0</v>
      </c>
      <c r="J42" s="63">
        <f t="shared" si="10"/>
        <v>0</v>
      </c>
      <c r="K42" s="63">
        <f t="shared" si="10"/>
        <v>0</v>
      </c>
      <c r="L42" s="63">
        <f t="shared" si="10"/>
        <v>0</v>
      </c>
      <c r="M42" s="63">
        <f t="shared" si="10"/>
        <v>0</v>
      </c>
      <c r="N42" s="63">
        <f t="shared" si="10"/>
        <v>0</v>
      </c>
      <c r="O42" s="63">
        <f t="shared" si="10"/>
        <v>0</v>
      </c>
      <c r="P42" s="63">
        <f t="shared" si="10"/>
        <v>0</v>
      </c>
      <c r="Q42" s="63">
        <f t="shared" si="10"/>
        <v>0</v>
      </c>
      <c r="R42" s="63">
        <f t="shared" si="11"/>
        <v>0</v>
      </c>
      <c r="S42" s="63">
        <f t="shared" si="11"/>
        <v>0</v>
      </c>
      <c r="T42" s="63">
        <f t="shared" si="11"/>
        <v>0</v>
      </c>
      <c r="U42" s="63">
        <f t="shared" si="11"/>
        <v>0</v>
      </c>
      <c r="V42" s="63">
        <f t="shared" si="11"/>
        <v>0</v>
      </c>
      <c r="W42" s="63">
        <f t="shared" si="11"/>
        <v>0</v>
      </c>
      <c r="X42" s="63">
        <f t="shared" si="11"/>
        <v>0</v>
      </c>
      <c r="Y42" s="63">
        <f t="shared" si="11"/>
        <v>0</v>
      </c>
      <c r="Z42" s="63">
        <f t="shared" si="11"/>
        <v>34458226.280000001</v>
      </c>
      <c r="AA42" s="63">
        <f t="shared" si="11"/>
        <v>0</v>
      </c>
      <c r="AB42" s="63">
        <f t="shared" si="11"/>
        <v>0</v>
      </c>
      <c r="AC42" s="63">
        <f t="shared" si="11"/>
        <v>0</v>
      </c>
      <c r="AD42" s="63">
        <f t="shared" si="11"/>
        <v>0</v>
      </c>
      <c r="AE42" s="63">
        <f t="shared" si="11"/>
        <v>0</v>
      </c>
      <c r="AF42" s="63">
        <f t="shared" si="12"/>
        <v>34458226.280000001</v>
      </c>
      <c r="AG42" s="58" t="str">
        <f t="shared" si="13"/>
        <v>ok</v>
      </c>
    </row>
    <row r="43" spans="1:33">
      <c r="A43" s="272"/>
      <c r="B43" s="42" t="s">
        <v>309</v>
      </c>
      <c r="C43" s="44" t="s">
        <v>950</v>
      </c>
      <c r="D43" s="44" t="s">
        <v>951</v>
      </c>
      <c r="F43" s="79">
        <v>39970580</v>
      </c>
      <c r="H43" s="63">
        <f t="shared" si="10"/>
        <v>0</v>
      </c>
      <c r="I43" s="63">
        <f t="shared" si="10"/>
        <v>0</v>
      </c>
      <c r="J43" s="63">
        <f t="shared" si="10"/>
        <v>0</v>
      </c>
      <c r="K43" s="63">
        <f t="shared" si="10"/>
        <v>0</v>
      </c>
      <c r="L43" s="63">
        <f t="shared" si="10"/>
        <v>0</v>
      </c>
      <c r="M43" s="63">
        <f t="shared" si="10"/>
        <v>0</v>
      </c>
      <c r="N43" s="63">
        <f t="shared" si="10"/>
        <v>0</v>
      </c>
      <c r="O43" s="63">
        <f t="shared" si="10"/>
        <v>0</v>
      </c>
      <c r="P43" s="63">
        <f t="shared" si="10"/>
        <v>0</v>
      </c>
      <c r="Q43" s="63">
        <f t="shared" si="10"/>
        <v>0</v>
      </c>
      <c r="R43" s="63">
        <f t="shared" si="11"/>
        <v>0</v>
      </c>
      <c r="S43" s="63">
        <f t="shared" si="11"/>
        <v>0</v>
      </c>
      <c r="T43" s="63">
        <f t="shared" si="11"/>
        <v>0</v>
      </c>
      <c r="U43" s="63">
        <f t="shared" si="11"/>
        <v>0</v>
      </c>
      <c r="V43" s="63">
        <f t="shared" si="11"/>
        <v>0</v>
      </c>
      <c r="W43" s="63">
        <f t="shared" si="11"/>
        <v>0</v>
      </c>
      <c r="X43" s="63">
        <f t="shared" si="11"/>
        <v>0</v>
      </c>
      <c r="Y43" s="63">
        <f t="shared" si="11"/>
        <v>0</v>
      </c>
      <c r="Z43" s="63">
        <f t="shared" si="11"/>
        <v>0</v>
      </c>
      <c r="AA43" s="63">
        <f t="shared" si="11"/>
        <v>39970580</v>
      </c>
      <c r="AB43" s="63">
        <f t="shared" si="11"/>
        <v>0</v>
      </c>
      <c r="AC43" s="63">
        <f t="shared" si="11"/>
        <v>0</v>
      </c>
      <c r="AD43" s="63">
        <f t="shared" si="11"/>
        <v>0</v>
      </c>
      <c r="AE43" s="63">
        <f t="shared" si="11"/>
        <v>0</v>
      </c>
      <c r="AF43" s="63">
        <f t="shared" si="12"/>
        <v>39970580</v>
      </c>
      <c r="AG43" s="58" t="str">
        <f t="shared" si="13"/>
        <v>ok</v>
      </c>
    </row>
    <row r="44" spans="1:33">
      <c r="A44" s="272"/>
      <c r="B44" s="42" t="s">
        <v>310</v>
      </c>
      <c r="C44" s="44" t="s">
        <v>952</v>
      </c>
      <c r="D44" s="44" t="s">
        <v>954</v>
      </c>
      <c r="F44" s="79"/>
      <c r="H44" s="63">
        <f t="shared" si="10"/>
        <v>0</v>
      </c>
      <c r="I44" s="63">
        <f t="shared" si="10"/>
        <v>0</v>
      </c>
      <c r="J44" s="63">
        <f t="shared" si="10"/>
        <v>0</v>
      </c>
      <c r="K44" s="63">
        <f t="shared" si="10"/>
        <v>0</v>
      </c>
      <c r="L44" s="63">
        <f t="shared" si="10"/>
        <v>0</v>
      </c>
      <c r="M44" s="63">
        <f t="shared" si="10"/>
        <v>0</v>
      </c>
      <c r="N44" s="63">
        <f t="shared" si="10"/>
        <v>0</v>
      </c>
      <c r="O44" s="63">
        <f t="shared" si="10"/>
        <v>0</v>
      </c>
      <c r="P44" s="63">
        <f t="shared" si="10"/>
        <v>0</v>
      </c>
      <c r="Q44" s="63">
        <f t="shared" si="10"/>
        <v>0</v>
      </c>
      <c r="R44" s="63">
        <f t="shared" si="11"/>
        <v>0</v>
      </c>
      <c r="S44" s="63">
        <f t="shared" si="11"/>
        <v>0</v>
      </c>
      <c r="T44" s="63">
        <f t="shared" si="11"/>
        <v>0</v>
      </c>
      <c r="U44" s="63">
        <f t="shared" si="11"/>
        <v>0</v>
      </c>
      <c r="V44" s="63">
        <f t="shared" si="11"/>
        <v>0</v>
      </c>
      <c r="W44" s="63">
        <f t="shared" si="11"/>
        <v>0</v>
      </c>
      <c r="X44" s="63">
        <f t="shared" si="11"/>
        <v>0</v>
      </c>
      <c r="Y44" s="63">
        <f t="shared" si="11"/>
        <v>0</v>
      </c>
      <c r="Z44" s="63">
        <f t="shared" si="11"/>
        <v>0</v>
      </c>
      <c r="AA44" s="63">
        <f t="shared" si="11"/>
        <v>0</v>
      </c>
      <c r="AB44" s="63">
        <f t="shared" si="11"/>
        <v>0</v>
      </c>
      <c r="AC44" s="63">
        <f t="shared" si="11"/>
        <v>0</v>
      </c>
      <c r="AD44" s="63">
        <f t="shared" si="11"/>
        <v>0</v>
      </c>
      <c r="AE44" s="63">
        <f t="shared" si="11"/>
        <v>0</v>
      </c>
      <c r="AF44" s="63">
        <f t="shared" si="12"/>
        <v>0</v>
      </c>
      <c r="AG44" s="58" t="str">
        <f t="shared" si="13"/>
        <v>ok</v>
      </c>
    </row>
    <row r="45" spans="1:33">
      <c r="A45" s="272"/>
      <c r="B45" s="42" t="s">
        <v>311</v>
      </c>
      <c r="C45" s="44" t="s">
        <v>953</v>
      </c>
      <c r="D45" s="44" t="s">
        <v>954</v>
      </c>
      <c r="F45" s="79">
        <v>109522342</v>
      </c>
      <c r="H45" s="63">
        <f t="shared" si="10"/>
        <v>0</v>
      </c>
      <c r="I45" s="63">
        <f t="shared" si="10"/>
        <v>0</v>
      </c>
      <c r="J45" s="63">
        <f t="shared" si="10"/>
        <v>0</v>
      </c>
      <c r="K45" s="63">
        <f t="shared" si="10"/>
        <v>0</v>
      </c>
      <c r="L45" s="63">
        <f t="shared" si="10"/>
        <v>0</v>
      </c>
      <c r="M45" s="63">
        <f t="shared" si="10"/>
        <v>0</v>
      </c>
      <c r="N45" s="63">
        <f t="shared" si="10"/>
        <v>0</v>
      </c>
      <c r="O45" s="63">
        <f t="shared" si="10"/>
        <v>0</v>
      </c>
      <c r="P45" s="63">
        <f t="shared" si="10"/>
        <v>0</v>
      </c>
      <c r="Q45" s="63">
        <f t="shared" si="10"/>
        <v>0</v>
      </c>
      <c r="R45" s="63">
        <f t="shared" si="11"/>
        <v>0</v>
      </c>
      <c r="S45" s="63">
        <f t="shared" si="11"/>
        <v>0</v>
      </c>
      <c r="T45" s="63">
        <f t="shared" si="11"/>
        <v>0</v>
      </c>
      <c r="U45" s="63">
        <f t="shared" si="11"/>
        <v>0</v>
      </c>
      <c r="V45" s="63">
        <f t="shared" si="11"/>
        <v>0</v>
      </c>
      <c r="W45" s="63">
        <f t="shared" si="11"/>
        <v>0</v>
      </c>
      <c r="X45" s="63">
        <f t="shared" si="11"/>
        <v>0</v>
      </c>
      <c r="Y45" s="63">
        <f t="shared" si="11"/>
        <v>0</v>
      </c>
      <c r="Z45" s="63">
        <f t="shared" si="11"/>
        <v>0</v>
      </c>
      <c r="AA45" s="63">
        <f t="shared" si="11"/>
        <v>0</v>
      </c>
      <c r="AB45" s="63">
        <f t="shared" si="11"/>
        <v>109522342</v>
      </c>
      <c r="AC45" s="63">
        <f t="shared" si="11"/>
        <v>0</v>
      </c>
      <c r="AD45" s="63">
        <f t="shared" si="11"/>
        <v>0</v>
      </c>
      <c r="AE45" s="63">
        <f t="shared" si="11"/>
        <v>0</v>
      </c>
      <c r="AF45" s="63">
        <f t="shared" si="12"/>
        <v>109522342</v>
      </c>
      <c r="AG45" s="58" t="str">
        <f t="shared" si="13"/>
        <v>ok</v>
      </c>
    </row>
    <row r="46" spans="1:33">
      <c r="A46" s="272"/>
      <c r="B46" s="42" t="s">
        <v>912</v>
      </c>
      <c r="C46" s="60" t="s">
        <v>1299</v>
      </c>
      <c r="D46" s="60" t="s">
        <v>943</v>
      </c>
      <c r="F46" s="79">
        <v>0</v>
      </c>
      <c r="H46" s="63">
        <f t="shared" si="10"/>
        <v>0</v>
      </c>
      <c r="I46" s="63">
        <f t="shared" si="10"/>
        <v>0</v>
      </c>
      <c r="J46" s="63">
        <f t="shared" si="10"/>
        <v>0</v>
      </c>
      <c r="K46" s="63">
        <f t="shared" si="10"/>
        <v>0</v>
      </c>
      <c r="L46" s="63">
        <f t="shared" si="10"/>
        <v>0</v>
      </c>
      <c r="M46" s="63">
        <f t="shared" si="10"/>
        <v>0</v>
      </c>
      <c r="N46" s="63">
        <f t="shared" si="10"/>
        <v>0</v>
      </c>
      <c r="O46" s="63">
        <f t="shared" si="10"/>
        <v>0</v>
      </c>
      <c r="P46" s="63">
        <f t="shared" si="10"/>
        <v>0</v>
      </c>
      <c r="Q46" s="63">
        <f t="shared" si="10"/>
        <v>0</v>
      </c>
      <c r="R46" s="63">
        <f t="shared" si="11"/>
        <v>0</v>
      </c>
      <c r="S46" s="63">
        <f t="shared" si="11"/>
        <v>0</v>
      </c>
      <c r="T46" s="63">
        <f t="shared" si="11"/>
        <v>0</v>
      </c>
      <c r="U46" s="63">
        <f t="shared" si="11"/>
        <v>0</v>
      </c>
      <c r="V46" s="63">
        <f t="shared" si="11"/>
        <v>0</v>
      </c>
      <c r="W46" s="63">
        <f t="shared" si="11"/>
        <v>0</v>
      </c>
      <c r="X46" s="63">
        <f t="shared" si="11"/>
        <v>0</v>
      </c>
      <c r="Y46" s="63">
        <f t="shared" si="11"/>
        <v>0</v>
      </c>
      <c r="Z46" s="63">
        <f t="shared" si="11"/>
        <v>0</v>
      </c>
      <c r="AA46" s="63">
        <f t="shared" si="11"/>
        <v>0</v>
      </c>
      <c r="AB46" s="63">
        <f t="shared" si="11"/>
        <v>0</v>
      </c>
      <c r="AC46" s="63">
        <f t="shared" si="11"/>
        <v>0</v>
      </c>
      <c r="AD46" s="63">
        <f t="shared" si="11"/>
        <v>0</v>
      </c>
      <c r="AE46" s="63">
        <f t="shared" si="11"/>
        <v>0</v>
      </c>
      <c r="AF46" s="63">
        <f>SUM(H46:AE46)</f>
        <v>0</v>
      </c>
      <c r="AG46" s="58" t="str">
        <f t="shared" si="13"/>
        <v>ok</v>
      </c>
    </row>
    <row r="47" spans="1:33">
      <c r="A47" s="60"/>
      <c r="B47" s="60"/>
      <c r="W47" s="44"/>
      <c r="AF47" s="63"/>
      <c r="AG47" s="58"/>
    </row>
    <row r="48" spans="1:33" ht="15">
      <c r="A48" s="60"/>
      <c r="B48" s="65" t="s">
        <v>955</v>
      </c>
      <c r="C48" s="44" t="s">
        <v>935</v>
      </c>
      <c r="F48" s="76">
        <f>SUM(F38:F47)</f>
        <v>1362654761.28</v>
      </c>
      <c r="G48" s="66"/>
      <c r="H48" s="62">
        <f t="shared" ref="H48:M48" si="14">SUM(H38:H47)</f>
        <v>0</v>
      </c>
      <c r="I48" s="62">
        <f t="shared" si="14"/>
        <v>0</v>
      </c>
      <c r="J48" s="62">
        <f t="shared" si="14"/>
        <v>0</v>
      </c>
      <c r="K48" s="62">
        <f t="shared" si="14"/>
        <v>0</v>
      </c>
      <c r="L48" s="62">
        <f t="shared" si="14"/>
        <v>0</v>
      </c>
      <c r="M48" s="62">
        <f t="shared" si="14"/>
        <v>0</v>
      </c>
      <c r="N48" s="62">
        <f>SUM(N38:N47)</f>
        <v>0</v>
      </c>
      <c r="O48" s="62">
        <f>SUM(O38:O47)</f>
        <v>0</v>
      </c>
      <c r="P48" s="62">
        <f>SUM(P38:P47)</f>
        <v>0</v>
      </c>
      <c r="Q48" s="62">
        <f t="shared" ref="Q48:AE48" si="15">SUM(Q38:Q47)</f>
        <v>0</v>
      </c>
      <c r="R48" s="62">
        <f t="shared" si="15"/>
        <v>152675045</v>
      </c>
      <c r="S48" s="62">
        <f t="shared" si="15"/>
        <v>0</v>
      </c>
      <c r="T48" s="62">
        <f t="shared" si="15"/>
        <v>261090031.11421514</v>
      </c>
      <c r="U48" s="62">
        <f>SUM(U38:U47)</f>
        <v>415491278.21078491</v>
      </c>
      <c r="V48" s="62">
        <f>SUM(V38:V47)</f>
        <v>71774630.733684897</v>
      </c>
      <c r="W48" s="62">
        <f>SUM(W38:W47)</f>
        <v>109072752.94131508</v>
      </c>
      <c r="X48" s="62">
        <f t="shared" si="15"/>
        <v>99214194.510280386</v>
      </c>
      <c r="Y48" s="62">
        <f t="shared" si="15"/>
        <v>69385680.489719614</v>
      </c>
      <c r="Z48" s="62">
        <f>SUM(Z38:Z47)</f>
        <v>34458226.280000001</v>
      </c>
      <c r="AA48" s="62">
        <f>SUM(AA38:AA47)</f>
        <v>39970580</v>
      </c>
      <c r="AB48" s="62">
        <f t="shared" si="15"/>
        <v>109522342</v>
      </c>
      <c r="AC48" s="62">
        <f t="shared" si="15"/>
        <v>0</v>
      </c>
      <c r="AD48" s="62">
        <f t="shared" si="15"/>
        <v>0</v>
      </c>
      <c r="AE48" s="62">
        <f t="shared" si="15"/>
        <v>0</v>
      </c>
      <c r="AF48" s="63">
        <f>SUM(H48:AE48)</f>
        <v>1362654761.28</v>
      </c>
      <c r="AG48" s="58" t="str">
        <f>IF(ABS(AF48-F48)&lt;1,"ok","err")</f>
        <v>ok</v>
      </c>
    </row>
    <row r="49" spans="1:33">
      <c r="A49" s="60"/>
      <c r="B49" s="60"/>
      <c r="W49" s="44"/>
      <c r="AG49" s="58"/>
    </row>
    <row r="50" spans="1:33" ht="15">
      <c r="A50" s="60"/>
      <c r="B50" s="65" t="s">
        <v>884</v>
      </c>
      <c r="C50" s="44" t="s">
        <v>1163</v>
      </c>
      <c r="F50" s="80">
        <f>F29+F35+F48</f>
        <v>4110427911.5346155</v>
      </c>
      <c r="G50" s="64"/>
      <c r="H50" s="80">
        <f>H29+H35+H48</f>
        <v>792651073.79517269</v>
      </c>
      <c r="I50" s="80">
        <f>I29+I35+I48</f>
        <v>830352170.11328363</v>
      </c>
      <c r="J50" s="80">
        <f>J29+J35+J48</f>
        <v>682546683.86846709</v>
      </c>
      <c r="K50" s="80">
        <f>K29+K35+K48</f>
        <v>0</v>
      </c>
      <c r="L50" s="64">
        <f>L29+L33+L48</f>
        <v>0</v>
      </c>
      <c r="M50" s="64">
        <f>M29+M33+M48</f>
        <v>0</v>
      </c>
      <c r="N50" s="80">
        <f>N29+N35+N48</f>
        <v>442223222.47769213</v>
      </c>
      <c r="O50" s="80">
        <f>O29+O35+O48</f>
        <v>0</v>
      </c>
      <c r="P50" s="80">
        <f>P29+P35+P48</f>
        <v>0</v>
      </c>
      <c r="Q50" s="64">
        <f>Q29+Q33+Q48</f>
        <v>0</v>
      </c>
      <c r="R50" s="80">
        <f t="shared" ref="R50:AE50" si="16">R29+R35+R48</f>
        <v>152675045</v>
      </c>
      <c r="S50" s="80">
        <f t="shared" si="16"/>
        <v>0</v>
      </c>
      <c r="T50" s="80">
        <f t="shared" si="16"/>
        <v>261090031.11421514</v>
      </c>
      <c r="U50" s="80">
        <f t="shared" si="16"/>
        <v>415491278.21078491</v>
      </c>
      <c r="V50" s="80">
        <f t="shared" si="16"/>
        <v>71774630.733684897</v>
      </c>
      <c r="W50" s="80">
        <f t="shared" si="16"/>
        <v>109072752.94131508</v>
      </c>
      <c r="X50" s="80">
        <f t="shared" si="16"/>
        <v>99214194.510280386</v>
      </c>
      <c r="Y50" s="80">
        <f t="shared" si="16"/>
        <v>69385680.489719614</v>
      </c>
      <c r="Z50" s="80">
        <f t="shared" si="16"/>
        <v>34458226.280000001</v>
      </c>
      <c r="AA50" s="80">
        <f t="shared" si="16"/>
        <v>39970580</v>
      </c>
      <c r="AB50" s="80">
        <f t="shared" si="16"/>
        <v>109522342</v>
      </c>
      <c r="AC50" s="80">
        <f t="shared" si="16"/>
        <v>0</v>
      </c>
      <c r="AD50" s="80">
        <f t="shared" si="16"/>
        <v>0</v>
      </c>
      <c r="AE50" s="80">
        <f t="shared" si="16"/>
        <v>0</v>
      </c>
      <c r="AF50" s="63">
        <f>SUM(H50:AE50)</f>
        <v>4110427911.534616</v>
      </c>
      <c r="AG50" s="58" t="str">
        <f>IF(ABS(AF50-F50)&lt;1,"ok","err")</f>
        <v>ok</v>
      </c>
    </row>
    <row r="51" spans="1:33">
      <c r="A51" s="60"/>
      <c r="B51" s="60"/>
      <c r="W51" s="44"/>
      <c r="AG51" s="58"/>
    </row>
    <row r="52" spans="1:33">
      <c r="A52" s="60"/>
      <c r="B52" s="60"/>
      <c r="F52" s="80"/>
      <c r="W52" s="44"/>
      <c r="AG52" s="58"/>
    </row>
    <row r="53" spans="1:33">
      <c r="A53" s="60"/>
      <c r="B53" s="60"/>
      <c r="F53" s="80"/>
      <c r="W53" s="44"/>
      <c r="AG53" s="58"/>
    </row>
    <row r="54" spans="1:33">
      <c r="A54" s="60"/>
      <c r="B54" s="60"/>
      <c r="W54" s="44"/>
      <c r="AG54" s="58"/>
    </row>
    <row r="55" spans="1:33">
      <c r="A55" s="60"/>
      <c r="B55" s="60"/>
      <c r="W55" s="44"/>
      <c r="AG55" s="58"/>
    </row>
    <row r="56" spans="1:33" ht="15">
      <c r="A56" s="59" t="s">
        <v>1140</v>
      </c>
      <c r="B56" s="60"/>
      <c r="W56" s="44"/>
      <c r="AG56" s="58"/>
    </row>
    <row r="57" spans="1:33">
      <c r="A57" s="60"/>
      <c r="B57" s="60"/>
      <c r="F57" s="80"/>
      <c r="W57" s="44"/>
      <c r="AG57" s="58"/>
    </row>
    <row r="58" spans="1:33" ht="15">
      <c r="A58" s="59" t="s">
        <v>956</v>
      </c>
      <c r="B58" s="60"/>
      <c r="F58" s="80"/>
      <c r="W58" s="44"/>
      <c r="AG58" s="58"/>
    </row>
    <row r="59" spans="1:33">
      <c r="A59" s="60"/>
      <c r="B59" s="60"/>
      <c r="W59" s="44"/>
      <c r="AF59" s="63"/>
      <c r="AG59" s="58"/>
    </row>
    <row r="60" spans="1:33">
      <c r="A60" s="60"/>
      <c r="B60" s="60" t="s">
        <v>957</v>
      </c>
      <c r="C60" s="44" t="s">
        <v>958</v>
      </c>
      <c r="D60" s="44" t="s">
        <v>1163</v>
      </c>
      <c r="F60" s="76">
        <f>15832612</f>
        <v>15832612</v>
      </c>
      <c r="G60" s="62"/>
      <c r="H60" s="63">
        <f t="shared" ref="H60:AE60" si="17">IF(VLOOKUP($D60,$C$6:$AE$653,H$2,)=0,0,((VLOOKUP($D60,$C$6:$AE$653,H$2,)/VLOOKUP($D60,$C$6:$AE$653,4,))*$F60))</f>
        <v>3053146.0891372086</v>
      </c>
      <c r="I60" s="63">
        <f t="shared" si="17"/>
        <v>3198363.7751849922</v>
      </c>
      <c r="J60" s="63">
        <f t="shared" si="17"/>
        <v>2629044.2382534151</v>
      </c>
      <c r="K60" s="63">
        <f t="shared" si="17"/>
        <v>0</v>
      </c>
      <c r="L60" s="63">
        <f t="shared" si="17"/>
        <v>0</v>
      </c>
      <c r="M60" s="63">
        <f t="shared" si="17"/>
        <v>0</v>
      </c>
      <c r="N60" s="63">
        <f t="shared" si="17"/>
        <v>1703362.4842881558</v>
      </c>
      <c r="O60" s="63">
        <f t="shared" si="17"/>
        <v>0</v>
      </c>
      <c r="P60" s="63">
        <f t="shared" si="17"/>
        <v>0</v>
      </c>
      <c r="Q60" s="63">
        <f t="shared" si="17"/>
        <v>0</v>
      </c>
      <c r="R60" s="63">
        <f t="shared" si="17"/>
        <v>588076.18126188451</v>
      </c>
      <c r="S60" s="63">
        <f t="shared" si="17"/>
        <v>0</v>
      </c>
      <c r="T60" s="63">
        <f t="shared" si="17"/>
        <v>1005670.7595088263</v>
      </c>
      <c r="U60" s="63">
        <f t="shared" si="17"/>
        <v>1600395.9536269838</v>
      </c>
      <c r="V60" s="63">
        <f t="shared" si="17"/>
        <v>276462.67111529136</v>
      </c>
      <c r="W60" s="63">
        <f t="shared" si="17"/>
        <v>420128.17503639549</v>
      </c>
      <c r="X60" s="63">
        <f t="shared" si="17"/>
        <v>382154.82192639617</v>
      </c>
      <c r="Y60" s="63">
        <f t="shared" si="17"/>
        <v>267260.87434034527</v>
      </c>
      <c r="Z60" s="63">
        <f t="shared" si="17"/>
        <v>132726.74734630217</v>
      </c>
      <c r="AA60" s="63">
        <f t="shared" si="17"/>
        <v>153959.31960735729</v>
      </c>
      <c r="AB60" s="63">
        <f t="shared" si="17"/>
        <v>421859.90936644626</v>
      </c>
      <c r="AC60" s="63">
        <f t="shared" si="17"/>
        <v>0</v>
      </c>
      <c r="AD60" s="63">
        <f t="shared" si="17"/>
        <v>0</v>
      </c>
      <c r="AE60" s="63">
        <f t="shared" si="17"/>
        <v>0</v>
      </c>
      <c r="AF60" s="63">
        <f>SUM(H60:AE60)</f>
        <v>15832612</v>
      </c>
      <c r="AG60" s="58" t="str">
        <f>IF(ABS(AF60-F60)&lt;1,"ok","err")</f>
        <v>ok</v>
      </c>
    </row>
    <row r="61" spans="1:33">
      <c r="A61" s="60"/>
      <c r="B61" s="60"/>
      <c r="F61" s="80"/>
      <c r="O61" s="63"/>
      <c r="P61" s="63"/>
      <c r="W61" s="44"/>
      <c r="AF61" s="63"/>
      <c r="AG61" s="58"/>
    </row>
    <row r="62" spans="1:33">
      <c r="A62" s="60"/>
      <c r="B62" s="60" t="s">
        <v>202</v>
      </c>
      <c r="C62" s="44" t="s">
        <v>203</v>
      </c>
      <c r="D62" s="44" t="s">
        <v>1163</v>
      </c>
      <c r="F62" s="76">
        <f>202237020</f>
        <v>202237020</v>
      </c>
      <c r="H62" s="63">
        <f t="shared" ref="H62:Q67" si="18">IF(VLOOKUP($D62,$C$6:$AE$653,H$2,)=0,0,((VLOOKUP($D62,$C$6:$AE$653,H$2,)/VLOOKUP($D62,$C$6:$AE$653,4,))*$F62))</f>
        <v>38999197.775563724</v>
      </c>
      <c r="I62" s="63">
        <f t="shared" si="18"/>
        <v>40854128.097711407</v>
      </c>
      <c r="J62" s="63">
        <f t="shared" si="18"/>
        <v>33581955.535355799</v>
      </c>
      <c r="K62" s="63">
        <f t="shared" si="18"/>
        <v>0</v>
      </c>
      <c r="L62" s="63">
        <f t="shared" si="18"/>
        <v>0</v>
      </c>
      <c r="M62" s="63">
        <f t="shared" si="18"/>
        <v>0</v>
      </c>
      <c r="N62" s="63">
        <f t="shared" si="18"/>
        <v>21757809.311706334</v>
      </c>
      <c r="O62" s="63">
        <f t="shared" si="18"/>
        <v>0</v>
      </c>
      <c r="P62" s="63">
        <f t="shared" si="18"/>
        <v>0</v>
      </c>
      <c r="Q62" s="63">
        <f t="shared" si="18"/>
        <v>0</v>
      </c>
      <c r="R62" s="63">
        <f t="shared" ref="R62:AE67" si="19">IF(VLOOKUP($D62,$C$6:$AE$653,R$2,)=0,0,((VLOOKUP($D62,$C$6:$AE$653,R$2,)/VLOOKUP($D62,$C$6:$AE$653,4,))*$F62))</f>
        <v>7511759.5524594029</v>
      </c>
      <c r="S62" s="63">
        <f t="shared" si="19"/>
        <v>0</v>
      </c>
      <c r="T62" s="63">
        <f t="shared" si="19"/>
        <v>12845881.494740205</v>
      </c>
      <c r="U62" s="63">
        <f t="shared" si="19"/>
        <v>20442571.856215473</v>
      </c>
      <c r="V62" s="63">
        <f t="shared" si="19"/>
        <v>3531381.097926015</v>
      </c>
      <c r="W62" s="63">
        <f t="shared" si="19"/>
        <v>5366484.7049494432</v>
      </c>
      <c r="X62" s="63">
        <f t="shared" si="19"/>
        <v>4881434.1161789987</v>
      </c>
      <c r="Y62" s="63">
        <f t="shared" si="19"/>
        <v>3413842.4404757656</v>
      </c>
      <c r="Z62" s="63">
        <f t="shared" si="19"/>
        <v>1695377.9867534842</v>
      </c>
      <c r="AA62" s="63">
        <f t="shared" si="19"/>
        <v>1966591.1094530397</v>
      </c>
      <c r="AB62" s="63">
        <f t="shared" si="19"/>
        <v>5388604.920510917</v>
      </c>
      <c r="AC62" s="63">
        <f t="shared" si="19"/>
        <v>0</v>
      </c>
      <c r="AD62" s="63">
        <f t="shared" si="19"/>
        <v>0</v>
      </c>
      <c r="AE62" s="63">
        <f t="shared" si="19"/>
        <v>0</v>
      </c>
      <c r="AF62" s="63">
        <f t="shared" ref="AF62:AF67" si="20">SUM(H62:AE62)</f>
        <v>202237020.00000003</v>
      </c>
      <c r="AG62" s="58" t="str">
        <f t="shared" ref="AG62:AG67" si="21">IF(ABS(AF62-F62)&lt;1,"ok","err")</f>
        <v>ok</v>
      </c>
    </row>
    <row r="63" spans="1:33">
      <c r="A63" s="61">
        <v>106</v>
      </c>
      <c r="B63" s="60" t="s">
        <v>1138</v>
      </c>
      <c r="C63" s="44" t="s">
        <v>1139</v>
      </c>
      <c r="D63" s="44" t="s">
        <v>1163</v>
      </c>
      <c r="F63" s="79">
        <v>0</v>
      </c>
      <c r="H63" s="63">
        <f t="shared" si="18"/>
        <v>0</v>
      </c>
      <c r="I63" s="63">
        <f t="shared" si="18"/>
        <v>0</v>
      </c>
      <c r="J63" s="63">
        <f t="shared" si="18"/>
        <v>0</v>
      </c>
      <c r="K63" s="63">
        <f t="shared" si="18"/>
        <v>0</v>
      </c>
      <c r="L63" s="63">
        <f t="shared" si="18"/>
        <v>0</v>
      </c>
      <c r="M63" s="63">
        <f t="shared" si="18"/>
        <v>0</v>
      </c>
      <c r="N63" s="63">
        <f t="shared" si="18"/>
        <v>0</v>
      </c>
      <c r="O63" s="63">
        <f t="shared" si="18"/>
        <v>0</v>
      </c>
      <c r="P63" s="63">
        <f t="shared" si="18"/>
        <v>0</v>
      </c>
      <c r="Q63" s="63">
        <f t="shared" si="18"/>
        <v>0</v>
      </c>
      <c r="R63" s="63">
        <f t="shared" si="19"/>
        <v>0</v>
      </c>
      <c r="S63" s="63">
        <f t="shared" si="19"/>
        <v>0</v>
      </c>
      <c r="T63" s="63">
        <f t="shared" si="19"/>
        <v>0</v>
      </c>
      <c r="U63" s="63">
        <f t="shared" si="19"/>
        <v>0</v>
      </c>
      <c r="V63" s="63">
        <f t="shared" si="19"/>
        <v>0</v>
      </c>
      <c r="W63" s="63">
        <f t="shared" si="19"/>
        <v>0</v>
      </c>
      <c r="X63" s="63">
        <f t="shared" si="19"/>
        <v>0</v>
      </c>
      <c r="Y63" s="63">
        <f t="shared" si="19"/>
        <v>0</v>
      </c>
      <c r="Z63" s="63">
        <f t="shared" si="19"/>
        <v>0</v>
      </c>
      <c r="AA63" s="63">
        <f t="shared" si="19"/>
        <v>0</v>
      </c>
      <c r="AB63" s="63">
        <f t="shared" si="19"/>
        <v>0</v>
      </c>
      <c r="AC63" s="63">
        <f t="shared" si="19"/>
        <v>0</v>
      </c>
      <c r="AD63" s="63">
        <f t="shared" si="19"/>
        <v>0</v>
      </c>
      <c r="AE63" s="63">
        <f t="shared" si="19"/>
        <v>0</v>
      </c>
      <c r="AF63" s="63">
        <f t="shared" si="20"/>
        <v>0</v>
      </c>
      <c r="AG63" s="58" t="str">
        <f t="shared" si="21"/>
        <v>ok</v>
      </c>
    </row>
    <row r="64" spans="1:33">
      <c r="A64" s="61">
        <v>105</v>
      </c>
      <c r="B64" s="60" t="s">
        <v>1286</v>
      </c>
      <c r="C64" s="44" t="s">
        <v>140</v>
      </c>
      <c r="D64" s="44" t="s">
        <v>935</v>
      </c>
      <c r="F64" s="79">
        <f>3126750-211410</f>
        <v>2915340</v>
      </c>
      <c r="H64" s="63">
        <f t="shared" si="18"/>
        <v>0</v>
      </c>
      <c r="I64" s="63">
        <f t="shared" si="18"/>
        <v>0</v>
      </c>
      <c r="J64" s="63">
        <f t="shared" si="18"/>
        <v>0</v>
      </c>
      <c r="K64" s="63">
        <f t="shared" si="18"/>
        <v>0</v>
      </c>
      <c r="L64" s="63">
        <f t="shared" si="18"/>
        <v>0</v>
      </c>
      <c r="M64" s="63">
        <f t="shared" si="18"/>
        <v>0</v>
      </c>
      <c r="N64" s="63">
        <f t="shared" si="18"/>
        <v>0</v>
      </c>
      <c r="O64" s="63">
        <f t="shared" si="18"/>
        <v>0</v>
      </c>
      <c r="P64" s="63">
        <f t="shared" si="18"/>
        <v>0</v>
      </c>
      <c r="Q64" s="63">
        <f t="shared" si="18"/>
        <v>0</v>
      </c>
      <c r="R64" s="63">
        <f t="shared" si="19"/>
        <v>326641.55172525049</v>
      </c>
      <c r="S64" s="63">
        <f t="shared" si="19"/>
        <v>0</v>
      </c>
      <c r="T64" s="63">
        <f t="shared" si="19"/>
        <v>558590.6518196289</v>
      </c>
      <c r="U64" s="63">
        <f t="shared" si="19"/>
        <v>888925.33709800802</v>
      </c>
      <c r="V64" s="63">
        <f t="shared" si="19"/>
        <v>153558.6693775508</v>
      </c>
      <c r="W64" s="63">
        <f t="shared" si="19"/>
        <v>233356.3633251003</v>
      </c>
      <c r="X64" s="63">
        <f t="shared" si="19"/>
        <v>212264.41065079634</v>
      </c>
      <c r="Y64" s="63">
        <f t="shared" si="19"/>
        <v>148447.61527775842</v>
      </c>
      <c r="Z64" s="63">
        <f t="shared" si="19"/>
        <v>73721.861367710793</v>
      </c>
      <c r="AA64" s="63">
        <f t="shared" si="19"/>
        <v>85515.299992597109</v>
      </c>
      <c r="AB64" s="63">
        <f t="shared" si="19"/>
        <v>234318.23936559886</v>
      </c>
      <c r="AC64" s="63">
        <f t="shared" si="19"/>
        <v>0</v>
      </c>
      <c r="AD64" s="63">
        <f t="shared" si="19"/>
        <v>0</v>
      </c>
      <c r="AE64" s="63">
        <f t="shared" si="19"/>
        <v>0</v>
      </c>
      <c r="AF64" s="63">
        <f t="shared" si="20"/>
        <v>2915339.9999999995</v>
      </c>
      <c r="AG64" s="58" t="str">
        <f t="shared" si="21"/>
        <v>ok</v>
      </c>
    </row>
    <row r="65" spans="1:33">
      <c r="A65" s="61">
        <v>105</v>
      </c>
      <c r="B65" s="60" t="s">
        <v>1287</v>
      </c>
      <c r="C65" s="44" t="s">
        <v>140</v>
      </c>
      <c r="D65" s="44" t="s">
        <v>638</v>
      </c>
      <c r="F65" s="79">
        <f>211410</f>
        <v>211410</v>
      </c>
      <c r="H65" s="63">
        <f t="shared" si="18"/>
        <v>72683.033879304188</v>
      </c>
      <c r="I65" s="63">
        <f t="shared" si="18"/>
        <v>76140.078411971117</v>
      </c>
      <c r="J65" s="63">
        <f t="shared" si="18"/>
        <v>62586.887708724687</v>
      </c>
      <c r="K65" s="63">
        <f t="shared" si="18"/>
        <v>0</v>
      </c>
      <c r="L65" s="63">
        <f t="shared" si="18"/>
        <v>0</v>
      </c>
      <c r="M65" s="63">
        <f t="shared" si="18"/>
        <v>0</v>
      </c>
      <c r="N65" s="63">
        <f t="shared" si="18"/>
        <v>0</v>
      </c>
      <c r="O65" s="63">
        <f t="shared" si="18"/>
        <v>0</v>
      </c>
      <c r="P65" s="63">
        <f t="shared" si="18"/>
        <v>0</v>
      </c>
      <c r="Q65" s="63">
        <f t="shared" si="18"/>
        <v>0</v>
      </c>
      <c r="R65" s="63">
        <f t="shared" si="19"/>
        <v>0</v>
      </c>
      <c r="S65" s="63">
        <f t="shared" si="19"/>
        <v>0</v>
      </c>
      <c r="T65" s="63">
        <f t="shared" si="19"/>
        <v>0</v>
      </c>
      <c r="U65" s="63">
        <f t="shared" si="19"/>
        <v>0</v>
      </c>
      <c r="V65" s="63">
        <f t="shared" si="19"/>
        <v>0</v>
      </c>
      <c r="W65" s="63">
        <f t="shared" si="19"/>
        <v>0</v>
      </c>
      <c r="X65" s="63">
        <f t="shared" si="19"/>
        <v>0</v>
      </c>
      <c r="Y65" s="63">
        <f t="shared" si="19"/>
        <v>0</v>
      </c>
      <c r="Z65" s="63">
        <f t="shared" si="19"/>
        <v>0</v>
      </c>
      <c r="AA65" s="63">
        <f t="shared" si="19"/>
        <v>0</v>
      </c>
      <c r="AB65" s="63">
        <f t="shared" si="19"/>
        <v>0</v>
      </c>
      <c r="AC65" s="63">
        <f t="shared" si="19"/>
        <v>0</v>
      </c>
      <c r="AD65" s="63">
        <f t="shared" si="19"/>
        <v>0</v>
      </c>
      <c r="AE65" s="63">
        <f t="shared" si="19"/>
        <v>0</v>
      </c>
      <c r="AF65" s="63">
        <f t="shared" si="20"/>
        <v>211409.99999999997</v>
      </c>
      <c r="AG65" s="58" t="str">
        <f t="shared" si="21"/>
        <v>ok</v>
      </c>
    </row>
    <row r="66" spans="1:33">
      <c r="A66" s="60"/>
      <c r="B66" s="60" t="s">
        <v>755</v>
      </c>
      <c r="D66" s="44" t="s">
        <v>638</v>
      </c>
      <c r="F66" s="79">
        <v>0</v>
      </c>
      <c r="H66" s="44">
        <f t="shared" si="18"/>
        <v>0</v>
      </c>
      <c r="I66" s="44">
        <f t="shared" si="18"/>
        <v>0</v>
      </c>
      <c r="J66" s="44">
        <f t="shared" si="18"/>
        <v>0</v>
      </c>
      <c r="K66" s="44">
        <f t="shared" si="18"/>
        <v>0</v>
      </c>
      <c r="L66" s="44">
        <f t="shared" si="18"/>
        <v>0</v>
      </c>
      <c r="M66" s="44">
        <f t="shared" si="18"/>
        <v>0</v>
      </c>
      <c r="N66" s="44">
        <f t="shared" si="18"/>
        <v>0</v>
      </c>
      <c r="O66" s="63">
        <f t="shared" si="18"/>
        <v>0</v>
      </c>
      <c r="P66" s="63">
        <f t="shared" si="18"/>
        <v>0</v>
      </c>
      <c r="Q66" s="44">
        <f t="shared" si="18"/>
        <v>0</v>
      </c>
      <c r="R66" s="44">
        <f t="shared" si="19"/>
        <v>0</v>
      </c>
      <c r="S66" s="44">
        <f t="shared" si="19"/>
        <v>0</v>
      </c>
      <c r="T66" s="44">
        <f t="shared" si="19"/>
        <v>0</v>
      </c>
      <c r="U66" s="44">
        <f t="shared" si="19"/>
        <v>0</v>
      </c>
      <c r="V66" s="44">
        <f t="shared" si="19"/>
        <v>0</v>
      </c>
      <c r="W66" s="44">
        <f t="shared" si="19"/>
        <v>0</v>
      </c>
      <c r="X66" s="44">
        <f t="shared" si="19"/>
        <v>0</v>
      </c>
      <c r="Y66" s="44">
        <f t="shared" si="19"/>
        <v>0</v>
      </c>
      <c r="Z66" s="44">
        <f t="shared" si="19"/>
        <v>0</v>
      </c>
      <c r="AA66" s="44">
        <f t="shared" si="19"/>
        <v>0</v>
      </c>
      <c r="AB66" s="44">
        <f t="shared" si="19"/>
        <v>0</v>
      </c>
      <c r="AC66" s="44">
        <f t="shared" si="19"/>
        <v>0</v>
      </c>
      <c r="AD66" s="44">
        <f t="shared" si="19"/>
        <v>0</v>
      </c>
      <c r="AE66" s="44">
        <f t="shared" si="19"/>
        <v>0</v>
      </c>
      <c r="AF66" s="63">
        <f t="shared" si="20"/>
        <v>0</v>
      </c>
      <c r="AG66" s="58" t="str">
        <f t="shared" si="21"/>
        <v>ok</v>
      </c>
    </row>
    <row r="67" spans="1:33">
      <c r="A67" s="61"/>
      <c r="B67" s="60" t="s">
        <v>23</v>
      </c>
      <c r="D67" s="44" t="s">
        <v>935</v>
      </c>
      <c r="F67" s="76">
        <v>0</v>
      </c>
      <c r="H67" s="63">
        <f t="shared" si="18"/>
        <v>0</v>
      </c>
      <c r="I67" s="63">
        <f t="shared" si="18"/>
        <v>0</v>
      </c>
      <c r="J67" s="63">
        <f t="shared" si="18"/>
        <v>0</v>
      </c>
      <c r="K67" s="63">
        <f t="shared" si="18"/>
        <v>0</v>
      </c>
      <c r="L67" s="63">
        <f t="shared" si="18"/>
        <v>0</v>
      </c>
      <c r="M67" s="63">
        <f t="shared" si="18"/>
        <v>0</v>
      </c>
      <c r="N67" s="63">
        <f t="shared" si="18"/>
        <v>0</v>
      </c>
      <c r="O67" s="63">
        <f t="shared" si="18"/>
        <v>0</v>
      </c>
      <c r="P67" s="63">
        <f t="shared" si="18"/>
        <v>0</v>
      </c>
      <c r="Q67" s="63">
        <f t="shared" si="18"/>
        <v>0</v>
      </c>
      <c r="R67" s="63">
        <f t="shared" si="19"/>
        <v>0</v>
      </c>
      <c r="S67" s="63">
        <f t="shared" si="19"/>
        <v>0</v>
      </c>
      <c r="T67" s="63">
        <f t="shared" si="19"/>
        <v>0</v>
      </c>
      <c r="U67" s="63">
        <f t="shared" si="19"/>
        <v>0</v>
      </c>
      <c r="V67" s="63">
        <f t="shared" si="19"/>
        <v>0</v>
      </c>
      <c r="W67" s="63">
        <f t="shared" si="19"/>
        <v>0</v>
      </c>
      <c r="X67" s="63">
        <f t="shared" si="19"/>
        <v>0</v>
      </c>
      <c r="Y67" s="63">
        <f t="shared" si="19"/>
        <v>0</v>
      </c>
      <c r="Z67" s="63">
        <f t="shared" si="19"/>
        <v>0</v>
      </c>
      <c r="AA67" s="63">
        <f t="shared" si="19"/>
        <v>0</v>
      </c>
      <c r="AB67" s="63">
        <f t="shared" si="19"/>
        <v>0</v>
      </c>
      <c r="AC67" s="63">
        <f t="shared" si="19"/>
        <v>0</v>
      </c>
      <c r="AD67" s="63">
        <f t="shared" si="19"/>
        <v>0</v>
      </c>
      <c r="AE67" s="63">
        <f t="shared" si="19"/>
        <v>0</v>
      </c>
      <c r="AF67" s="63">
        <f t="shared" si="20"/>
        <v>0</v>
      </c>
      <c r="AG67" s="58" t="str">
        <f t="shared" si="21"/>
        <v>ok</v>
      </c>
    </row>
    <row r="68" spans="1:33">
      <c r="A68" s="60"/>
      <c r="B68" s="60"/>
      <c r="W68" s="44"/>
      <c r="AF68" s="63"/>
      <c r="AG68" s="58"/>
    </row>
    <row r="69" spans="1:33" s="60" customFormat="1">
      <c r="B69" s="60" t="s">
        <v>959</v>
      </c>
      <c r="C69" s="60" t="s">
        <v>960</v>
      </c>
      <c r="F69" s="80">
        <f>F15+SUM(F50:F67)</f>
        <v>4331626533.7946157</v>
      </c>
      <c r="G69" s="80"/>
      <c r="H69" s="80">
        <f t="shared" ref="H69:AE69" si="22">H15+SUM(H50:H67)</f>
        <v>834776532.70339584</v>
      </c>
      <c r="I69" s="80">
        <f t="shared" si="22"/>
        <v>874481254.62203681</v>
      </c>
      <c r="J69" s="80">
        <f t="shared" si="22"/>
        <v>718820642.53047872</v>
      </c>
      <c r="K69" s="80">
        <f t="shared" si="22"/>
        <v>0</v>
      </c>
      <c r="L69" s="80">
        <f t="shared" si="22"/>
        <v>0</v>
      </c>
      <c r="M69" s="80">
        <f t="shared" si="22"/>
        <v>0</v>
      </c>
      <c r="N69" s="80">
        <f t="shared" si="22"/>
        <v>465684635.2936042</v>
      </c>
      <c r="O69" s="80">
        <f t="shared" si="22"/>
        <v>0</v>
      </c>
      <c r="P69" s="80">
        <f t="shared" si="22"/>
        <v>0</v>
      </c>
      <c r="Q69" s="80">
        <f t="shared" si="22"/>
        <v>0</v>
      </c>
      <c r="R69" s="80">
        <f t="shared" si="22"/>
        <v>161101605.49619821</v>
      </c>
      <c r="S69" s="80">
        <f t="shared" si="22"/>
        <v>0</v>
      </c>
      <c r="T69" s="80">
        <f t="shared" si="22"/>
        <v>275500316.31922829</v>
      </c>
      <c r="U69" s="80">
        <f t="shared" si="22"/>
        <v>438423397.80823392</v>
      </c>
      <c r="V69" s="80">
        <f t="shared" si="22"/>
        <v>75736072.29061836</v>
      </c>
      <c r="W69" s="80">
        <f t="shared" si="22"/>
        <v>115092781.63131401</v>
      </c>
      <c r="X69" s="80">
        <f t="shared" si="22"/>
        <v>104690101.93262604</v>
      </c>
      <c r="Y69" s="80">
        <f t="shared" si="22"/>
        <v>73215269.23630555</v>
      </c>
      <c r="Z69" s="80">
        <f t="shared" si="22"/>
        <v>36360071.655844547</v>
      </c>
      <c r="AA69" s="80">
        <f t="shared" si="22"/>
        <v>42176667.513765797</v>
      </c>
      <c r="AB69" s="80">
        <f t="shared" si="22"/>
        <v>115567184.76096536</v>
      </c>
      <c r="AC69" s="80">
        <f t="shared" si="22"/>
        <v>0</v>
      </c>
      <c r="AD69" s="80">
        <f t="shared" si="22"/>
        <v>0</v>
      </c>
      <c r="AE69" s="80">
        <f t="shared" si="22"/>
        <v>0</v>
      </c>
      <c r="AF69" s="80">
        <f>SUM(H69:AE69)</f>
        <v>4331626533.7946157</v>
      </c>
      <c r="AG69" s="93" t="str">
        <f>IF(ABS(AF69-F69)&lt;1,"ok","err")</f>
        <v>ok</v>
      </c>
    </row>
    <row r="70" spans="1:33">
      <c r="A70" s="60"/>
      <c r="B70" s="60"/>
      <c r="AG70" s="58"/>
    </row>
    <row r="71" spans="1:33" ht="15">
      <c r="A71" s="59"/>
      <c r="B71" s="60"/>
      <c r="AG71" s="58"/>
    </row>
    <row r="72" spans="1:33" ht="15">
      <c r="A72" s="59" t="s">
        <v>961</v>
      </c>
      <c r="B72" s="60"/>
      <c r="AG72" s="58"/>
    </row>
    <row r="73" spans="1:33" ht="15">
      <c r="A73" s="59"/>
      <c r="B73" s="60"/>
      <c r="AG73" s="58"/>
    </row>
    <row r="74" spans="1:33">
      <c r="A74" s="60"/>
      <c r="B74" s="60" t="s">
        <v>319</v>
      </c>
      <c r="C74" s="44" t="s">
        <v>123</v>
      </c>
      <c r="D74" s="44" t="s">
        <v>638</v>
      </c>
      <c r="F74" s="76">
        <v>67084847.629999995</v>
      </c>
      <c r="H74" s="63">
        <f t="shared" ref="H74:Q77" si="23">IF(VLOOKUP($D74,$C$6:$AE$653,H$2,)=0,0,((VLOOKUP($D74,$C$6:$AE$653,H$2,)/VLOOKUP($D74,$C$6:$AE$653,4,))*$F74))</f>
        <v>23063858.157510284</v>
      </c>
      <c r="I74" s="63">
        <f t="shared" si="23"/>
        <v>24160851.231272571</v>
      </c>
      <c r="J74" s="63">
        <f t="shared" si="23"/>
        <v>19860138.24121714</v>
      </c>
      <c r="K74" s="63">
        <f t="shared" si="23"/>
        <v>0</v>
      </c>
      <c r="L74" s="63">
        <f t="shared" si="23"/>
        <v>0</v>
      </c>
      <c r="M74" s="63">
        <f t="shared" si="23"/>
        <v>0</v>
      </c>
      <c r="N74" s="63">
        <f t="shared" si="23"/>
        <v>0</v>
      </c>
      <c r="O74" s="63">
        <f t="shared" si="23"/>
        <v>0</v>
      </c>
      <c r="P74" s="63">
        <f t="shared" si="23"/>
        <v>0</v>
      </c>
      <c r="Q74" s="63">
        <f t="shared" si="23"/>
        <v>0</v>
      </c>
      <c r="R74" s="63">
        <f t="shared" ref="R74:AE77" si="24">IF(VLOOKUP($D74,$C$6:$AE$653,R$2,)=0,0,((VLOOKUP($D74,$C$6:$AE$653,R$2,)/VLOOKUP($D74,$C$6:$AE$653,4,))*$F74))</f>
        <v>0</v>
      </c>
      <c r="S74" s="63">
        <f t="shared" si="24"/>
        <v>0</v>
      </c>
      <c r="T74" s="63">
        <f t="shared" si="24"/>
        <v>0</v>
      </c>
      <c r="U74" s="63">
        <f t="shared" si="24"/>
        <v>0</v>
      </c>
      <c r="V74" s="63">
        <f t="shared" si="24"/>
        <v>0</v>
      </c>
      <c r="W74" s="63">
        <f t="shared" si="24"/>
        <v>0</v>
      </c>
      <c r="X74" s="63">
        <f t="shared" si="24"/>
        <v>0</v>
      </c>
      <c r="Y74" s="63">
        <f t="shared" si="24"/>
        <v>0</v>
      </c>
      <c r="Z74" s="63">
        <f t="shared" si="24"/>
        <v>0</v>
      </c>
      <c r="AA74" s="63">
        <f t="shared" si="24"/>
        <v>0</v>
      </c>
      <c r="AB74" s="63">
        <f t="shared" si="24"/>
        <v>0</v>
      </c>
      <c r="AC74" s="63">
        <f t="shared" si="24"/>
        <v>0</v>
      </c>
      <c r="AD74" s="63">
        <f t="shared" si="24"/>
        <v>0</v>
      </c>
      <c r="AE74" s="63">
        <f t="shared" si="24"/>
        <v>0</v>
      </c>
      <c r="AF74" s="63">
        <f>SUM(H74:AE74)</f>
        <v>67084847.629999995</v>
      </c>
      <c r="AG74" s="58" t="str">
        <f>IF(ABS(AF74-F74)&lt;1,"ok","err")</f>
        <v>ok</v>
      </c>
    </row>
    <row r="75" spans="1:33">
      <c r="A75" s="60"/>
      <c r="B75" s="60" t="s">
        <v>24</v>
      </c>
      <c r="C75" s="44" t="s">
        <v>124</v>
      </c>
      <c r="D75" s="44" t="s">
        <v>1162</v>
      </c>
      <c r="F75" s="79">
        <v>6861293.7046153834</v>
      </c>
      <c r="H75" s="63">
        <f t="shared" si="23"/>
        <v>0</v>
      </c>
      <c r="I75" s="63">
        <f t="shared" si="23"/>
        <v>0</v>
      </c>
      <c r="J75" s="63">
        <f t="shared" si="23"/>
        <v>0</v>
      </c>
      <c r="K75" s="63">
        <f t="shared" si="23"/>
        <v>0</v>
      </c>
      <c r="L75" s="63">
        <f t="shared" si="23"/>
        <v>0</v>
      </c>
      <c r="M75" s="63">
        <f t="shared" si="23"/>
        <v>0</v>
      </c>
      <c r="N75" s="63">
        <f t="shared" si="23"/>
        <v>6861293.7046153834</v>
      </c>
      <c r="O75" s="63">
        <f t="shared" si="23"/>
        <v>0</v>
      </c>
      <c r="P75" s="63">
        <f t="shared" si="23"/>
        <v>0</v>
      </c>
      <c r="Q75" s="63">
        <f t="shared" si="23"/>
        <v>0</v>
      </c>
      <c r="R75" s="63">
        <f t="shared" si="24"/>
        <v>0</v>
      </c>
      <c r="S75" s="63">
        <f t="shared" si="24"/>
        <v>0</v>
      </c>
      <c r="T75" s="63">
        <f t="shared" si="24"/>
        <v>0</v>
      </c>
      <c r="U75" s="63">
        <f t="shared" si="24"/>
        <v>0</v>
      </c>
      <c r="V75" s="63">
        <f t="shared" si="24"/>
        <v>0</v>
      </c>
      <c r="W75" s="63">
        <f t="shared" si="24"/>
        <v>0</v>
      </c>
      <c r="X75" s="63">
        <f t="shared" si="24"/>
        <v>0</v>
      </c>
      <c r="Y75" s="63">
        <f t="shared" si="24"/>
        <v>0</v>
      </c>
      <c r="Z75" s="63">
        <f t="shared" si="24"/>
        <v>0</v>
      </c>
      <c r="AA75" s="63">
        <f t="shared" si="24"/>
        <v>0</v>
      </c>
      <c r="AB75" s="63">
        <f t="shared" si="24"/>
        <v>0</v>
      </c>
      <c r="AC75" s="63">
        <f t="shared" si="24"/>
        <v>0</v>
      </c>
      <c r="AD75" s="63">
        <f t="shared" si="24"/>
        <v>0</v>
      </c>
      <c r="AE75" s="63">
        <f t="shared" si="24"/>
        <v>0</v>
      </c>
      <c r="AF75" s="63">
        <f>SUM(H75:AE75)</f>
        <v>6861293.7046153834</v>
      </c>
      <c r="AG75" s="58" t="str">
        <f>IF(ABS(AF75-F75)&lt;1,"ok","err")</f>
        <v>ok</v>
      </c>
    </row>
    <row r="76" spans="1:33">
      <c r="A76" s="60"/>
      <c r="B76" s="60" t="s">
        <v>1285</v>
      </c>
      <c r="C76" s="44" t="s">
        <v>125</v>
      </c>
      <c r="D76" s="44" t="s">
        <v>935</v>
      </c>
      <c r="F76" s="79">
        <v>30927920.5776923</v>
      </c>
      <c r="H76" s="63">
        <f t="shared" si="23"/>
        <v>0</v>
      </c>
      <c r="I76" s="63">
        <f t="shared" si="23"/>
        <v>0</v>
      </c>
      <c r="J76" s="63">
        <f t="shared" si="23"/>
        <v>0</v>
      </c>
      <c r="K76" s="63">
        <f t="shared" si="23"/>
        <v>0</v>
      </c>
      <c r="L76" s="63">
        <f t="shared" si="23"/>
        <v>0</v>
      </c>
      <c r="M76" s="63">
        <f t="shared" si="23"/>
        <v>0</v>
      </c>
      <c r="N76" s="63">
        <f t="shared" si="23"/>
        <v>0</v>
      </c>
      <c r="O76" s="63">
        <f t="shared" si="23"/>
        <v>0</v>
      </c>
      <c r="P76" s="63">
        <f t="shared" si="23"/>
        <v>0</v>
      </c>
      <c r="Q76" s="63">
        <f t="shared" si="23"/>
        <v>0</v>
      </c>
      <c r="R76" s="63">
        <f t="shared" si="24"/>
        <v>3465236.9772077077</v>
      </c>
      <c r="S76" s="63">
        <f t="shared" si="24"/>
        <v>0</v>
      </c>
      <c r="T76" s="63">
        <f t="shared" si="24"/>
        <v>5925911.6655068891</v>
      </c>
      <c r="U76" s="63">
        <f t="shared" si="24"/>
        <v>9430327.929252008</v>
      </c>
      <c r="V76" s="63">
        <f t="shared" si="24"/>
        <v>1629055.3865158102</v>
      </c>
      <c r="W76" s="63">
        <f t="shared" si="24"/>
        <v>2475603.8991053565</v>
      </c>
      <c r="X76" s="63">
        <f t="shared" si="24"/>
        <v>2251846.0399399363</v>
      </c>
      <c r="Y76" s="63">
        <f t="shared" si="24"/>
        <v>1574833.8290759688</v>
      </c>
      <c r="Z76" s="63">
        <f t="shared" si="24"/>
        <v>782091.92520261847</v>
      </c>
      <c r="AA76" s="63">
        <f t="shared" si="24"/>
        <v>907204.78789732046</v>
      </c>
      <c r="AB76" s="63">
        <f t="shared" si="24"/>
        <v>2485808.1379886856</v>
      </c>
      <c r="AC76" s="63">
        <f t="shared" si="24"/>
        <v>0</v>
      </c>
      <c r="AD76" s="63">
        <f t="shared" si="24"/>
        <v>0</v>
      </c>
      <c r="AE76" s="63">
        <f t="shared" si="24"/>
        <v>0</v>
      </c>
      <c r="AF76" s="63">
        <f>SUM(H76:AE76)</f>
        <v>30927920.5776923</v>
      </c>
      <c r="AG76" s="58" t="str">
        <f>IF(ABS(AF76-F76)&lt;1,"ok","err")</f>
        <v>ok</v>
      </c>
    </row>
    <row r="77" spans="1:33">
      <c r="A77" s="60"/>
      <c r="B77" s="60" t="s">
        <v>1320</v>
      </c>
      <c r="C77" s="44" t="s">
        <v>126</v>
      </c>
      <c r="D77" s="44" t="s">
        <v>1163</v>
      </c>
      <c r="F77" s="79">
        <f>454671+18212996</f>
        <v>18667667</v>
      </c>
      <c r="H77" s="63">
        <f t="shared" si="23"/>
        <v>3599855.4435847811</v>
      </c>
      <c r="I77" s="63">
        <f t="shared" si="23"/>
        <v>3771076.4275671188</v>
      </c>
      <c r="J77" s="63">
        <f t="shared" si="23"/>
        <v>3099812.1073126411</v>
      </c>
      <c r="K77" s="63">
        <f t="shared" si="23"/>
        <v>0</v>
      </c>
      <c r="L77" s="63">
        <f t="shared" si="23"/>
        <v>0</v>
      </c>
      <c r="M77" s="63">
        <f t="shared" si="23"/>
        <v>0</v>
      </c>
      <c r="N77" s="63">
        <f t="shared" si="23"/>
        <v>2008373.8322510538</v>
      </c>
      <c r="O77" s="63">
        <f t="shared" si="23"/>
        <v>0</v>
      </c>
      <c r="P77" s="63">
        <f t="shared" si="23"/>
        <v>0</v>
      </c>
      <c r="Q77" s="63">
        <f t="shared" si="23"/>
        <v>0</v>
      </c>
      <c r="R77" s="63">
        <f t="shared" si="24"/>
        <v>693379.60927915748</v>
      </c>
      <c r="S77" s="63">
        <f t="shared" si="24"/>
        <v>0</v>
      </c>
      <c r="T77" s="63">
        <f t="shared" si="24"/>
        <v>1185750.452935236</v>
      </c>
      <c r="U77" s="63">
        <f t="shared" si="24"/>
        <v>1886969.6756578116</v>
      </c>
      <c r="V77" s="63">
        <f t="shared" si="24"/>
        <v>325967.25558049284</v>
      </c>
      <c r="W77" s="63">
        <f t="shared" si="24"/>
        <v>495358.11708751175</v>
      </c>
      <c r="X77" s="63">
        <f t="shared" si="24"/>
        <v>450585.09348718089</v>
      </c>
      <c r="Y77" s="63">
        <f t="shared" si="24"/>
        <v>315117.74584726826</v>
      </c>
      <c r="Z77" s="63">
        <f t="shared" si="24"/>
        <v>156493.36454742291</v>
      </c>
      <c r="AA77" s="63">
        <f t="shared" si="24"/>
        <v>181527.93171314479</v>
      </c>
      <c r="AB77" s="63">
        <f t="shared" si="24"/>
        <v>497399.94314917841</v>
      </c>
      <c r="AC77" s="63">
        <f t="shared" si="24"/>
        <v>0</v>
      </c>
      <c r="AD77" s="63">
        <f t="shared" si="24"/>
        <v>0</v>
      </c>
      <c r="AE77" s="63">
        <f t="shared" si="24"/>
        <v>0</v>
      </c>
      <c r="AF77" s="63">
        <f>SUM(H77:AE77)</f>
        <v>18667667.000000004</v>
      </c>
      <c r="AG77" s="58" t="str">
        <f>IF(ABS(AF77-F77)&lt;1,"ok","err")</f>
        <v>ok</v>
      </c>
    </row>
    <row r="78" spans="1:33">
      <c r="A78" s="60"/>
      <c r="B78" s="60"/>
      <c r="F78" s="79"/>
      <c r="AF78" s="63"/>
      <c r="AG78" s="58"/>
    </row>
    <row r="79" spans="1:33" ht="15">
      <c r="A79" s="273" t="s">
        <v>962</v>
      </c>
      <c r="B79" s="60"/>
      <c r="C79" s="44" t="s">
        <v>963</v>
      </c>
      <c r="F79" s="76">
        <f>SUM(F74:F77)</f>
        <v>123541728.91230768</v>
      </c>
      <c r="G79" s="62"/>
      <c r="H79" s="62">
        <f t="shared" ref="H79:AE79" si="25">SUM(H74:H77)</f>
        <v>26663713.601095065</v>
      </c>
      <c r="I79" s="62">
        <f t="shared" si="25"/>
        <v>27931927.658839688</v>
      </c>
      <c r="J79" s="62">
        <f t="shared" si="25"/>
        <v>22959950.348529782</v>
      </c>
      <c r="K79" s="62">
        <f t="shared" si="25"/>
        <v>0</v>
      </c>
      <c r="L79" s="62">
        <f t="shared" si="25"/>
        <v>0</v>
      </c>
      <c r="M79" s="62">
        <f t="shared" si="25"/>
        <v>0</v>
      </c>
      <c r="N79" s="62">
        <f t="shared" si="25"/>
        <v>8869667.5368664376</v>
      </c>
      <c r="O79" s="62">
        <f t="shared" si="25"/>
        <v>0</v>
      </c>
      <c r="P79" s="62">
        <f t="shared" si="25"/>
        <v>0</v>
      </c>
      <c r="Q79" s="62">
        <f t="shared" si="25"/>
        <v>0</v>
      </c>
      <c r="R79" s="62">
        <f t="shared" si="25"/>
        <v>4158616.5864868653</v>
      </c>
      <c r="S79" s="62">
        <f t="shared" si="25"/>
        <v>0</v>
      </c>
      <c r="T79" s="62">
        <f t="shared" si="25"/>
        <v>7111662.1184421256</v>
      </c>
      <c r="U79" s="62">
        <f t="shared" si="25"/>
        <v>11317297.604909819</v>
      </c>
      <c r="V79" s="62">
        <f t="shared" si="25"/>
        <v>1955022.6420963029</v>
      </c>
      <c r="W79" s="62">
        <f t="shared" si="25"/>
        <v>2970962.0161928684</v>
      </c>
      <c r="X79" s="62">
        <f t="shared" si="25"/>
        <v>2702431.133427117</v>
      </c>
      <c r="Y79" s="62">
        <f t="shared" si="25"/>
        <v>1889951.5749232371</v>
      </c>
      <c r="Z79" s="62">
        <f t="shared" si="25"/>
        <v>938585.28975004144</v>
      </c>
      <c r="AA79" s="62">
        <f t="shared" si="25"/>
        <v>1088732.7196104652</v>
      </c>
      <c r="AB79" s="62">
        <f t="shared" si="25"/>
        <v>2983208.0811378639</v>
      </c>
      <c r="AC79" s="62">
        <f t="shared" si="25"/>
        <v>0</v>
      </c>
      <c r="AD79" s="62">
        <f t="shared" si="25"/>
        <v>0</v>
      </c>
      <c r="AE79" s="62">
        <f t="shared" si="25"/>
        <v>0</v>
      </c>
      <c r="AF79" s="63">
        <f>SUM(H79:AE79)</f>
        <v>123541728.91230766</v>
      </c>
      <c r="AG79" s="58" t="str">
        <f>IF(ABS(AF79-F79)&lt;1,"ok","err")</f>
        <v>ok</v>
      </c>
    </row>
    <row r="80" spans="1:33" ht="15">
      <c r="A80" s="273"/>
      <c r="B80" s="60"/>
      <c r="F80" s="76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3"/>
      <c r="AG80" s="58"/>
    </row>
    <row r="81" spans="1:37" ht="15">
      <c r="A81" s="65" t="s">
        <v>1141</v>
      </c>
      <c r="B81" s="60"/>
      <c r="F81" s="76">
        <f>F69+F79</f>
        <v>4455168262.7069235</v>
      </c>
      <c r="G81" s="62"/>
      <c r="H81" s="62">
        <f t="shared" ref="H81:AE81" si="26">H69+H79</f>
        <v>861440246.30449092</v>
      </c>
      <c r="I81" s="62">
        <f t="shared" si="26"/>
        <v>902413182.28087652</v>
      </c>
      <c r="J81" s="62">
        <f t="shared" si="26"/>
        <v>741780592.87900853</v>
      </c>
      <c r="K81" s="62">
        <f t="shared" si="26"/>
        <v>0</v>
      </c>
      <c r="L81" s="62">
        <f t="shared" si="26"/>
        <v>0</v>
      </c>
      <c r="M81" s="62">
        <f t="shared" si="26"/>
        <v>0</v>
      </c>
      <c r="N81" s="62">
        <f t="shared" si="26"/>
        <v>474554302.83047062</v>
      </c>
      <c r="O81" s="62">
        <f t="shared" si="26"/>
        <v>0</v>
      </c>
      <c r="P81" s="62">
        <f t="shared" si="26"/>
        <v>0</v>
      </c>
      <c r="Q81" s="62">
        <f t="shared" si="26"/>
        <v>0</v>
      </c>
      <c r="R81" s="62">
        <f t="shared" si="26"/>
        <v>165260222.08268508</v>
      </c>
      <c r="S81" s="62">
        <f t="shared" si="26"/>
        <v>0</v>
      </c>
      <c r="T81" s="62">
        <f t="shared" si="26"/>
        <v>282611978.43767041</v>
      </c>
      <c r="U81" s="62">
        <f t="shared" si="26"/>
        <v>449740695.41314375</v>
      </c>
      <c r="V81" s="62">
        <f t="shared" si="26"/>
        <v>77691094.932714656</v>
      </c>
      <c r="W81" s="62">
        <f t="shared" si="26"/>
        <v>118063743.64750688</v>
      </c>
      <c r="X81" s="62">
        <f t="shared" si="26"/>
        <v>107392533.06605315</v>
      </c>
      <c r="Y81" s="62">
        <f t="shared" si="26"/>
        <v>75105220.811228782</v>
      </c>
      <c r="Z81" s="62">
        <f t="shared" si="26"/>
        <v>37298656.945594586</v>
      </c>
      <c r="AA81" s="62">
        <f t="shared" si="26"/>
        <v>43265400.233376265</v>
      </c>
      <c r="AB81" s="62">
        <f t="shared" si="26"/>
        <v>118550392.84210323</v>
      </c>
      <c r="AC81" s="62">
        <f t="shared" si="26"/>
        <v>0</v>
      </c>
      <c r="AD81" s="62">
        <f t="shared" si="26"/>
        <v>0</v>
      </c>
      <c r="AE81" s="62">
        <f t="shared" si="26"/>
        <v>0</v>
      </c>
      <c r="AF81" s="63">
        <f>SUM(H81:AE81)</f>
        <v>4455168262.7069225</v>
      </c>
      <c r="AG81" s="58" t="str">
        <f>IF(ABS(AF81-F81)&lt;1,"ok","err")</f>
        <v>ok</v>
      </c>
    </row>
    <row r="82" spans="1:37" ht="15">
      <c r="A82" s="65"/>
      <c r="B82" s="60"/>
      <c r="F82" s="76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3"/>
      <c r="AG82" s="58"/>
    </row>
    <row r="83" spans="1:37" ht="15">
      <c r="A83" s="65"/>
      <c r="B83" s="60"/>
      <c r="F83" s="76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4"/>
      <c r="AA83" s="64">
        <f>R81+T81+U81+V81+W81+X81+Y81+Z81+AA81</f>
        <v>1356429545.5699735</v>
      </c>
      <c r="AB83" s="62"/>
      <c r="AC83" s="62"/>
      <c r="AD83" s="62"/>
      <c r="AE83" s="62"/>
      <c r="AF83" s="63"/>
      <c r="AG83" s="58"/>
    </row>
    <row r="84" spans="1:37" ht="15">
      <c r="A84" s="65"/>
      <c r="B84" s="60"/>
      <c r="F84" s="76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3"/>
      <c r="AG84" s="58"/>
    </row>
    <row r="85" spans="1:37" ht="15">
      <c r="A85" s="65"/>
      <c r="B85" s="60"/>
      <c r="F85" s="76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3"/>
      <c r="AG85" s="58"/>
    </row>
    <row r="86" spans="1:37" ht="15">
      <c r="A86" s="65"/>
      <c r="B86" s="60"/>
      <c r="F86" s="76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3"/>
      <c r="AG86" s="58"/>
    </row>
    <row r="87" spans="1:37" ht="15">
      <c r="A87" s="65"/>
      <c r="B87" s="60"/>
      <c r="F87" s="76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G87" s="58"/>
    </row>
    <row r="88" spans="1:37" ht="15">
      <c r="A88" s="65"/>
      <c r="B88" s="60"/>
      <c r="F88" s="76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3"/>
      <c r="AG88" s="58"/>
    </row>
    <row r="89" spans="1:37" ht="15">
      <c r="A89" s="65"/>
      <c r="B89" s="60"/>
      <c r="F89" s="76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/>
      <c r="AG89" s="58"/>
    </row>
    <row r="90" spans="1:37" ht="15">
      <c r="A90" s="65"/>
      <c r="B90" s="60"/>
      <c r="F90" s="76"/>
      <c r="G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3"/>
      <c r="AG90" s="58"/>
      <c r="AH90" s="62"/>
      <c r="AI90" s="62"/>
      <c r="AJ90" s="62"/>
      <c r="AK90" s="62"/>
    </row>
    <row r="91" spans="1:37">
      <c r="A91" s="60"/>
      <c r="B91" s="60"/>
      <c r="AG91" s="58"/>
      <c r="AH91" s="64"/>
    </row>
    <row r="92" spans="1:37" ht="15">
      <c r="A92" s="59" t="s">
        <v>965</v>
      </c>
      <c r="B92" s="60"/>
      <c r="AG92" s="58"/>
      <c r="AH92" s="64"/>
      <c r="AI92" s="64"/>
    </row>
    <row r="93" spans="1:37">
      <c r="A93" s="60"/>
      <c r="B93" s="60"/>
      <c r="AG93" s="58"/>
      <c r="AI93" s="64"/>
    </row>
    <row r="94" spans="1:37" ht="15">
      <c r="A94" s="59" t="s">
        <v>966</v>
      </c>
      <c r="B94" s="60"/>
      <c r="AG94" s="58"/>
    </row>
    <row r="95" spans="1:37">
      <c r="A95" s="60" t="s">
        <v>934</v>
      </c>
      <c r="B95" s="60"/>
      <c r="F95" s="80">
        <f>F69</f>
        <v>4331626533.7946157</v>
      </c>
      <c r="G95" s="64"/>
      <c r="H95" s="64">
        <f t="shared" ref="H95:M95" si="27">H69</f>
        <v>834776532.70339584</v>
      </c>
      <c r="I95" s="64">
        <f t="shared" si="27"/>
        <v>874481254.62203681</v>
      </c>
      <c r="J95" s="64">
        <f t="shared" si="27"/>
        <v>718820642.53047872</v>
      </c>
      <c r="K95" s="64">
        <f t="shared" si="27"/>
        <v>0</v>
      </c>
      <c r="L95" s="64">
        <f t="shared" si="27"/>
        <v>0</v>
      </c>
      <c r="M95" s="64">
        <f t="shared" si="27"/>
        <v>0</v>
      </c>
      <c r="N95" s="64">
        <f>N69</f>
        <v>465684635.2936042</v>
      </c>
      <c r="O95" s="64">
        <f>O69</f>
        <v>0</v>
      </c>
      <c r="P95" s="64">
        <f>P69</f>
        <v>0</v>
      </c>
      <c r="Q95" s="64">
        <f t="shared" ref="Q95:AB95" si="28">Q69</f>
        <v>0</v>
      </c>
      <c r="R95" s="64">
        <f t="shared" si="28"/>
        <v>161101605.49619821</v>
      </c>
      <c r="S95" s="64">
        <f t="shared" si="28"/>
        <v>0</v>
      </c>
      <c r="T95" s="64">
        <f t="shared" si="28"/>
        <v>275500316.31922829</v>
      </c>
      <c r="U95" s="64">
        <f t="shared" si="28"/>
        <v>438423397.80823392</v>
      </c>
      <c r="V95" s="64">
        <f t="shared" si="28"/>
        <v>75736072.29061836</v>
      </c>
      <c r="W95" s="64">
        <f t="shared" si="28"/>
        <v>115092781.63131401</v>
      </c>
      <c r="X95" s="64">
        <f t="shared" si="28"/>
        <v>104690101.93262604</v>
      </c>
      <c r="Y95" s="64">
        <f t="shared" si="28"/>
        <v>73215269.23630555</v>
      </c>
      <c r="Z95" s="64">
        <f t="shared" si="28"/>
        <v>36360071.655844547</v>
      </c>
      <c r="AA95" s="64">
        <f t="shared" si="28"/>
        <v>42176667.513765797</v>
      </c>
      <c r="AB95" s="64">
        <f t="shared" si="28"/>
        <v>115567184.76096536</v>
      </c>
      <c r="AC95" s="64">
        <f>AC69</f>
        <v>0</v>
      </c>
      <c r="AD95" s="64">
        <f>AD69</f>
        <v>0</v>
      </c>
      <c r="AE95" s="64">
        <f>AE69</f>
        <v>0</v>
      </c>
      <c r="AF95" s="63">
        <f>SUM(H95:AE95)</f>
        <v>4331626533.7946157</v>
      </c>
      <c r="AG95" s="58" t="str">
        <f>IF(ABS(AF95-F95)&lt;1,"ok","err")</f>
        <v>ok</v>
      </c>
    </row>
    <row r="96" spans="1:37">
      <c r="A96" s="60" t="s">
        <v>961</v>
      </c>
      <c r="B96" s="60"/>
      <c r="F96" s="79">
        <f>F79</f>
        <v>123541728.91230768</v>
      </c>
      <c r="G96" s="67"/>
      <c r="H96" s="67">
        <f t="shared" ref="H96:AE96" si="29">H79</f>
        <v>26663713.601095065</v>
      </c>
      <c r="I96" s="67">
        <f t="shared" si="29"/>
        <v>27931927.658839688</v>
      </c>
      <c r="J96" s="67">
        <f t="shared" si="29"/>
        <v>22959950.348529782</v>
      </c>
      <c r="K96" s="67">
        <f>K79</f>
        <v>0</v>
      </c>
      <c r="L96" s="67">
        <f t="shared" si="29"/>
        <v>0</v>
      </c>
      <c r="M96" s="67">
        <f t="shared" si="29"/>
        <v>0</v>
      </c>
      <c r="N96" s="67">
        <f>N79</f>
        <v>8869667.5368664376</v>
      </c>
      <c r="O96" s="67">
        <f>O79</f>
        <v>0</v>
      </c>
      <c r="P96" s="67">
        <f>P79</f>
        <v>0</v>
      </c>
      <c r="Q96" s="67">
        <f t="shared" si="29"/>
        <v>0</v>
      </c>
      <c r="R96" s="67">
        <f>R79</f>
        <v>4158616.5864868653</v>
      </c>
      <c r="S96" s="67">
        <f t="shared" si="29"/>
        <v>0</v>
      </c>
      <c r="T96" s="67">
        <f t="shared" si="29"/>
        <v>7111662.1184421256</v>
      </c>
      <c r="U96" s="67">
        <f>U79</f>
        <v>11317297.604909819</v>
      </c>
      <c r="V96" s="67">
        <f>V79</f>
        <v>1955022.6420963029</v>
      </c>
      <c r="W96" s="67">
        <f>W79</f>
        <v>2970962.0161928684</v>
      </c>
      <c r="X96" s="67">
        <f t="shared" si="29"/>
        <v>2702431.133427117</v>
      </c>
      <c r="Y96" s="67">
        <f t="shared" si="29"/>
        <v>1889951.5749232371</v>
      </c>
      <c r="Z96" s="67">
        <f>Z79</f>
        <v>938585.28975004144</v>
      </c>
      <c r="AA96" s="67">
        <f>AA79</f>
        <v>1088732.7196104652</v>
      </c>
      <c r="AB96" s="67">
        <f t="shared" si="29"/>
        <v>2983208.0811378639</v>
      </c>
      <c r="AC96" s="67">
        <f t="shared" si="29"/>
        <v>0</v>
      </c>
      <c r="AD96" s="67">
        <f t="shared" si="29"/>
        <v>0</v>
      </c>
      <c r="AE96" s="63">
        <f t="shared" si="29"/>
        <v>0</v>
      </c>
      <c r="AF96" s="63">
        <f>SUM(H96:AE96)</f>
        <v>123541728.91230766</v>
      </c>
      <c r="AG96" s="58" t="str">
        <f>IF(ABS(AF96-F96)&lt;1,"ok","err")</f>
        <v>ok</v>
      </c>
    </row>
    <row r="97" spans="1:33">
      <c r="A97" s="60"/>
      <c r="B97" s="60"/>
      <c r="W97" s="44"/>
      <c r="AF97" s="63"/>
      <c r="AG97" s="58"/>
    </row>
    <row r="98" spans="1:33" ht="15">
      <c r="A98" s="273" t="s">
        <v>967</v>
      </c>
      <c r="B98" s="60"/>
      <c r="C98" s="44" t="s">
        <v>968</v>
      </c>
      <c r="F98" s="80">
        <f>F95+F96</f>
        <v>4455168262.7069235</v>
      </c>
      <c r="G98" s="64"/>
      <c r="H98" s="64">
        <f t="shared" ref="H98:AE98" si="30">H95+H96</f>
        <v>861440246.30449092</v>
      </c>
      <c r="I98" s="64">
        <f t="shared" si="30"/>
        <v>902413182.28087652</v>
      </c>
      <c r="J98" s="64">
        <f t="shared" si="30"/>
        <v>741780592.87900853</v>
      </c>
      <c r="K98" s="64">
        <f>K95+K96</f>
        <v>0</v>
      </c>
      <c r="L98" s="64">
        <f t="shared" si="30"/>
        <v>0</v>
      </c>
      <c r="M98" s="64">
        <f t="shared" si="30"/>
        <v>0</v>
      </c>
      <c r="N98" s="64">
        <f t="shared" si="30"/>
        <v>474554302.83047062</v>
      </c>
      <c r="O98" s="64">
        <f>O95+O96</f>
        <v>0</v>
      </c>
      <c r="P98" s="64">
        <f>P95+P96</f>
        <v>0</v>
      </c>
      <c r="Q98" s="64">
        <f t="shared" si="30"/>
        <v>0</v>
      </c>
      <c r="R98" s="64">
        <f>R95+R96</f>
        <v>165260222.08268508</v>
      </c>
      <c r="S98" s="64">
        <f t="shared" si="30"/>
        <v>0</v>
      </c>
      <c r="T98" s="64">
        <f t="shared" si="30"/>
        <v>282611978.43767041</v>
      </c>
      <c r="U98" s="64">
        <f>U95+U96</f>
        <v>449740695.41314375</v>
      </c>
      <c r="V98" s="64">
        <f>V95+V96</f>
        <v>77691094.932714656</v>
      </c>
      <c r="W98" s="64">
        <f>W95+W96</f>
        <v>118063743.64750688</v>
      </c>
      <c r="X98" s="64">
        <f t="shared" si="30"/>
        <v>107392533.06605315</v>
      </c>
      <c r="Y98" s="64">
        <f t="shared" si="30"/>
        <v>75105220.811228782</v>
      </c>
      <c r="Z98" s="64">
        <f>Z95+Z96</f>
        <v>37298656.945594586</v>
      </c>
      <c r="AA98" s="64">
        <f>AA95+AA96</f>
        <v>43265400.233376265</v>
      </c>
      <c r="AB98" s="64">
        <f t="shared" si="30"/>
        <v>118550392.84210323</v>
      </c>
      <c r="AC98" s="64">
        <f t="shared" si="30"/>
        <v>0</v>
      </c>
      <c r="AD98" s="64">
        <f t="shared" si="30"/>
        <v>0</v>
      </c>
      <c r="AE98" s="64">
        <f t="shared" si="30"/>
        <v>0</v>
      </c>
      <c r="AF98" s="63">
        <f>SUM(H98:AE98)</f>
        <v>4455168262.7069225</v>
      </c>
      <c r="AG98" s="58" t="str">
        <f>IF(ABS(AF98-F98)&lt;1,"ok","err")</f>
        <v>ok</v>
      </c>
    </row>
    <row r="99" spans="1:33">
      <c r="A99" s="60"/>
      <c r="B99" s="60"/>
      <c r="W99" s="44"/>
      <c r="AG99" s="58"/>
    </row>
    <row r="100" spans="1:33" ht="15">
      <c r="A100" s="274" t="s">
        <v>756</v>
      </c>
      <c r="B100" s="60"/>
      <c r="W100" s="44"/>
      <c r="AG100" s="58"/>
    </row>
    <row r="101" spans="1:33">
      <c r="A101" s="68" t="s">
        <v>622</v>
      </c>
      <c r="B101" s="60"/>
      <c r="C101" s="44" t="s">
        <v>2</v>
      </c>
      <c r="D101" s="44" t="s">
        <v>638</v>
      </c>
      <c r="F101" s="76">
        <f>777567688+13089605+113284845</f>
        <v>903942138</v>
      </c>
      <c r="H101" s="63">
        <f t="shared" ref="H101:Q105" si="31">IF(VLOOKUP($D101,$C$6:$AE$653,H$2,)=0,0,((VLOOKUP($D101,$C$6:$AE$653,H$2,)/VLOOKUP($D101,$C$6:$AE$653,4,))*$F101))</f>
        <v>310776486.64294338</v>
      </c>
      <c r="I101" s="63">
        <f t="shared" si="31"/>
        <v>325558040.14571124</v>
      </c>
      <c r="J101" s="63">
        <f t="shared" si="31"/>
        <v>267607611.21134531</v>
      </c>
      <c r="K101" s="63">
        <f t="shared" si="31"/>
        <v>0</v>
      </c>
      <c r="L101" s="63">
        <f t="shared" si="31"/>
        <v>0</v>
      </c>
      <c r="M101" s="63">
        <f t="shared" si="31"/>
        <v>0</v>
      </c>
      <c r="N101" s="63">
        <f t="shared" si="31"/>
        <v>0</v>
      </c>
      <c r="O101" s="63">
        <f t="shared" si="31"/>
        <v>0</v>
      </c>
      <c r="P101" s="63">
        <f t="shared" si="31"/>
        <v>0</v>
      </c>
      <c r="Q101" s="63">
        <f t="shared" si="31"/>
        <v>0</v>
      </c>
      <c r="R101" s="63">
        <f t="shared" ref="R101:AE105" si="32">IF(VLOOKUP($D101,$C$6:$AE$653,R$2,)=0,0,((VLOOKUP($D101,$C$6:$AE$653,R$2,)/VLOOKUP($D101,$C$6:$AE$653,4,))*$F101))</f>
        <v>0</v>
      </c>
      <c r="S101" s="63">
        <f t="shared" si="32"/>
        <v>0</v>
      </c>
      <c r="T101" s="63">
        <f t="shared" si="32"/>
        <v>0</v>
      </c>
      <c r="U101" s="63">
        <f t="shared" si="32"/>
        <v>0</v>
      </c>
      <c r="V101" s="63">
        <f t="shared" si="32"/>
        <v>0</v>
      </c>
      <c r="W101" s="63">
        <f t="shared" si="32"/>
        <v>0</v>
      </c>
      <c r="X101" s="63">
        <f t="shared" si="32"/>
        <v>0</v>
      </c>
      <c r="Y101" s="63">
        <f t="shared" si="32"/>
        <v>0</v>
      </c>
      <c r="Z101" s="63">
        <f t="shared" si="32"/>
        <v>0</v>
      </c>
      <c r="AA101" s="63">
        <f t="shared" si="32"/>
        <v>0</v>
      </c>
      <c r="AB101" s="63">
        <f t="shared" si="32"/>
        <v>0</v>
      </c>
      <c r="AC101" s="63">
        <f t="shared" si="32"/>
        <v>0</v>
      </c>
      <c r="AD101" s="63">
        <f t="shared" si="32"/>
        <v>0</v>
      </c>
      <c r="AE101" s="63">
        <f t="shared" si="32"/>
        <v>0</v>
      </c>
      <c r="AF101" s="63">
        <f>SUM(H101:AE101)</f>
        <v>903942137.99999988</v>
      </c>
      <c r="AG101" s="58" t="str">
        <f>IF(ABS(AF101-F101)&lt;1,"ok","err")</f>
        <v>ok</v>
      </c>
    </row>
    <row r="102" spans="1:33">
      <c r="A102" s="60" t="s">
        <v>618</v>
      </c>
      <c r="B102" s="60"/>
      <c r="C102" s="44" t="s">
        <v>3</v>
      </c>
      <c r="D102" s="44" t="s">
        <v>1161</v>
      </c>
      <c r="F102" s="79">
        <f>159969049</f>
        <v>159969049</v>
      </c>
      <c r="H102" s="63">
        <f t="shared" si="31"/>
        <v>0</v>
      </c>
      <c r="I102" s="63">
        <f t="shared" si="31"/>
        <v>0</v>
      </c>
      <c r="J102" s="63">
        <f t="shared" si="31"/>
        <v>0</v>
      </c>
      <c r="K102" s="63">
        <f t="shared" si="31"/>
        <v>0</v>
      </c>
      <c r="L102" s="63">
        <f t="shared" si="31"/>
        <v>0</v>
      </c>
      <c r="M102" s="63">
        <f t="shared" si="31"/>
        <v>0</v>
      </c>
      <c r="N102" s="63">
        <f t="shared" si="31"/>
        <v>159969049</v>
      </c>
      <c r="O102" s="63">
        <f t="shared" si="31"/>
        <v>0</v>
      </c>
      <c r="P102" s="63">
        <f t="shared" si="31"/>
        <v>0</v>
      </c>
      <c r="Q102" s="63">
        <f t="shared" si="31"/>
        <v>0</v>
      </c>
      <c r="R102" s="63">
        <f t="shared" si="32"/>
        <v>0</v>
      </c>
      <c r="S102" s="63">
        <f t="shared" si="32"/>
        <v>0</v>
      </c>
      <c r="T102" s="63">
        <f t="shared" si="32"/>
        <v>0</v>
      </c>
      <c r="U102" s="63">
        <f t="shared" si="32"/>
        <v>0</v>
      </c>
      <c r="V102" s="63">
        <f t="shared" si="32"/>
        <v>0</v>
      </c>
      <c r="W102" s="63">
        <f t="shared" si="32"/>
        <v>0</v>
      </c>
      <c r="X102" s="63">
        <f t="shared" si="32"/>
        <v>0</v>
      </c>
      <c r="Y102" s="63">
        <f t="shared" si="32"/>
        <v>0</v>
      </c>
      <c r="Z102" s="63">
        <f t="shared" si="32"/>
        <v>0</v>
      </c>
      <c r="AA102" s="63">
        <f t="shared" si="32"/>
        <v>0</v>
      </c>
      <c r="AB102" s="63">
        <f t="shared" si="32"/>
        <v>0</v>
      </c>
      <c r="AC102" s="63">
        <f t="shared" si="32"/>
        <v>0</v>
      </c>
      <c r="AD102" s="63">
        <f t="shared" si="32"/>
        <v>0</v>
      </c>
      <c r="AE102" s="63">
        <f t="shared" si="32"/>
        <v>0</v>
      </c>
      <c r="AF102" s="63">
        <f>SUM(H102:AE102)</f>
        <v>159969049</v>
      </c>
      <c r="AG102" s="58" t="str">
        <f>IF(ABS(AF102-F102)&lt;1,"ok","err")</f>
        <v>ok</v>
      </c>
    </row>
    <row r="103" spans="1:33">
      <c r="A103" s="60" t="s">
        <v>318</v>
      </c>
      <c r="B103" s="60"/>
      <c r="C103" s="44" t="s">
        <v>25</v>
      </c>
      <c r="D103" s="44" t="s">
        <v>935</v>
      </c>
      <c r="F103" s="79">
        <f>508037556</f>
        <v>508037556</v>
      </c>
      <c r="H103" s="63">
        <f t="shared" si="31"/>
        <v>0</v>
      </c>
      <c r="I103" s="63">
        <f t="shared" si="31"/>
        <v>0</v>
      </c>
      <c r="J103" s="63">
        <f t="shared" si="31"/>
        <v>0</v>
      </c>
      <c r="K103" s="63">
        <f t="shared" si="31"/>
        <v>0</v>
      </c>
      <c r="L103" s="63">
        <f t="shared" si="31"/>
        <v>0</v>
      </c>
      <c r="M103" s="63">
        <f t="shared" si="31"/>
        <v>0</v>
      </c>
      <c r="N103" s="63">
        <f t="shared" si="31"/>
        <v>0</v>
      </c>
      <c r="O103" s="63">
        <f t="shared" si="31"/>
        <v>0</v>
      </c>
      <c r="P103" s="63">
        <f t="shared" si="31"/>
        <v>0</v>
      </c>
      <c r="Q103" s="63">
        <f t="shared" si="31"/>
        <v>0</v>
      </c>
      <c r="R103" s="63">
        <f t="shared" si="32"/>
        <v>56921722.895629279</v>
      </c>
      <c r="S103" s="63">
        <f t="shared" si="32"/>
        <v>0</v>
      </c>
      <c r="T103" s="63">
        <f t="shared" si="32"/>
        <v>97342001.123330802</v>
      </c>
      <c r="U103" s="63">
        <f t="shared" si="32"/>
        <v>154907302.65620756</v>
      </c>
      <c r="V103" s="63">
        <f t="shared" si="32"/>
        <v>26759681.921553902</v>
      </c>
      <c r="W103" s="63">
        <f t="shared" si="32"/>
        <v>40665512.942137793</v>
      </c>
      <c r="X103" s="63">
        <f t="shared" si="32"/>
        <v>36989953.9720276</v>
      </c>
      <c r="Y103" s="63">
        <f t="shared" si="32"/>
        <v>25869011.387948114</v>
      </c>
      <c r="Z103" s="63">
        <f t="shared" si="32"/>
        <v>12847034.744840262</v>
      </c>
      <c r="AA103" s="63">
        <f t="shared" si="32"/>
        <v>14902201.461526221</v>
      </c>
      <c r="AB103" s="63">
        <f t="shared" si="32"/>
        <v>40833132.894798487</v>
      </c>
      <c r="AC103" s="63">
        <f t="shared" si="32"/>
        <v>0</v>
      </c>
      <c r="AD103" s="63">
        <f t="shared" si="32"/>
        <v>0</v>
      </c>
      <c r="AE103" s="63">
        <f t="shared" si="32"/>
        <v>0</v>
      </c>
      <c r="AF103" s="63">
        <f>SUM(H103:AE103)</f>
        <v>508037556</v>
      </c>
      <c r="AG103" s="58" t="str">
        <f>IF(ABS(AF103-F103)&lt;1,"ok","err")</f>
        <v>ok</v>
      </c>
    </row>
    <row r="104" spans="1:33">
      <c r="A104" s="68" t="s">
        <v>619</v>
      </c>
      <c r="B104" s="60"/>
      <c r="C104" s="44" t="s">
        <v>26</v>
      </c>
      <c r="D104" s="44" t="s">
        <v>1163</v>
      </c>
      <c r="F104" s="79">
        <f>7268272+104835731-40982991</f>
        <v>71121012</v>
      </c>
      <c r="H104" s="63">
        <f t="shared" si="31"/>
        <v>13714909.431449499</v>
      </c>
      <c r="I104" s="63">
        <f t="shared" si="31"/>
        <v>14367235.70534648</v>
      </c>
      <c r="J104" s="63">
        <f t="shared" si="31"/>
        <v>11809819.303179538</v>
      </c>
      <c r="K104" s="63">
        <f t="shared" si="31"/>
        <v>0</v>
      </c>
      <c r="L104" s="63">
        <f t="shared" si="31"/>
        <v>0</v>
      </c>
      <c r="M104" s="63">
        <f t="shared" si="31"/>
        <v>0</v>
      </c>
      <c r="N104" s="63">
        <f t="shared" si="31"/>
        <v>7651603.1394824637</v>
      </c>
      <c r="O104" s="63">
        <f t="shared" si="31"/>
        <v>0</v>
      </c>
      <c r="P104" s="63">
        <f t="shared" si="31"/>
        <v>0</v>
      </c>
      <c r="Q104" s="63">
        <f t="shared" si="31"/>
        <v>0</v>
      </c>
      <c r="R104" s="63">
        <f t="shared" si="32"/>
        <v>2641672.3371001999</v>
      </c>
      <c r="S104" s="63">
        <f t="shared" si="32"/>
        <v>0</v>
      </c>
      <c r="T104" s="63">
        <f t="shared" si="32"/>
        <v>4517531.4190151542</v>
      </c>
      <c r="U104" s="63">
        <f t="shared" si="32"/>
        <v>7189071.5077623418</v>
      </c>
      <c r="V104" s="63">
        <f t="shared" si="32"/>
        <v>1241886.3640404181</v>
      </c>
      <c r="W104" s="63">
        <f t="shared" si="32"/>
        <v>1887240.145738529</v>
      </c>
      <c r="X104" s="63">
        <f t="shared" si="32"/>
        <v>1716661.6396640732</v>
      </c>
      <c r="Y104" s="63">
        <f t="shared" si="32"/>
        <v>1200551.3588718139</v>
      </c>
      <c r="Z104" s="63">
        <f t="shared" si="32"/>
        <v>596216.25229856733</v>
      </c>
      <c r="AA104" s="63">
        <f t="shared" si="32"/>
        <v>691594.19919509767</v>
      </c>
      <c r="AB104" s="63">
        <f t="shared" si="32"/>
        <v>1895019.1968558277</v>
      </c>
      <c r="AC104" s="63">
        <f t="shared" si="32"/>
        <v>0</v>
      </c>
      <c r="AD104" s="63">
        <f t="shared" si="32"/>
        <v>0</v>
      </c>
      <c r="AE104" s="63">
        <f t="shared" si="32"/>
        <v>0</v>
      </c>
      <c r="AF104" s="63">
        <f>SUM(H104:AE104)</f>
        <v>71121012</v>
      </c>
      <c r="AG104" s="58" t="str">
        <f>IF(ABS(AF104-F104)&lt;1,"ok","err")</f>
        <v>ok</v>
      </c>
    </row>
    <row r="105" spans="1:33">
      <c r="A105" s="68" t="s">
        <v>317</v>
      </c>
      <c r="B105" s="60"/>
      <c r="C105" s="44" t="s">
        <v>969</v>
      </c>
      <c r="D105" s="44" t="s">
        <v>1163</v>
      </c>
      <c r="F105" s="79">
        <v>40982991</v>
      </c>
      <c r="H105" s="63">
        <f t="shared" si="31"/>
        <v>7903121.6512345169</v>
      </c>
      <c r="I105" s="63">
        <f t="shared" si="31"/>
        <v>8279020.1524001574</v>
      </c>
      <c r="J105" s="63">
        <f t="shared" si="31"/>
        <v>6805326.6482461365</v>
      </c>
      <c r="K105" s="63">
        <f t="shared" si="31"/>
        <v>0</v>
      </c>
      <c r="L105" s="63">
        <f t="shared" si="31"/>
        <v>0</v>
      </c>
      <c r="M105" s="63">
        <f t="shared" si="31"/>
        <v>0</v>
      </c>
      <c r="N105" s="63">
        <f t="shared" si="31"/>
        <v>4409183.3592157206</v>
      </c>
      <c r="O105" s="63">
        <f t="shared" si="31"/>
        <v>0</v>
      </c>
      <c r="P105" s="63">
        <f t="shared" si="31"/>
        <v>0</v>
      </c>
      <c r="Q105" s="63">
        <f t="shared" si="31"/>
        <v>0</v>
      </c>
      <c r="R105" s="63">
        <f t="shared" si="32"/>
        <v>1522245.4035992408</v>
      </c>
      <c r="S105" s="63">
        <f t="shared" si="32"/>
        <v>0</v>
      </c>
      <c r="T105" s="63">
        <f t="shared" si="32"/>
        <v>2603196.2184075122</v>
      </c>
      <c r="U105" s="63">
        <f t="shared" si="32"/>
        <v>4142652.7072052984</v>
      </c>
      <c r="V105" s="63">
        <f t="shared" si="32"/>
        <v>715628.4232919967</v>
      </c>
      <c r="W105" s="63">
        <f t="shared" si="32"/>
        <v>1087509.0740784288</v>
      </c>
      <c r="X105" s="63">
        <f t="shared" si="32"/>
        <v>989214.39037450647</v>
      </c>
      <c r="Y105" s="63">
        <f t="shared" si="32"/>
        <v>691809.41260623967</v>
      </c>
      <c r="Z105" s="63">
        <f t="shared" si="32"/>
        <v>343565.48950689723</v>
      </c>
      <c r="AA105" s="63">
        <f t="shared" si="32"/>
        <v>398526.37138044235</v>
      </c>
      <c r="AB105" s="63">
        <f t="shared" si="32"/>
        <v>1091991.6984529074</v>
      </c>
      <c r="AC105" s="63">
        <f t="shared" si="32"/>
        <v>0</v>
      </c>
      <c r="AD105" s="63">
        <f t="shared" si="32"/>
        <v>0</v>
      </c>
      <c r="AE105" s="63">
        <f t="shared" si="32"/>
        <v>0</v>
      </c>
      <c r="AF105" s="63">
        <f>SUM(H105:AE105)</f>
        <v>40982990.999999993</v>
      </c>
      <c r="AG105" s="58" t="str">
        <f>IF(ABS(AF105-F105)&lt;1,"ok","err")</f>
        <v>ok</v>
      </c>
    </row>
    <row r="106" spans="1:33">
      <c r="A106" s="60"/>
      <c r="B106" s="60"/>
      <c r="W106" s="44"/>
      <c r="AF106" s="63"/>
      <c r="AG106" s="58"/>
    </row>
    <row r="107" spans="1:33">
      <c r="A107" s="60" t="s">
        <v>970</v>
      </c>
      <c r="B107" s="60"/>
      <c r="C107" s="44" t="s">
        <v>971</v>
      </c>
      <c r="F107" s="80">
        <f>SUM(F101:F105)</f>
        <v>1684052746</v>
      </c>
      <c r="G107" s="64"/>
      <c r="H107" s="64">
        <f t="shared" ref="H107:M107" si="33">SUM(H101:H105)</f>
        <v>332394517.72562736</v>
      </c>
      <c r="I107" s="64">
        <f t="shared" si="33"/>
        <v>348204296.00345784</v>
      </c>
      <c r="J107" s="64">
        <f t="shared" si="33"/>
        <v>286222757.16277099</v>
      </c>
      <c r="K107" s="64">
        <f t="shared" si="33"/>
        <v>0</v>
      </c>
      <c r="L107" s="64">
        <f t="shared" si="33"/>
        <v>0</v>
      </c>
      <c r="M107" s="64">
        <f t="shared" si="33"/>
        <v>0</v>
      </c>
      <c r="N107" s="64">
        <f>SUM(N101:N105)</f>
        <v>172029835.49869817</v>
      </c>
      <c r="O107" s="64">
        <f>SUM(O101:O105)</f>
        <v>0</v>
      </c>
      <c r="P107" s="64">
        <f>SUM(P101:P105)</f>
        <v>0</v>
      </c>
      <c r="Q107" s="64">
        <f t="shared" ref="Q107:AB107" si="34">SUM(Q101:Q105)</f>
        <v>0</v>
      </c>
      <c r="R107" s="64">
        <f t="shared" si="34"/>
        <v>61085640.63632872</v>
      </c>
      <c r="S107" s="64">
        <f t="shared" si="34"/>
        <v>0</v>
      </c>
      <c r="T107" s="64">
        <f t="shared" si="34"/>
        <v>104462728.76075347</v>
      </c>
      <c r="U107" s="64">
        <f t="shared" si="34"/>
        <v>166239026.8711752</v>
      </c>
      <c r="V107" s="64">
        <f t="shared" si="34"/>
        <v>28717196.708886318</v>
      </c>
      <c r="W107" s="64">
        <f t="shared" si="34"/>
        <v>43640262.161954746</v>
      </c>
      <c r="X107" s="64">
        <f t="shared" si="34"/>
        <v>39695830.00206618</v>
      </c>
      <c r="Y107" s="64">
        <f t="shared" si="34"/>
        <v>27761372.159426168</v>
      </c>
      <c r="Z107" s="64">
        <f t="shared" si="34"/>
        <v>13786816.486645726</v>
      </c>
      <c r="AA107" s="64">
        <f t="shared" si="34"/>
        <v>15992322.032101762</v>
      </c>
      <c r="AB107" s="64">
        <f t="shared" si="34"/>
        <v>43820143.79010722</v>
      </c>
      <c r="AC107" s="64">
        <f>SUM(AC101:AC105)</f>
        <v>0</v>
      </c>
      <c r="AD107" s="64">
        <f>SUM(AD101:AD105)</f>
        <v>0</v>
      </c>
      <c r="AE107" s="64">
        <f>SUM(AE101:AE105)</f>
        <v>0</v>
      </c>
      <c r="AF107" s="63">
        <f>SUM(H107:AE107)</f>
        <v>1684052746</v>
      </c>
      <c r="AG107" s="58" t="str">
        <f>IF(ABS(AF107-F107)&lt;1,"ok","err")</f>
        <v>ok</v>
      </c>
    </row>
    <row r="108" spans="1:33">
      <c r="A108" s="60"/>
      <c r="B108" s="60"/>
      <c r="F108" s="80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3"/>
      <c r="AG108" s="58"/>
    </row>
    <row r="109" spans="1:33" ht="15">
      <c r="A109" s="59" t="s">
        <v>972</v>
      </c>
      <c r="B109" s="60"/>
      <c r="C109" s="44" t="s">
        <v>973</v>
      </c>
      <c r="F109" s="80">
        <f>F98-F107</f>
        <v>2771115516.7069235</v>
      </c>
      <c r="G109" s="64"/>
      <c r="H109" s="64">
        <f t="shared" ref="H109:M109" si="35">H98-H107</f>
        <v>529045728.57886356</v>
      </c>
      <c r="I109" s="64">
        <f t="shared" si="35"/>
        <v>554208886.27741861</v>
      </c>
      <c r="J109" s="64">
        <f t="shared" si="35"/>
        <v>455557835.71623755</v>
      </c>
      <c r="K109" s="64">
        <f t="shared" si="35"/>
        <v>0</v>
      </c>
      <c r="L109" s="64">
        <f t="shared" si="35"/>
        <v>0</v>
      </c>
      <c r="M109" s="64">
        <f t="shared" si="35"/>
        <v>0</v>
      </c>
      <c r="N109" s="64">
        <f>N98-N107</f>
        <v>302524467.33177245</v>
      </c>
      <c r="O109" s="64">
        <f>O98-O107</f>
        <v>0</v>
      </c>
      <c r="P109" s="64">
        <f>P98-P107</f>
        <v>0</v>
      </c>
      <c r="Q109" s="64">
        <f t="shared" ref="Q109:AB109" si="36">Q98-Q107</f>
        <v>0</v>
      </c>
      <c r="R109" s="64">
        <f t="shared" si="36"/>
        <v>104174581.44635636</v>
      </c>
      <c r="S109" s="64">
        <f t="shared" si="36"/>
        <v>0</v>
      </c>
      <c r="T109" s="64">
        <f t="shared" si="36"/>
        <v>178149249.67691696</v>
      </c>
      <c r="U109" s="64">
        <f t="shared" si="36"/>
        <v>283501668.54196858</v>
      </c>
      <c r="V109" s="64">
        <f t="shared" si="36"/>
        <v>48973898.223828338</v>
      </c>
      <c r="W109" s="64">
        <f t="shared" si="36"/>
        <v>74423481.485552132</v>
      </c>
      <c r="X109" s="64">
        <f t="shared" si="36"/>
        <v>67696703.063986972</v>
      </c>
      <c r="Y109" s="64">
        <f t="shared" si="36"/>
        <v>47343848.651802614</v>
      </c>
      <c r="Z109" s="64">
        <f t="shared" si="36"/>
        <v>23511840.458948858</v>
      </c>
      <c r="AA109" s="64">
        <f t="shared" si="36"/>
        <v>27273078.201274503</v>
      </c>
      <c r="AB109" s="64">
        <f t="shared" si="36"/>
        <v>74730249.051996008</v>
      </c>
      <c r="AC109" s="64">
        <f>AC98-AC107</f>
        <v>0</v>
      </c>
      <c r="AD109" s="64">
        <f>AD98-AD107</f>
        <v>0</v>
      </c>
      <c r="AE109" s="64">
        <f>AE98-AE107</f>
        <v>0</v>
      </c>
      <c r="AF109" s="63">
        <f>SUM(H109:AE109)</f>
        <v>2771115516.706924</v>
      </c>
      <c r="AG109" s="58" t="str">
        <f>IF(ABS(AF109-F109)&lt;1,"ok","err")</f>
        <v>ok</v>
      </c>
    </row>
    <row r="110" spans="1:33">
      <c r="A110" s="60"/>
      <c r="B110" s="60"/>
      <c r="W110" s="44"/>
      <c r="AG110" s="58"/>
    </row>
    <row r="111" spans="1:33" ht="15">
      <c r="A111" s="59" t="s">
        <v>974</v>
      </c>
      <c r="B111" s="60"/>
      <c r="W111" s="44"/>
      <c r="AG111" s="58"/>
    </row>
    <row r="112" spans="1:33">
      <c r="A112" s="60" t="s">
        <v>20</v>
      </c>
      <c r="B112" s="60"/>
      <c r="C112" s="44" t="s">
        <v>976</v>
      </c>
      <c r="D112" s="44" t="s">
        <v>977</v>
      </c>
      <c r="F112" s="76">
        <f>75842724</f>
        <v>75842724</v>
      </c>
      <c r="G112" s="62"/>
      <c r="H112" s="63">
        <f t="shared" ref="H112:Q115" si="37">IF(VLOOKUP($D112,$C$6:$AE$653,H$2,)=0,0,((VLOOKUP($D112,$C$6:$AE$653,H$2,)/VLOOKUP($D112,$C$6:$AE$653,4,))*$F112))</f>
        <v>3319543.3812469579</v>
      </c>
      <c r="I112" s="63">
        <f t="shared" si="37"/>
        <v>3477431.800106124</v>
      </c>
      <c r="J112" s="63">
        <f t="shared" si="37"/>
        <v>2858437.2137154462</v>
      </c>
      <c r="K112" s="63">
        <f t="shared" si="37"/>
        <v>51365920.441896409</v>
      </c>
      <c r="L112" s="63">
        <f t="shared" si="37"/>
        <v>0</v>
      </c>
      <c r="M112" s="63">
        <f t="shared" si="37"/>
        <v>0</v>
      </c>
      <c r="N112" s="63">
        <f t="shared" si="37"/>
        <v>2659627.6889876402</v>
      </c>
      <c r="O112" s="63">
        <f t="shared" si="37"/>
        <v>0</v>
      </c>
      <c r="P112" s="63">
        <f t="shared" si="37"/>
        <v>0</v>
      </c>
      <c r="Q112" s="63">
        <f t="shared" si="37"/>
        <v>0</v>
      </c>
      <c r="R112" s="63">
        <f t="shared" ref="R112:AE115" si="38">IF(VLOOKUP($D112,$C$6:$AE$653,R$2,)=0,0,((VLOOKUP($D112,$C$6:$AE$653,R$2,)/VLOOKUP($D112,$C$6:$AE$653,4,))*$F112))</f>
        <v>983238.30247743637</v>
      </c>
      <c r="S112" s="63">
        <f t="shared" si="38"/>
        <v>0</v>
      </c>
      <c r="T112" s="63">
        <f t="shared" si="38"/>
        <v>1708533.9132855448</v>
      </c>
      <c r="U112" s="63">
        <f t="shared" si="38"/>
        <v>2557455.5875878618</v>
      </c>
      <c r="V112" s="63">
        <f t="shared" si="38"/>
        <v>574566.50648511702</v>
      </c>
      <c r="W112" s="63">
        <f t="shared" si="38"/>
        <v>844068.90746601147</v>
      </c>
      <c r="X112" s="63">
        <f t="shared" si="38"/>
        <v>134471.55823711117</v>
      </c>
      <c r="Y112" s="63">
        <f t="shared" si="38"/>
        <v>94043.000811019258</v>
      </c>
      <c r="Z112" s="63">
        <f t="shared" si="38"/>
        <v>35516.05639410195</v>
      </c>
      <c r="AA112" s="63">
        <f t="shared" si="38"/>
        <v>2061649.1348741495</v>
      </c>
      <c r="AB112" s="63">
        <f t="shared" si="38"/>
        <v>156821.33138610164</v>
      </c>
      <c r="AC112" s="63">
        <f t="shared" si="38"/>
        <v>2471535.7794325519</v>
      </c>
      <c r="AD112" s="63">
        <f t="shared" si="38"/>
        <v>539863.39561039058</v>
      </c>
      <c r="AE112" s="63">
        <f t="shared" si="38"/>
        <v>0</v>
      </c>
      <c r="AF112" s="63">
        <f>SUM(H112:AE112)</f>
        <v>75842723.99999997</v>
      </c>
      <c r="AG112" s="58" t="str">
        <f>IF(ABS(AF112-F112)&lt;1,"ok","err")</f>
        <v>ok</v>
      </c>
    </row>
    <row r="113" spans="1:33">
      <c r="A113" s="60" t="s">
        <v>964</v>
      </c>
      <c r="B113" s="60"/>
      <c r="C113" s="44" t="s">
        <v>4</v>
      </c>
      <c r="D113" s="44" t="s">
        <v>960</v>
      </c>
      <c r="F113" s="79">
        <v>36896266</v>
      </c>
      <c r="G113" s="63"/>
      <c r="H113" s="63">
        <f t="shared" si="37"/>
        <v>7110524.5941414256</v>
      </c>
      <c r="I113" s="63">
        <f t="shared" si="37"/>
        <v>7448724.568201256</v>
      </c>
      <c r="J113" s="63">
        <f t="shared" si="37"/>
        <v>6122826.4778084829</v>
      </c>
      <c r="K113" s="63">
        <f t="shared" si="37"/>
        <v>0</v>
      </c>
      <c r="L113" s="63">
        <f t="shared" si="37"/>
        <v>0</v>
      </c>
      <c r="M113" s="63">
        <f t="shared" si="37"/>
        <v>0</v>
      </c>
      <c r="N113" s="63">
        <f t="shared" si="37"/>
        <v>3966644.8715868206</v>
      </c>
      <c r="O113" s="63">
        <f t="shared" si="37"/>
        <v>0</v>
      </c>
      <c r="P113" s="63">
        <f t="shared" si="37"/>
        <v>0</v>
      </c>
      <c r="Q113" s="63">
        <f t="shared" si="37"/>
        <v>0</v>
      </c>
      <c r="R113" s="63">
        <f t="shared" si="38"/>
        <v>1372243.8079645922</v>
      </c>
      <c r="S113" s="63">
        <f t="shared" si="38"/>
        <v>0</v>
      </c>
      <c r="T113" s="63">
        <f t="shared" si="38"/>
        <v>2346678.0606992096</v>
      </c>
      <c r="U113" s="63">
        <f t="shared" si="38"/>
        <v>3734436.978800585</v>
      </c>
      <c r="V113" s="63">
        <f t="shared" si="38"/>
        <v>645110.61773876823</v>
      </c>
      <c r="W113" s="63">
        <f t="shared" si="38"/>
        <v>980346.2631458299</v>
      </c>
      <c r="X113" s="63">
        <f t="shared" si="38"/>
        <v>891737.50745530752</v>
      </c>
      <c r="Y113" s="63">
        <f t="shared" si="38"/>
        <v>623638.72506752727</v>
      </c>
      <c r="Z113" s="63">
        <f t="shared" si="38"/>
        <v>309710.65144387411</v>
      </c>
      <c r="AA113" s="63">
        <f t="shared" si="38"/>
        <v>359255.70485833741</v>
      </c>
      <c r="AB113" s="63">
        <f t="shared" si="38"/>
        <v>984387.17108798225</v>
      </c>
      <c r="AC113" s="63">
        <f t="shared" si="38"/>
        <v>0</v>
      </c>
      <c r="AD113" s="63">
        <f t="shared" si="38"/>
        <v>0</v>
      </c>
      <c r="AE113" s="63">
        <f t="shared" si="38"/>
        <v>0</v>
      </c>
      <c r="AF113" s="63">
        <f>SUM(H113:AE113)</f>
        <v>36896266</v>
      </c>
      <c r="AG113" s="58" t="str">
        <f>IF(ABS(AF113-F113)&lt;1,"ok","err")</f>
        <v>ok</v>
      </c>
    </row>
    <row r="114" spans="1:33">
      <c r="A114" s="60" t="s">
        <v>978</v>
      </c>
      <c r="B114" s="60"/>
      <c r="C114" s="44" t="s">
        <v>979</v>
      </c>
      <c r="D114" s="44" t="s">
        <v>960</v>
      </c>
      <c r="F114" s="79">
        <v>13972166</v>
      </c>
      <c r="H114" s="63">
        <f t="shared" si="37"/>
        <v>2692668.9539918927</v>
      </c>
      <c r="I114" s="63">
        <f t="shared" si="37"/>
        <v>2820741.1599641619</v>
      </c>
      <c r="J114" s="63">
        <f t="shared" si="37"/>
        <v>2318639.7218931434</v>
      </c>
      <c r="K114" s="63">
        <f t="shared" si="37"/>
        <v>0</v>
      </c>
      <c r="L114" s="63">
        <f t="shared" si="37"/>
        <v>0</v>
      </c>
      <c r="M114" s="63">
        <f t="shared" si="37"/>
        <v>0</v>
      </c>
      <c r="N114" s="63">
        <f t="shared" si="37"/>
        <v>1502120.0413304626</v>
      </c>
      <c r="O114" s="63">
        <f t="shared" si="37"/>
        <v>0</v>
      </c>
      <c r="P114" s="63">
        <f t="shared" si="37"/>
        <v>0</v>
      </c>
      <c r="Q114" s="63">
        <f t="shared" si="37"/>
        <v>0</v>
      </c>
      <c r="R114" s="63">
        <f t="shared" si="38"/>
        <v>519651.99614924192</v>
      </c>
      <c r="S114" s="63">
        <f t="shared" si="38"/>
        <v>0</v>
      </c>
      <c r="T114" s="63">
        <f t="shared" si="38"/>
        <v>888658.36485045485</v>
      </c>
      <c r="U114" s="63">
        <f t="shared" si="38"/>
        <v>1414185.7440083574</v>
      </c>
      <c r="V114" s="63">
        <f t="shared" si="38"/>
        <v>244295.5240893107</v>
      </c>
      <c r="W114" s="63">
        <f t="shared" si="38"/>
        <v>371245.17494949809</v>
      </c>
      <c r="X114" s="63">
        <f t="shared" si="38"/>
        <v>337690.11971541494</v>
      </c>
      <c r="Y114" s="63">
        <f t="shared" si="38"/>
        <v>236164.38017526901</v>
      </c>
      <c r="Z114" s="63">
        <f t="shared" si="38"/>
        <v>117283.64691272414</v>
      </c>
      <c r="AA114" s="63">
        <f t="shared" si="38"/>
        <v>136045.75446002305</v>
      </c>
      <c r="AB114" s="63">
        <f t="shared" si="38"/>
        <v>372775.41751004528</v>
      </c>
      <c r="AC114" s="63">
        <f t="shared" si="38"/>
        <v>0</v>
      </c>
      <c r="AD114" s="63">
        <f t="shared" si="38"/>
        <v>0</v>
      </c>
      <c r="AE114" s="63">
        <f t="shared" si="38"/>
        <v>0</v>
      </c>
      <c r="AF114" s="63">
        <f>SUM(H114:AE114)</f>
        <v>13972165.999999998</v>
      </c>
      <c r="AG114" s="58" t="str">
        <f>IF(ABS(AF114-F114)&lt;1,"ok","err")</f>
        <v>ok</v>
      </c>
    </row>
    <row r="115" spans="1:33">
      <c r="A115" s="60" t="s">
        <v>1319</v>
      </c>
      <c r="B115" s="60"/>
      <c r="D115" s="44" t="s">
        <v>638</v>
      </c>
      <c r="F115" s="79">
        <v>36289311</v>
      </c>
      <c r="H115" s="63">
        <f t="shared" si="37"/>
        <v>12476312.477506297</v>
      </c>
      <c r="I115" s="63">
        <f t="shared" si="37"/>
        <v>13069726.9999357</v>
      </c>
      <c r="J115" s="63">
        <f t="shared" si="37"/>
        <v>10743271.522558004</v>
      </c>
      <c r="K115" s="63">
        <f t="shared" si="37"/>
        <v>0</v>
      </c>
      <c r="L115" s="63">
        <f t="shared" si="37"/>
        <v>0</v>
      </c>
      <c r="M115" s="63">
        <f t="shared" si="37"/>
        <v>0</v>
      </c>
      <c r="N115" s="63">
        <f t="shared" si="37"/>
        <v>0</v>
      </c>
      <c r="O115" s="63">
        <f t="shared" si="37"/>
        <v>0</v>
      </c>
      <c r="P115" s="63">
        <f t="shared" si="37"/>
        <v>0</v>
      </c>
      <c r="Q115" s="63">
        <f t="shared" si="37"/>
        <v>0</v>
      </c>
      <c r="R115" s="63">
        <f t="shared" si="38"/>
        <v>0</v>
      </c>
      <c r="S115" s="63">
        <f t="shared" si="38"/>
        <v>0</v>
      </c>
      <c r="T115" s="63">
        <f t="shared" si="38"/>
        <v>0</v>
      </c>
      <c r="U115" s="63">
        <f t="shared" si="38"/>
        <v>0</v>
      </c>
      <c r="V115" s="63">
        <f t="shared" si="38"/>
        <v>0</v>
      </c>
      <c r="W115" s="63">
        <f t="shared" si="38"/>
        <v>0</v>
      </c>
      <c r="X115" s="63">
        <f t="shared" si="38"/>
        <v>0</v>
      </c>
      <c r="Y115" s="63">
        <f t="shared" si="38"/>
        <v>0</v>
      </c>
      <c r="Z115" s="63">
        <f t="shared" si="38"/>
        <v>0</v>
      </c>
      <c r="AA115" s="63">
        <f t="shared" si="38"/>
        <v>0</v>
      </c>
      <c r="AB115" s="63">
        <f t="shared" si="38"/>
        <v>0</v>
      </c>
      <c r="AC115" s="63">
        <f t="shared" si="38"/>
        <v>0</v>
      </c>
      <c r="AD115" s="63">
        <f t="shared" si="38"/>
        <v>0</v>
      </c>
      <c r="AE115" s="63">
        <f t="shared" si="38"/>
        <v>0</v>
      </c>
      <c r="AF115" s="63">
        <f>SUM(H115:AE115)</f>
        <v>36289311</v>
      </c>
      <c r="AG115" s="58" t="str">
        <f>IF(ABS(AF115-F115)&lt;1,"ok","err")</f>
        <v>ok</v>
      </c>
    </row>
    <row r="116" spans="1:33">
      <c r="A116" s="68" t="s">
        <v>980</v>
      </c>
      <c r="B116" s="60"/>
      <c r="C116" s="44" t="s">
        <v>981</v>
      </c>
      <c r="F116" s="80">
        <f>SUM(F112:F115)</f>
        <v>163000467</v>
      </c>
      <c r="G116" s="64"/>
      <c r="H116" s="64">
        <f t="shared" ref="H116:M116" si="39">SUM(H112:H115)</f>
        <v>25599049.40688657</v>
      </c>
      <c r="I116" s="64">
        <f t="shared" si="39"/>
        <v>26816624.528207242</v>
      </c>
      <c r="J116" s="64">
        <f t="shared" si="39"/>
        <v>22043174.935975075</v>
      </c>
      <c r="K116" s="64">
        <f t="shared" si="39"/>
        <v>51365920.441896409</v>
      </c>
      <c r="L116" s="64">
        <f t="shared" si="39"/>
        <v>0</v>
      </c>
      <c r="M116" s="64">
        <f t="shared" si="39"/>
        <v>0</v>
      </c>
      <c r="N116" s="64">
        <f>SUM(N112:N115)</f>
        <v>8128392.6019049231</v>
      </c>
      <c r="O116" s="64">
        <f>SUM(O112:O115)</f>
        <v>0</v>
      </c>
      <c r="P116" s="64">
        <f>SUM(P112:P115)</f>
        <v>0</v>
      </c>
      <c r="Q116" s="64">
        <f t="shared" ref="Q116:AB116" si="40">SUM(Q112:Q115)</f>
        <v>0</v>
      </c>
      <c r="R116" s="64">
        <f t="shared" si="40"/>
        <v>2875134.1065912703</v>
      </c>
      <c r="S116" s="64">
        <f t="shared" si="40"/>
        <v>0</v>
      </c>
      <c r="T116" s="64">
        <f t="shared" si="40"/>
        <v>4943870.3388352096</v>
      </c>
      <c r="U116" s="64">
        <f t="shared" si="40"/>
        <v>7706078.3103968045</v>
      </c>
      <c r="V116" s="64">
        <f t="shared" si="40"/>
        <v>1463972.6483131959</v>
      </c>
      <c r="W116" s="64">
        <f t="shared" si="40"/>
        <v>2195660.3455613395</v>
      </c>
      <c r="X116" s="64">
        <f t="shared" si="40"/>
        <v>1363899.1854078337</v>
      </c>
      <c r="Y116" s="64">
        <f t="shared" si="40"/>
        <v>953846.10605381546</v>
      </c>
      <c r="Z116" s="64">
        <f t="shared" si="40"/>
        <v>462510.35475070018</v>
      </c>
      <c r="AA116" s="64">
        <f t="shared" si="40"/>
        <v>2556950.59419251</v>
      </c>
      <c r="AB116" s="64">
        <f t="shared" si="40"/>
        <v>1513983.919984129</v>
      </c>
      <c r="AC116" s="64">
        <f>SUM(AC112:AC115)</f>
        <v>2471535.7794325519</v>
      </c>
      <c r="AD116" s="64">
        <f>SUM(AD112:AD115)</f>
        <v>539863.39561039058</v>
      </c>
      <c r="AE116" s="64">
        <f>SUM(AE112:AE115)</f>
        <v>0</v>
      </c>
      <c r="AF116" s="63">
        <f>SUM(H116:AE116)</f>
        <v>163000467</v>
      </c>
      <c r="AG116" s="58" t="str">
        <f>IF(ABS(AF116-F116)&lt;1,"ok","err")</f>
        <v>ok</v>
      </c>
    </row>
    <row r="117" spans="1:33">
      <c r="A117" s="60"/>
      <c r="B117" s="60"/>
      <c r="W117" s="44"/>
      <c r="AG117" s="58"/>
    </row>
    <row r="118" spans="1:33" ht="15">
      <c r="A118" s="59" t="s">
        <v>44</v>
      </c>
      <c r="B118" s="60"/>
      <c r="I118" s="66"/>
      <c r="W118" s="44"/>
      <c r="AG118" s="58"/>
    </row>
    <row r="119" spans="1:33">
      <c r="A119" s="60" t="s">
        <v>142</v>
      </c>
      <c r="B119" s="60"/>
      <c r="C119" s="44" t="s">
        <v>143</v>
      </c>
      <c r="D119" s="44" t="s">
        <v>99</v>
      </c>
      <c r="F119" s="76">
        <v>0</v>
      </c>
      <c r="H119" s="63">
        <f t="shared" ref="H119:Q120" si="41">IF(VLOOKUP($D119,$C$6:$AE$653,H$2,)=0,0,((VLOOKUP($D119,$C$6:$AE$653,H$2,)/VLOOKUP($D119,$C$6:$AE$653,4,))*$F119))</f>
        <v>0</v>
      </c>
      <c r="I119" s="63">
        <f t="shared" si="41"/>
        <v>0</v>
      </c>
      <c r="J119" s="63">
        <f t="shared" si="41"/>
        <v>0</v>
      </c>
      <c r="K119" s="63">
        <f t="shared" si="41"/>
        <v>0</v>
      </c>
      <c r="L119" s="63">
        <f t="shared" si="41"/>
        <v>0</v>
      </c>
      <c r="M119" s="63">
        <f t="shared" si="41"/>
        <v>0</v>
      </c>
      <c r="N119" s="63">
        <f t="shared" si="41"/>
        <v>0</v>
      </c>
      <c r="O119" s="63">
        <f t="shared" si="41"/>
        <v>0</v>
      </c>
      <c r="P119" s="63">
        <f t="shared" si="41"/>
        <v>0</v>
      </c>
      <c r="Q119" s="63">
        <f t="shared" si="41"/>
        <v>0</v>
      </c>
      <c r="R119" s="63">
        <f t="shared" ref="R119:AE120" si="42">IF(VLOOKUP($D119,$C$6:$AE$653,R$2,)=0,0,((VLOOKUP($D119,$C$6:$AE$653,R$2,)/VLOOKUP($D119,$C$6:$AE$653,4,))*$F119))</f>
        <v>0</v>
      </c>
      <c r="S119" s="63">
        <f t="shared" si="42"/>
        <v>0</v>
      </c>
      <c r="T119" s="63">
        <f t="shared" si="42"/>
        <v>0</v>
      </c>
      <c r="U119" s="63">
        <f t="shared" si="42"/>
        <v>0</v>
      </c>
      <c r="V119" s="63">
        <f t="shared" si="42"/>
        <v>0</v>
      </c>
      <c r="W119" s="63">
        <f t="shared" si="42"/>
        <v>0</v>
      </c>
      <c r="X119" s="63">
        <f t="shared" si="42"/>
        <v>0</v>
      </c>
      <c r="Y119" s="63">
        <f t="shared" si="42"/>
        <v>0</v>
      </c>
      <c r="Z119" s="63">
        <f t="shared" si="42"/>
        <v>0</v>
      </c>
      <c r="AA119" s="63">
        <f t="shared" si="42"/>
        <v>0</v>
      </c>
      <c r="AB119" s="63">
        <f t="shared" si="42"/>
        <v>0</v>
      </c>
      <c r="AC119" s="63">
        <f t="shared" si="42"/>
        <v>0</v>
      </c>
      <c r="AD119" s="63">
        <f t="shared" si="42"/>
        <v>0</v>
      </c>
      <c r="AE119" s="63">
        <f t="shared" si="42"/>
        <v>0</v>
      </c>
      <c r="AF119" s="63">
        <f>SUM(H119:AE119)</f>
        <v>0</v>
      </c>
      <c r="AG119" s="58" t="str">
        <f>IF(ABS(AF119-F119)&lt;1,"ok","err")</f>
        <v>ok</v>
      </c>
    </row>
    <row r="120" spans="1:33">
      <c r="A120" s="60" t="s">
        <v>158</v>
      </c>
      <c r="B120" s="60"/>
      <c r="C120" s="44" t="s">
        <v>5</v>
      </c>
      <c r="D120" s="44" t="s">
        <v>18</v>
      </c>
      <c r="F120" s="79">
        <v>0</v>
      </c>
      <c r="H120" s="63">
        <f t="shared" si="41"/>
        <v>0</v>
      </c>
      <c r="I120" s="63">
        <f t="shared" si="41"/>
        <v>0</v>
      </c>
      <c r="J120" s="63">
        <f t="shared" si="41"/>
        <v>0</v>
      </c>
      <c r="K120" s="63">
        <f t="shared" si="41"/>
        <v>0</v>
      </c>
      <c r="L120" s="63">
        <f t="shared" si="41"/>
        <v>0</v>
      </c>
      <c r="M120" s="63">
        <f t="shared" si="41"/>
        <v>0</v>
      </c>
      <c r="N120" s="63">
        <f t="shared" si="41"/>
        <v>0</v>
      </c>
      <c r="O120" s="63">
        <f t="shared" si="41"/>
        <v>0</v>
      </c>
      <c r="P120" s="63">
        <f t="shared" si="41"/>
        <v>0</v>
      </c>
      <c r="Q120" s="63">
        <f t="shared" si="41"/>
        <v>0</v>
      </c>
      <c r="R120" s="63">
        <f t="shared" si="42"/>
        <v>0</v>
      </c>
      <c r="S120" s="63">
        <f t="shared" si="42"/>
        <v>0</v>
      </c>
      <c r="T120" s="63">
        <f t="shared" si="42"/>
        <v>0</v>
      </c>
      <c r="U120" s="63">
        <f t="shared" si="42"/>
        <v>0</v>
      </c>
      <c r="V120" s="63">
        <f t="shared" si="42"/>
        <v>0</v>
      </c>
      <c r="W120" s="63">
        <f t="shared" si="42"/>
        <v>0</v>
      </c>
      <c r="X120" s="63">
        <f t="shared" si="42"/>
        <v>0</v>
      </c>
      <c r="Y120" s="63">
        <f t="shared" si="42"/>
        <v>0</v>
      </c>
      <c r="Z120" s="63">
        <f t="shared" si="42"/>
        <v>0</v>
      </c>
      <c r="AA120" s="63">
        <f t="shared" si="42"/>
        <v>0</v>
      </c>
      <c r="AB120" s="63">
        <f t="shared" si="42"/>
        <v>0</v>
      </c>
      <c r="AC120" s="63">
        <f t="shared" si="42"/>
        <v>0</v>
      </c>
      <c r="AD120" s="63">
        <f t="shared" si="42"/>
        <v>0</v>
      </c>
      <c r="AE120" s="63">
        <f t="shared" si="42"/>
        <v>0</v>
      </c>
      <c r="AF120" s="63">
        <f>SUM(H120:AE120)</f>
        <v>0</v>
      </c>
      <c r="AG120" s="58" t="str">
        <f>IF(ABS(AF120-F120)&lt;1,"ok","err")</f>
        <v>ok</v>
      </c>
    </row>
    <row r="121" spans="1:33">
      <c r="A121" s="60"/>
      <c r="B121" s="60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58"/>
    </row>
    <row r="122" spans="1:33">
      <c r="A122" s="60" t="s">
        <v>1142</v>
      </c>
      <c r="B122" s="60"/>
      <c r="F122" s="80">
        <f t="shared" ref="F122:M122" si="43">SUM(F119:F120)</f>
        <v>0</v>
      </c>
      <c r="G122" s="64"/>
      <c r="H122" s="64">
        <f t="shared" si="43"/>
        <v>0</v>
      </c>
      <c r="I122" s="64">
        <f t="shared" si="43"/>
        <v>0</v>
      </c>
      <c r="J122" s="64">
        <f t="shared" si="43"/>
        <v>0</v>
      </c>
      <c r="K122" s="64">
        <f t="shared" si="43"/>
        <v>0</v>
      </c>
      <c r="L122" s="64">
        <f t="shared" si="43"/>
        <v>0</v>
      </c>
      <c r="M122" s="64">
        <f t="shared" si="43"/>
        <v>0</v>
      </c>
      <c r="N122" s="64">
        <f>SUM(N119:N120)</f>
        <v>0</v>
      </c>
      <c r="O122" s="64">
        <f>SUM(O119:O120)</f>
        <v>0</v>
      </c>
      <c r="P122" s="64">
        <f>SUM(P119:P120)</f>
        <v>0</v>
      </c>
      <c r="Q122" s="64">
        <f t="shared" ref="Q122:AB122" si="44">SUM(Q119:Q120)</f>
        <v>0</v>
      </c>
      <c r="R122" s="64">
        <f t="shared" si="44"/>
        <v>0</v>
      </c>
      <c r="S122" s="64">
        <f t="shared" si="44"/>
        <v>0</v>
      </c>
      <c r="T122" s="64">
        <f t="shared" si="44"/>
        <v>0</v>
      </c>
      <c r="U122" s="64">
        <f t="shared" si="44"/>
        <v>0</v>
      </c>
      <c r="V122" s="64">
        <f t="shared" si="44"/>
        <v>0</v>
      </c>
      <c r="W122" s="64">
        <f t="shared" si="44"/>
        <v>0</v>
      </c>
      <c r="X122" s="64">
        <f t="shared" si="44"/>
        <v>0</v>
      </c>
      <c r="Y122" s="64">
        <f t="shared" si="44"/>
        <v>0</v>
      </c>
      <c r="Z122" s="64">
        <f t="shared" si="44"/>
        <v>0</v>
      </c>
      <c r="AA122" s="64">
        <f t="shared" si="44"/>
        <v>0</v>
      </c>
      <c r="AB122" s="64">
        <f t="shared" si="44"/>
        <v>0</v>
      </c>
      <c r="AC122" s="64">
        <f>SUM(AC119:AC120)</f>
        <v>0</v>
      </c>
      <c r="AD122" s="64">
        <f>SUM(AD119:AD120)</f>
        <v>0</v>
      </c>
      <c r="AE122" s="64">
        <f>SUM(AE119:AE120)</f>
        <v>0</v>
      </c>
      <c r="AF122" s="63">
        <f>SUM(H122:AE122)</f>
        <v>0</v>
      </c>
      <c r="AG122" s="58" t="str">
        <f>IF(ABS(AF122-F122)&lt;1,"ok","err")</f>
        <v>ok</v>
      </c>
    </row>
    <row r="123" spans="1:33">
      <c r="A123" s="60" t="s">
        <v>620</v>
      </c>
      <c r="B123" s="60"/>
      <c r="C123" s="44" t="s">
        <v>982</v>
      </c>
      <c r="D123" s="44" t="s">
        <v>885</v>
      </c>
      <c r="F123" s="76">
        <v>6724404</v>
      </c>
      <c r="H123" s="63">
        <f t="shared" ref="H123:AE123" si="45">IF(VLOOKUP($D123,$C$6:$AE$653,H$2,)=0,0,((VLOOKUP($D123,$C$6:$AE$653,H$2,)/VLOOKUP($D123,$C$6:$AE$653,4,))*$F123))</f>
        <v>0</v>
      </c>
      <c r="I123" s="63">
        <f t="shared" si="45"/>
        <v>0</v>
      </c>
      <c r="J123" s="63">
        <f t="shared" si="45"/>
        <v>0</v>
      </c>
      <c r="K123" s="63">
        <f t="shared" si="45"/>
        <v>0</v>
      </c>
      <c r="L123" s="63">
        <f t="shared" si="45"/>
        <v>0</v>
      </c>
      <c r="M123" s="63">
        <f t="shared" si="45"/>
        <v>0</v>
      </c>
      <c r="N123" s="63">
        <f t="shared" si="45"/>
        <v>0</v>
      </c>
      <c r="O123" s="63">
        <f t="shared" si="45"/>
        <v>0</v>
      </c>
      <c r="P123" s="63">
        <f t="shared" si="45"/>
        <v>0</v>
      </c>
      <c r="Q123" s="63">
        <f t="shared" si="45"/>
        <v>0</v>
      </c>
      <c r="R123" s="63">
        <f t="shared" si="45"/>
        <v>0</v>
      </c>
      <c r="S123" s="63">
        <f t="shared" si="45"/>
        <v>0</v>
      </c>
      <c r="T123" s="63">
        <f t="shared" si="45"/>
        <v>2047604.4992636524</v>
      </c>
      <c r="U123" s="63">
        <f t="shared" si="45"/>
        <v>3258499.7866005809</v>
      </c>
      <c r="V123" s="63">
        <f t="shared" si="45"/>
        <v>562894.17177705024</v>
      </c>
      <c r="W123" s="63">
        <f t="shared" si="45"/>
        <v>855405.54235871695</v>
      </c>
      <c r="X123" s="63">
        <f t="shared" si="45"/>
        <v>0</v>
      </c>
      <c r="Y123" s="63">
        <f t="shared" si="45"/>
        <v>0</v>
      </c>
      <c r="Z123" s="63">
        <f t="shared" si="45"/>
        <v>0</v>
      </c>
      <c r="AA123" s="63">
        <f t="shared" si="45"/>
        <v>0</v>
      </c>
      <c r="AB123" s="63">
        <f t="shared" si="45"/>
        <v>0</v>
      </c>
      <c r="AC123" s="63">
        <f t="shared" si="45"/>
        <v>0</v>
      </c>
      <c r="AD123" s="63">
        <f t="shared" si="45"/>
        <v>0</v>
      </c>
      <c r="AE123" s="63">
        <f t="shared" si="45"/>
        <v>0</v>
      </c>
      <c r="AF123" s="63">
        <f>SUM(H123:AE123)</f>
        <v>6724404</v>
      </c>
      <c r="AG123" s="58" t="str">
        <f>IF(ABS(AF123-F123)&lt;1,"ok","err")</f>
        <v>ok</v>
      </c>
    </row>
    <row r="124" spans="1:33">
      <c r="A124" s="60" t="s">
        <v>713</v>
      </c>
      <c r="B124" s="60"/>
      <c r="F124" s="76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58"/>
    </row>
    <row r="125" spans="1:33">
      <c r="A125" s="68" t="s">
        <v>1165</v>
      </c>
      <c r="B125" s="60"/>
      <c r="C125" s="44" t="s">
        <v>621</v>
      </c>
      <c r="D125" s="44" t="s">
        <v>960</v>
      </c>
      <c r="F125" s="76">
        <v>546457652.46541476</v>
      </c>
      <c r="H125" s="63">
        <f t="shared" ref="H125:Q128" si="46">IF(VLOOKUP($D125,$C$6:$AE$653,H$2,)=0,0,((VLOOKUP($D125,$C$6:$AE$653,H$2,)/VLOOKUP($D125,$C$6:$AE$653,4,))*$F125))</f>
        <v>105311485.38207415</v>
      </c>
      <c r="I125" s="63">
        <f t="shared" si="46"/>
        <v>110320446.55686076</v>
      </c>
      <c r="J125" s="63">
        <f t="shared" si="46"/>
        <v>90683035.06691727</v>
      </c>
      <c r="K125" s="63">
        <f t="shared" si="46"/>
        <v>0</v>
      </c>
      <c r="L125" s="63">
        <f t="shared" si="46"/>
        <v>0</v>
      </c>
      <c r="M125" s="63">
        <f t="shared" si="46"/>
        <v>0</v>
      </c>
      <c r="N125" s="63">
        <f t="shared" si="46"/>
        <v>58748585.688625254</v>
      </c>
      <c r="O125" s="63">
        <f t="shared" si="46"/>
        <v>0</v>
      </c>
      <c r="P125" s="63">
        <f t="shared" si="46"/>
        <v>0</v>
      </c>
      <c r="Q125" s="63">
        <f t="shared" si="46"/>
        <v>0</v>
      </c>
      <c r="R125" s="63">
        <f t="shared" ref="R125:AE128" si="47">IF(VLOOKUP($D125,$C$6:$AE$653,R$2,)=0,0,((VLOOKUP($D125,$C$6:$AE$653,R$2,)/VLOOKUP($D125,$C$6:$AE$653,4,))*$F125))</f>
        <v>20323821.654758576</v>
      </c>
      <c r="S125" s="63">
        <f t="shared" si="47"/>
        <v>0</v>
      </c>
      <c r="T125" s="63">
        <f t="shared" si="47"/>
        <v>34755825.539142154</v>
      </c>
      <c r="U125" s="63">
        <f t="shared" si="47"/>
        <v>55309436.047414765</v>
      </c>
      <c r="V125" s="63">
        <f t="shared" si="47"/>
        <v>9554507.0536417123</v>
      </c>
      <c r="W125" s="63">
        <f t="shared" si="47"/>
        <v>14519564.596642707</v>
      </c>
      <c r="X125" s="63">
        <f t="shared" si="47"/>
        <v>13207211.400183087</v>
      </c>
      <c r="Y125" s="63">
        <f t="shared" si="47"/>
        <v>9236494.3836572822</v>
      </c>
      <c r="Z125" s="63">
        <f t="shared" si="47"/>
        <v>4587015.8116150228</v>
      </c>
      <c r="AA125" s="63">
        <f t="shared" si="47"/>
        <v>5320810.2172641251</v>
      </c>
      <c r="AB125" s="63">
        <f t="shared" si="47"/>
        <v>14579413.066617891</v>
      </c>
      <c r="AC125" s="63">
        <f t="shared" si="47"/>
        <v>0</v>
      </c>
      <c r="AD125" s="63">
        <f t="shared" si="47"/>
        <v>0</v>
      </c>
      <c r="AE125" s="63">
        <f t="shared" si="47"/>
        <v>0</v>
      </c>
      <c r="AF125" s="63">
        <f>SUM(H125:AE125)</f>
        <v>546457652.46541488</v>
      </c>
      <c r="AG125" s="58" t="str">
        <f>IF(ABS(AF125-F125)&lt;1,"ok","err")</f>
        <v>ok</v>
      </c>
    </row>
    <row r="126" spans="1:33" s="60" customFormat="1">
      <c r="A126" s="68" t="s">
        <v>1166</v>
      </c>
      <c r="C126" s="60" t="s">
        <v>621</v>
      </c>
      <c r="D126" s="60" t="s">
        <v>960</v>
      </c>
      <c r="F126" s="76">
        <v>0</v>
      </c>
      <c r="H126" s="79">
        <f t="shared" si="46"/>
        <v>0</v>
      </c>
      <c r="I126" s="79">
        <f t="shared" si="46"/>
        <v>0</v>
      </c>
      <c r="J126" s="79">
        <f t="shared" si="46"/>
        <v>0</v>
      </c>
      <c r="K126" s="79">
        <f t="shared" si="46"/>
        <v>0</v>
      </c>
      <c r="L126" s="79">
        <f t="shared" si="46"/>
        <v>0</v>
      </c>
      <c r="M126" s="79">
        <f t="shared" si="46"/>
        <v>0</v>
      </c>
      <c r="N126" s="79">
        <f t="shared" si="46"/>
        <v>0</v>
      </c>
      <c r="O126" s="79">
        <f t="shared" si="46"/>
        <v>0</v>
      </c>
      <c r="P126" s="79">
        <f t="shared" si="46"/>
        <v>0</v>
      </c>
      <c r="Q126" s="79">
        <f t="shared" si="46"/>
        <v>0</v>
      </c>
      <c r="R126" s="79">
        <f t="shared" si="47"/>
        <v>0</v>
      </c>
      <c r="S126" s="79">
        <f t="shared" si="47"/>
        <v>0</v>
      </c>
      <c r="T126" s="79">
        <f t="shared" si="47"/>
        <v>0</v>
      </c>
      <c r="U126" s="79">
        <f t="shared" si="47"/>
        <v>0</v>
      </c>
      <c r="V126" s="79">
        <f t="shared" si="47"/>
        <v>0</v>
      </c>
      <c r="W126" s="79">
        <f t="shared" si="47"/>
        <v>0</v>
      </c>
      <c r="X126" s="79">
        <f t="shared" si="47"/>
        <v>0</v>
      </c>
      <c r="Y126" s="79">
        <f t="shared" si="47"/>
        <v>0</v>
      </c>
      <c r="Z126" s="79">
        <f t="shared" si="47"/>
        <v>0</v>
      </c>
      <c r="AA126" s="79">
        <f t="shared" si="47"/>
        <v>0</v>
      </c>
      <c r="AB126" s="79">
        <f t="shared" si="47"/>
        <v>0</v>
      </c>
      <c r="AC126" s="79">
        <f t="shared" si="47"/>
        <v>0</v>
      </c>
      <c r="AD126" s="79">
        <f t="shared" si="47"/>
        <v>0</v>
      </c>
      <c r="AE126" s="79">
        <f t="shared" si="47"/>
        <v>0</v>
      </c>
      <c r="AF126" s="79">
        <f>SUM(H126:AE126)</f>
        <v>0</v>
      </c>
      <c r="AG126" s="93" t="str">
        <f>IF(ABS(AF126-F126)&lt;1,"ok","err")</f>
        <v>ok</v>
      </c>
    </row>
    <row r="127" spans="1:33" s="60" customFormat="1">
      <c r="A127" s="68" t="s">
        <v>1167</v>
      </c>
      <c r="C127" s="60" t="s">
        <v>621</v>
      </c>
      <c r="D127" s="60" t="s">
        <v>960</v>
      </c>
      <c r="F127" s="76">
        <v>0</v>
      </c>
      <c r="H127" s="79">
        <f t="shared" si="46"/>
        <v>0</v>
      </c>
      <c r="I127" s="79">
        <f t="shared" si="46"/>
        <v>0</v>
      </c>
      <c r="J127" s="79">
        <f t="shared" si="46"/>
        <v>0</v>
      </c>
      <c r="K127" s="79">
        <f t="shared" si="46"/>
        <v>0</v>
      </c>
      <c r="L127" s="79">
        <f t="shared" si="46"/>
        <v>0</v>
      </c>
      <c r="M127" s="79">
        <f t="shared" si="46"/>
        <v>0</v>
      </c>
      <c r="N127" s="79">
        <f t="shared" si="46"/>
        <v>0</v>
      </c>
      <c r="O127" s="79">
        <f t="shared" si="46"/>
        <v>0</v>
      </c>
      <c r="P127" s="79">
        <f t="shared" si="46"/>
        <v>0</v>
      </c>
      <c r="Q127" s="79">
        <f t="shared" si="46"/>
        <v>0</v>
      </c>
      <c r="R127" s="79">
        <f t="shared" si="47"/>
        <v>0</v>
      </c>
      <c r="S127" s="79">
        <f t="shared" si="47"/>
        <v>0</v>
      </c>
      <c r="T127" s="79">
        <f t="shared" si="47"/>
        <v>0</v>
      </c>
      <c r="U127" s="79">
        <f t="shared" si="47"/>
        <v>0</v>
      </c>
      <c r="V127" s="79">
        <f t="shared" si="47"/>
        <v>0</v>
      </c>
      <c r="W127" s="79">
        <f t="shared" si="47"/>
        <v>0</v>
      </c>
      <c r="X127" s="79">
        <f t="shared" si="47"/>
        <v>0</v>
      </c>
      <c r="Y127" s="79">
        <f t="shared" si="47"/>
        <v>0</v>
      </c>
      <c r="Z127" s="79">
        <f t="shared" si="47"/>
        <v>0</v>
      </c>
      <c r="AA127" s="79">
        <f t="shared" si="47"/>
        <v>0</v>
      </c>
      <c r="AB127" s="79">
        <f t="shared" si="47"/>
        <v>0</v>
      </c>
      <c r="AC127" s="79">
        <f t="shared" si="47"/>
        <v>0</v>
      </c>
      <c r="AD127" s="79">
        <f t="shared" si="47"/>
        <v>0</v>
      </c>
      <c r="AE127" s="79">
        <f t="shared" si="47"/>
        <v>0</v>
      </c>
      <c r="AF127" s="79">
        <f>SUM(H127:AE127)</f>
        <v>0</v>
      </c>
      <c r="AG127" s="93" t="str">
        <f>IF(ABS(AF127-F127)&lt;1,"ok","err")</f>
        <v>ok</v>
      </c>
    </row>
    <row r="128" spans="1:33" s="60" customFormat="1">
      <c r="A128" s="68" t="s">
        <v>1168</v>
      </c>
      <c r="C128" s="60" t="s">
        <v>621</v>
      </c>
      <c r="D128" s="60" t="s">
        <v>960</v>
      </c>
      <c r="F128" s="76">
        <v>0</v>
      </c>
      <c r="H128" s="79">
        <f t="shared" si="46"/>
        <v>0</v>
      </c>
      <c r="I128" s="79">
        <f t="shared" si="46"/>
        <v>0</v>
      </c>
      <c r="J128" s="79">
        <f t="shared" si="46"/>
        <v>0</v>
      </c>
      <c r="K128" s="79">
        <f t="shared" si="46"/>
        <v>0</v>
      </c>
      <c r="L128" s="79">
        <f t="shared" si="46"/>
        <v>0</v>
      </c>
      <c r="M128" s="79">
        <f t="shared" si="46"/>
        <v>0</v>
      </c>
      <c r="N128" s="79">
        <f t="shared" si="46"/>
        <v>0</v>
      </c>
      <c r="O128" s="79">
        <f t="shared" si="46"/>
        <v>0</v>
      </c>
      <c r="P128" s="79">
        <f t="shared" si="46"/>
        <v>0</v>
      </c>
      <c r="Q128" s="79">
        <f t="shared" si="46"/>
        <v>0</v>
      </c>
      <c r="R128" s="79">
        <f t="shared" si="47"/>
        <v>0</v>
      </c>
      <c r="S128" s="79">
        <f t="shared" si="47"/>
        <v>0</v>
      </c>
      <c r="T128" s="79">
        <f t="shared" si="47"/>
        <v>0</v>
      </c>
      <c r="U128" s="79">
        <f t="shared" si="47"/>
        <v>0</v>
      </c>
      <c r="V128" s="79">
        <f t="shared" si="47"/>
        <v>0</v>
      </c>
      <c r="W128" s="79">
        <f t="shared" si="47"/>
        <v>0</v>
      </c>
      <c r="X128" s="79">
        <f t="shared" si="47"/>
        <v>0</v>
      </c>
      <c r="Y128" s="79">
        <f t="shared" si="47"/>
        <v>0</v>
      </c>
      <c r="Z128" s="79">
        <f t="shared" si="47"/>
        <v>0</v>
      </c>
      <c r="AA128" s="79">
        <f t="shared" si="47"/>
        <v>0</v>
      </c>
      <c r="AB128" s="79">
        <f t="shared" si="47"/>
        <v>0</v>
      </c>
      <c r="AC128" s="79">
        <f t="shared" si="47"/>
        <v>0</v>
      </c>
      <c r="AD128" s="79">
        <f t="shared" si="47"/>
        <v>0</v>
      </c>
      <c r="AE128" s="79">
        <f t="shared" si="47"/>
        <v>0</v>
      </c>
      <c r="AF128" s="79">
        <f>SUM(H128:AE128)</f>
        <v>0</v>
      </c>
      <c r="AG128" s="93" t="str">
        <f>IF(ABS(AF128-F128)&lt;1,"ok","err")</f>
        <v>ok</v>
      </c>
    </row>
    <row r="129" spans="1:33" s="60" customFormat="1">
      <c r="A129" s="68"/>
      <c r="F129" s="76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93"/>
    </row>
    <row r="130" spans="1:33">
      <c r="A130" s="60" t="s">
        <v>718</v>
      </c>
      <c r="B130" s="60"/>
      <c r="F130" s="76">
        <f>SUM(F125:F128)</f>
        <v>546457652.46541476</v>
      </c>
      <c r="G130" s="76"/>
      <c r="H130" s="76">
        <f t="shared" ref="H130:AE130" si="48">SUM(H125:H128)</f>
        <v>105311485.38207415</v>
      </c>
      <c r="I130" s="76">
        <f t="shared" si="48"/>
        <v>110320446.55686076</v>
      </c>
      <c r="J130" s="76">
        <f t="shared" si="48"/>
        <v>90683035.06691727</v>
      </c>
      <c r="K130" s="76">
        <f t="shared" si="48"/>
        <v>0</v>
      </c>
      <c r="L130" s="76">
        <f t="shared" si="48"/>
        <v>0</v>
      </c>
      <c r="M130" s="76">
        <f t="shared" si="48"/>
        <v>0</v>
      </c>
      <c r="N130" s="76">
        <f t="shared" si="48"/>
        <v>58748585.688625254</v>
      </c>
      <c r="O130" s="76">
        <f t="shared" si="48"/>
        <v>0</v>
      </c>
      <c r="P130" s="76">
        <f t="shared" si="48"/>
        <v>0</v>
      </c>
      <c r="Q130" s="76">
        <f t="shared" si="48"/>
        <v>0</v>
      </c>
      <c r="R130" s="76">
        <f t="shared" si="48"/>
        <v>20323821.654758576</v>
      </c>
      <c r="S130" s="76">
        <f t="shared" si="48"/>
        <v>0</v>
      </c>
      <c r="T130" s="76">
        <f t="shared" si="48"/>
        <v>34755825.539142154</v>
      </c>
      <c r="U130" s="76">
        <f t="shared" si="48"/>
        <v>55309436.047414765</v>
      </c>
      <c r="V130" s="76">
        <f t="shared" si="48"/>
        <v>9554507.0536417123</v>
      </c>
      <c r="W130" s="76">
        <f t="shared" si="48"/>
        <v>14519564.596642707</v>
      </c>
      <c r="X130" s="76">
        <f t="shared" si="48"/>
        <v>13207211.400183087</v>
      </c>
      <c r="Y130" s="76">
        <f t="shared" si="48"/>
        <v>9236494.3836572822</v>
      </c>
      <c r="Z130" s="76">
        <f t="shared" si="48"/>
        <v>4587015.8116150228</v>
      </c>
      <c r="AA130" s="76">
        <f t="shared" si="48"/>
        <v>5320810.2172641251</v>
      </c>
      <c r="AB130" s="76">
        <f t="shared" si="48"/>
        <v>14579413.066617891</v>
      </c>
      <c r="AC130" s="76">
        <f t="shared" si="48"/>
        <v>0</v>
      </c>
      <c r="AD130" s="76">
        <f t="shared" si="48"/>
        <v>0</v>
      </c>
      <c r="AE130" s="76">
        <f t="shared" si="48"/>
        <v>0</v>
      </c>
      <c r="AF130" s="63">
        <f>SUM(H130:AE130)</f>
        <v>546457652.46541488</v>
      </c>
      <c r="AG130" s="58" t="str">
        <f>IF(ABS(AF130-F130)&lt;1,"ok","err")</f>
        <v>ok</v>
      </c>
    </row>
    <row r="131" spans="1:33">
      <c r="A131" s="60"/>
      <c r="B131" s="60"/>
      <c r="F131" s="76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3"/>
      <c r="AG131" s="58"/>
    </row>
    <row r="132" spans="1:33">
      <c r="A132" s="60" t="s">
        <v>719</v>
      </c>
      <c r="B132" s="60"/>
      <c r="F132" s="76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3"/>
      <c r="AG132" s="58"/>
    </row>
    <row r="133" spans="1:33">
      <c r="A133" s="68" t="s">
        <v>715</v>
      </c>
      <c r="B133" s="60"/>
      <c r="C133" s="44" t="s">
        <v>621</v>
      </c>
      <c r="D133" s="44" t="s">
        <v>638</v>
      </c>
      <c r="F133" s="76">
        <v>0</v>
      </c>
      <c r="H133" s="63">
        <f t="shared" ref="H133:Q136" si="49">IF(VLOOKUP($D133,$C$6:$AE$653,H$2,)=0,0,((VLOOKUP($D133,$C$6:$AE$653,H$2,)/VLOOKUP($D133,$C$6:$AE$653,4,))*$F133))</f>
        <v>0</v>
      </c>
      <c r="I133" s="63">
        <f t="shared" si="49"/>
        <v>0</v>
      </c>
      <c r="J133" s="63">
        <f t="shared" si="49"/>
        <v>0</v>
      </c>
      <c r="K133" s="63">
        <f t="shared" si="49"/>
        <v>0</v>
      </c>
      <c r="L133" s="63">
        <f t="shared" si="49"/>
        <v>0</v>
      </c>
      <c r="M133" s="63">
        <f t="shared" si="49"/>
        <v>0</v>
      </c>
      <c r="N133" s="63">
        <f t="shared" si="49"/>
        <v>0</v>
      </c>
      <c r="O133" s="63">
        <f t="shared" si="49"/>
        <v>0</v>
      </c>
      <c r="P133" s="63">
        <f t="shared" si="49"/>
        <v>0</v>
      </c>
      <c r="Q133" s="63">
        <f t="shared" si="49"/>
        <v>0</v>
      </c>
      <c r="R133" s="63">
        <f t="shared" ref="R133:AE136" si="50">IF(VLOOKUP($D133,$C$6:$AE$653,R$2,)=0,0,((VLOOKUP($D133,$C$6:$AE$653,R$2,)/VLOOKUP($D133,$C$6:$AE$653,4,))*$F133))</f>
        <v>0</v>
      </c>
      <c r="S133" s="63">
        <f t="shared" si="50"/>
        <v>0</v>
      </c>
      <c r="T133" s="63">
        <f t="shared" si="50"/>
        <v>0</v>
      </c>
      <c r="U133" s="63">
        <f t="shared" si="50"/>
        <v>0</v>
      </c>
      <c r="V133" s="63">
        <f t="shared" si="50"/>
        <v>0</v>
      </c>
      <c r="W133" s="63">
        <f t="shared" si="50"/>
        <v>0</v>
      </c>
      <c r="X133" s="63">
        <f t="shared" si="50"/>
        <v>0</v>
      </c>
      <c r="Y133" s="63">
        <f t="shared" si="50"/>
        <v>0</v>
      </c>
      <c r="Z133" s="63">
        <f t="shared" si="50"/>
        <v>0</v>
      </c>
      <c r="AA133" s="63">
        <f t="shared" si="50"/>
        <v>0</v>
      </c>
      <c r="AB133" s="63">
        <f t="shared" si="50"/>
        <v>0</v>
      </c>
      <c r="AC133" s="63">
        <f t="shared" si="50"/>
        <v>0</v>
      </c>
      <c r="AD133" s="63">
        <f t="shared" si="50"/>
        <v>0</v>
      </c>
      <c r="AE133" s="63">
        <f t="shared" si="50"/>
        <v>0</v>
      </c>
      <c r="AF133" s="63">
        <f>SUM(H133:AE133)</f>
        <v>0</v>
      </c>
      <c r="AG133" s="58" t="str">
        <f>IF(ABS(AF133-F133)&lt;1,"ok","err")</f>
        <v>ok</v>
      </c>
    </row>
    <row r="134" spans="1:33">
      <c r="A134" s="68" t="s">
        <v>714</v>
      </c>
      <c r="B134" s="60"/>
      <c r="C134" s="44" t="s">
        <v>621</v>
      </c>
      <c r="D134" s="44" t="s">
        <v>1161</v>
      </c>
      <c r="F134" s="79">
        <v>0</v>
      </c>
      <c r="H134" s="63">
        <f t="shared" si="49"/>
        <v>0</v>
      </c>
      <c r="I134" s="63">
        <f t="shared" si="49"/>
        <v>0</v>
      </c>
      <c r="J134" s="63">
        <f t="shared" si="49"/>
        <v>0</v>
      </c>
      <c r="K134" s="63">
        <f t="shared" si="49"/>
        <v>0</v>
      </c>
      <c r="L134" s="63">
        <f t="shared" si="49"/>
        <v>0</v>
      </c>
      <c r="M134" s="63">
        <f t="shared" si="49"/>
        <v>0</v>
      </c>
      <c r="N134" s="63">
        <f t="shared" si="49"/>
        <v>0</v>
      </c>
      <c r="O134" s="63">
        <f t="shared" si="49"/>
        <v>0</v>
      </c>
      <c r="P134" s="63">
        <f t="shared" si="49"/>
        <v>0</v>
      </c>
      <c r="Q134" s="63">
        <f t="shared" si="49"/>
        <v>0</v>
      </c>
      <c r="R134" s="63">
        <f t="shared" si="50"/>
        <v>0</v>
      </c>
      <c r="S134" s="63">
        <f t="shared" si="50"/>
        <v>0</v>
      </c>
      <c r="T134" s="63">
        <f t="shared" si="50"/>
        <v>0</v>
      </c>
      <c r="U134" s="63">
        <f t="shared" si="50"/>
        <v>0</v>
      </c>
      <c r="V134" s="63">
        <f t="shared" si="50"/>
        <v>0</v>
      </c>
      <c r="W134" s="63">
        <f t="shared" si="50"/>
        <v>0</v>
      </c>
      <c r="X134" s="63">
        <f t="shared" si="50"/>
        <v>0</v>
      </c>
      <c r="Y134" s="63">
        <f t="shared" si="50"/>
        <v>0</v>
      </c>
      <c r="Z134" s="63">
        <f t="shared" si="50"/>
        <v>0</v>
      </c>
      <c r="AA134" s="63">
        <f t="shared" si="50"/>
        <v>0</v>
      </c>
      <c r="AB134" s="63">
        <f t="shared" si="50"/>
        <v>0</v>
      </c>
      <c r="AC134" s="63">
        <f t="shared" si="50"/>
        <v>0</v>
      </c>
      <c r="AD134" s="63">
        <f t="shared" si="50"/>
        <v>0</v>
      </c>
      <c r="AE134" s="63">
        <f t="shared" si="50"/>
        <v>0</v>
      </c>
      <c r="AF134" s="63">
        <f>SUM(H134:AE134)</f>
        <v>0</v>
      </c>
      <c r="AG134" s="58" t="str">
        <f>IF(ABS(AF134-F134)&lt;1,"ok","err")</f>
        <v>ok</v>
      </c>
    </row>
    <row r="135" spans="1:33">
      <c r="A135" s="68" t="s">
        <v>716</v>
      </c>
      <c r="B135" s="60"/>
      <c r="C135" s="44" t="s">
        <v>621</v>
      </c>
      <c r="D135" s="44" t="s">
        <v>935</v>
      </c>
      <c r="F135" s="79">
        <v>0</v>
      </c>
      <c r="H135" s="63">
        <f t="shared" si="49"/>
        <v>0</v>
      </c>
      <c r="I135" s="63">
        <f t="shared" si="49"/>
        <v>0</v>
      </c>
      <c r="J135" s="63">
        <f t="shared" si="49"/>
        <v>0</v>
      </c>
      <c r="K135" s="63">
        <f t="shared" si="49"/>
        <v>0</v>
      </c>
      <c r="L135" s="63">
        <f t="shared" si="49"/>
        <v>0</v>
      </c>
      <c r="M135" s="63">
        <f t="shared" si="49"/>
        <v>0</v>
      </c>
      <c r="N135" s="63">
        <f t="shared" si="49"/>
        <v>0</v>
      </c>
      <c r="O135" s="63">
        <f t="shared" si="49"/>
        <v>0</v>
      </c>
      <c r="P135" s="63">
        <f t="shared" si="49"/>
        <v>0</v>
      </c>
      <c r="Q135" s="63">
        <f t="shared" si="49"/>
        <v>0</v>
      </c>
      <c r="R135" s="63">
        <f t="shared" si="50"/>
        <v>0</v>
      </c>
      <c r="S135" s="63">
        <f t="shared" si="50"/>
        <v>0</v>
      </c>
      <c r="T135" s="63">
        <f t="shared" si="50"/>
        <v>0</v>
      </c>
      <c r="U135" s="63">
        <f t="shared" si="50"/>
        <v>0</v>
      </c>
      <c r="V135" s="63">
        <f t="shared" si="50"/>
        <v>0</v>
      </c>
      <c r="W135" s="63">
        <f t="shared" si="50"/>
        <v>0</v>
      </c>
      <c r="X135" s="63">
        <f t="shared" si="50"/>
        <v>0</v>
      </c>
      <c r="Y135" s="63">
        <f t="shared" si="50"/>
        <v>0</v>
      </c>
      <c r="Z135" s="63">
        <f t="shared" si="50"/>
        <v>0</v>
      </c>
      <c r="AA135" s="63">
        <f t="shared" si="50"/>
        <v>0</v>
      </c>
      <c r="AB135" s="63">
        <f t="shared" si="50"/>
        <v>0</v>
      </c>
      <c r="AC135" s="63">
        <f t="shared" si="50"/>
        <v>0</v>
      </c>
      <c r="AD135" s="63">
        <f t="shared" si="50"/>
        <v>0</v>
      </c>
      <c r="AE135" s="63">
        <f t="shared" si="50"/>
        <v>0</v>
      </c>
      <c r="AF135" s="63">
        <f>SUM(H135:AE135)</f>
        <v>0</v>
      </c>
      <c r="AG135" s="58" t="str">
        <f>IF(ABS(AF135-F135)&lt;1,"ok","err")</f>
        <v>ok</v>
      </c>
    </row>
    <row r="136" spans="1:33">
      <c r="A136" s="68" t="s">
        <v>717</v>
      </c>
      <c r="B136" s="60"/>
      <c r="C136" s="44" t="s">
        <v>621</v>
      </c>
      <c r="D136" s="44" t="s">
        <v>1163</v>
      </c>
      <c r="F136" s="79">
        <v>0</v>
      </c>
      <c r="H136" s="63">
        <f t="shared" si="49"/>
        <v>0</v>
      </c>
      <c r="I136" s="63">
        <f t="shared" si="49"/>
        <v>0</v>
      </c>
      <c r="J136" s="63">
        <f t="shared" si="49"/>
        <v>0</v>
      </c>
      <c r="K136" s="63">
        <f t="shared" si="49"/>
        <v>0</v>
      </c>
      <c r="L136" s="63">
        <f t="shared" si="49"/>
        <v>0</v>
      </c>
      <c r="M136" s="63">
        <f t="shared" si="49"/>
        <v>0</v>
      </c>
      <c r="N136" s="63">
        <f t="shared" si="49"/>
        <v>0</v>
      </c>
      <c r="O136" s="63">
        <f t="shared" si="49"/>
        <v>0</v>
      </c>
      <c r="P136" s="63">
        <f t="shared" si="49"/>
        <v>0</v>
      </c>
      <c r="Q136" s="63">
        <f t="shared" si="49"/>
        <v>0</v>
      </c>
      <c r="R136" s="63">
        <f t="shared" si="50"/>
        <v>0</v>
      </c>
      <c r="S136" s="63">
        <f t="shared" si="50"/>
        <v>0</v>
      </c>
      <c r="T136" s="63">
        <f t="shared" si="50"/>
        <v>0</v>
      </c>
      <c r="U136" s="63">
        <f t="shared" si="50"/>
        <v>0</v>
      </c>
      <c r="V136" s="63">
        <f t="shared" si="50"/>
        <v>0</v>
      </c>
      <c r="W136" s="63">
        <f t="shared" si="50"/>
        <v>0</v>
      </c>
      <c r="X136" s="63">
        <f t="shared" si="50"/>
        <v>0</v>
      </c>
      <c r="Y136" s="63">
        <f t="shared" si="50"/>
        <v>0</v>
      </c>
      <c r="Z136" s="63">
        <f t="shared" si="50"/>
        <v>0</v>
      </c>
      <c r="AA136" s="63">
        <f t="shared" si="50"/>
        <v>0</v>
      </c>
      <c r="AB136" s="63">
        <f t="shared" si="50"/>
        <v>0</v>
      </c>
      <c r="AC136" s="63">
        <f t="shared" si="50"/>
        <v>0</v>
      </c>
      <c r="AD136" s="63">
        <f t="shared" si="50"/>
        <v>0</v>
      </c>
      <c r="AE136" s="63">
        <f t="shared" si="50"/>
        <v>0</v>
      </c>
      <c r="AF136" s="63">
        <f>SUM(H136:AE136)</f>
        <v>0</v>
      </c>
      <c r="AG136" s="58" t="str">
        <f>IF(ABS(AF136-F136)&lt;1,"ok","err")</f>
        <v>ok</v>
      </c>
    </row>
    <row r="137" spans="1:33">
      <c r="A137" s="68"/>
      <c r="B137" s="60"/>
      <c r="F137" s="76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58"/>
    </row>
    <row r="138" spans="1:33">
      <c r="A138" s="60" t="s">
        <v>720</v>
      </c>
      <c r="B138" s="60"/>
      <c r="F138" s="76">
        <f>SUM(F133:F136)</f>
        <v>0</v>
      </c>
      <c r="H138" s="62">
        <f t="shared" ref="H138:M138" si="51">SUM(H133:H136)</f>
        <v>0</v>
      </c>
      <c r="I138" s="62">
        <f t="shared" si="51"/>
        <v>0</v>
      </c>
      <c r="J138" s="62">
        <f t="shared" si="51"/>
        <v>0</v>
      </c>
      <c r="K138" s="62">
        <f t="shared" si="51"/>
        <v>0</v>
      </c>
      <c r="L138" s="62">
        <f t="shared" si="51"/>
        <v>0</v>
      </c>
      <c r="M138" s="62">
        <f t="shared" si="51"/>
        <v>0</v>
      </c>
      <c r="N138" s="62">
        <f>SUM(N133:N136)</f>
        <v>0</v>
      </c>
      <c r="O138" s="62">
        <f>SUM(O133:O136)</f>
        <v>0</v>
      </c>
      <c r="P138" s="62">
        <f>SUM(P133:P136)</f>
        <v>0</v>
      </c>
      <c r="Q138" s="62">
        <f t="shared" ref="Q138:AB138" si="52">SUM(Q133:Q136)</f>
        <v>0</v>
      </c>
      <c r="R138" s="62">
        <f t="shared" si="52"/>
        <v>0</v>
      </c>
      <c r="S138" s="62">
        <f t="shared" si="52"/>
        <v>0</v>
      </c>
      <c r="T138" s="62">
        <f t="shared" si="52"/>
        <v>0</v>
      </c>
      <c r="U138" s="62">
        <f t="shared" si="52"/>
        <v>0</v>
      </c>
      <c r="V138" s="62">
        <f t="shared" si="52"/>
        <v>0</v>
      </c>
      <c r="W138" s="62">
        <f t="shared" si="52"/>
        <v>0</v>
      </c>
      <c r="X138" s="62">
        <f t="shared" si="52"/>
        <v>0</v>
      </c>
      <c r="Y138" s="62">
        <f t="shared" si="52"/>
        <v>0</v>
      </c>
      <c r="Z138" s="62">
        <f t="shared" si="52"/>
        <v>0</v>
      </c>
      <c r="AA138" s="62">
        <f t="shared" si="52"/>
        <v>0</v>
      </c>
      <c r="AB138" s="62">
        <f t="shared" si="52"/>
        <v>0</v>
      </c>
      <c r="AC138" s="62">
        <f>SUM(AC133:AC136)</f>
        <v>0</v>
      </c>
      <c r="AD138" s="62">
        <f>SUM(AD133:AD136)</f>
        <v>0</v>
      </c>
      <c r="AE138" s="62">
        <f>SUM(AE133:AE136)</f>
        <v>0</v>
      </c>
      <c r="AF138" s="63">
        <f>SUM(H138:AE138)</f>
        <v>0</v>
      </c>
      <c r="AG138" s="58" t="str">
        <f>IF(ABS(AF138-F138)&lt;1,"ok","err")</f>
        <v>ok</v>
      </c>
    </row>
    <row r="139" spans="1:33">
      <c r="A139" s="68"/>
      <c r="B139" s="60"/>
      <c r="F139" s="76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58"/>
    </row>
    <row r="140" spans="1:33" ht="15">
      <c r="A140" s="65" t="s">
        <v>983</v>
      </c>
      <c r="B140" s="60"/>
      <c r="C140" s="44" t="s">
        <v>984</v>
      </c>
      <c r="F140" s="80">
        <f>F109+F116+F122-F123-F130-F138</f>
        <v>2380933927.2415085</v>
      </c>
      <c r="G140" s="64"/>
      <c r="H140" s="64">
        <f t="shared" ref="H140:M140" si="53">H98-H107+H116+H122-H123-H130-H138</f>
        <v>449333292.60367596</v>
      </c>
      <c r="I140" s="64">
        <f t="shared" si="53"/>
        <v>470705064.24876517</v>
      </c>
      <c r="J140" s="64">
        <f t="shared" si="53"/>
        <v>386917975.58529532</v>
      </c>
      <c r="K140" s="64">
        <f t="shared" si="53"/>
        <v>51365920.441896409</v>
      </c>
      <c r="L140" s="64">
        <f t="shared" si="53"/>
        <v>0</v>
      </c>
      <c r="M140" s="64">
        <f t="shared" si="53"/>
        <v>0</v>
      </c>
      <c r="N140" s="64">
        <f>N98-N107+N116+N122-N123-N130-N138</f>
        <v>251904274.24505213</v>
      </c>
      <c r="O140" s="64">
        <f>O98-O107+O116+O122-O123-O130-O138</f>
        <v>0</v>
      </c>
      <c r="P140" s="64">
        <f>P98-P107+P116+P122-P123-P130-P138</f>
        <v>0</v>
      </c>
      <c r="Q140" s="64">
        <f t="shared" ref="Q140:AB140" si="54">Q98-Q107+Q116+Q122-Q123-Q130-Q138</f>
        <v>0</v>
      </c>
      <c r="R140" s="64">
        <f t="shared" si="54"/>
        <v>86725893.898189053</v>
      </c>
      <c r="S140" s="64">
        <f t="shared" si="54"/>
        <v>0</v>
      </c>
      <c r="T140" s="64">
        <f t="shared" si="54"/>
        <v>146289689.97734636</v>
      </c>
      <c r="U140" s="64">
        <f t="shared" si="54"/>
        <v>232639811.01835001</v>
      </c>
      <c r="V140" s="64">
        <f t="shared" si="54"/>
        <v>40320469.646722771</v>
      </c>
      <c r="W140" s="64">
        <f t="shared" si="54"/>
        <v>61244171.692112058</v>
      </c>
      <c r="X140" s="64">
        <f t="shared" si="54"/>
        <v>55853390.849211715</v>
      </c>
      <c r="Y140" s="64">
        <f t="shared" si="54"/>
        <v>39061200.374199145</v>
      </c>
      <c r="Z140" s="64">
        <f t="shared" si="54"/>
        <v>19387335.002084535</v>
      </c>
      <c r="AA140" s="64">
        <f t="shared" si="54"/>
        <v>24509218.578202888</v>
      </c>
      <c r="AB140" s="64">
        <f t="shared" si="54"/>
        <v>61664819.905362248</v>
      </c>
      <c r="AC140" s="64">
        <f>AC98-AC107+AC116+AC122-AC123-AC130-AC138</f>
        <v>2471535.7794325519</v>
      </c>
      <c r="AD140" s="64">
        <f>AD98-AD107+AD116+AD122-AD123-AD130-AD138</f>
        <v>539863.39561039058</v>
      </c>
      <c r="AE140" s="64">
        <f>AE98-AE107+AE116+AE122-AE123-AE130-AE138</f>
        <v>0</v>
      </c>
      <c r="AF140" s="63">
        <f>SUM(H140:AE140)</f>
        <v>2380933927.2415085</v>
      </c>
      <c r="AG140" s="58" t="str">
        <f>IF(ABS(AF140-F140)&lt;1,"ok","err")</f>
        <v>ok</v>
      </c>
    </row>
    <row r="141" spans="1:33">
      <c r="A141" s="60"/>
      <c r="W141" s="44"/>
      <c r="AG141" s="58"/>
    </row>
    <row r="142" spans="1:33">
      <c r="A142" s="60"/>
      <c r="W142" s="44"/>
      <c r="AG142" s="58"/>
    </row>
    <row r="143" spans="1:33" ht="15">
      <c r="A143" s="59" t="s">
        <v>975</v>
      </c>
      <c r="W143" s="44"/>
      <c r="AG143" s="58"/>
    </row>
    <row r="144" spans="1:33" ht="15">
      <c r="A144" s="59"/>
      <c r="W144" s="44"/>
      <c r="AG144" s="58"/>
    </row>
    <row r="145" spans="1:33" ht="15">
      <c r="A145" s="65" t="s">
        <v>217</v>
      </c>
      <c r="W145" s="44"/>
      <c r="AG145" s="58"/>
    </row>
    <row r="146" spans="1:33">
      <c r="A146" s="60">
        <v>500</v>
      </c>
      <c r="B146" s="44" t="s">
        <v>209</v>
      </c>
      <c r="C146" s="44" t="s">
        <v>210</v>
      </c>
      <c r="D146" s="44" t="s">
        <v>651</v>
      </c>
      <c r="F146" s="76">
        <v>4922985</v>
      </c>
      <c r="H146" s="63">
        <f t="shared" ref="H146:Q153" si="55">IF(VLOOKUP($D146,$C$6:$AE$653,H$2,)=0,0,((VLOOKUP($D146,$C$6:$AE$653,H$2,)/VLOOKUP($D146,$C$6:$AE$653,4,))*$F146))</f>
        <v>1431481.1577938998</v>
      </c>
      <c r="I146" s="63">
        <f t="shared" si="55"/>
        <v>1499567.1174194273</v>
      </c>
      <c r="J146" s="63">
        <f t="shared" si="55"/>
        <v>1232639.1139475054</v>
      </c>
      <c r="K146" s="63">
        <f t="shared" si="55"/>
        <v>759297.61083916796</v>
      </c>
      <c r="L146" s="63">
        <f t="shared" si="55"/>
        <v>0</v>
      </c>
      <c r="M146" s="63">
        <f t="shared" si="55"/>
        <v>0</v>
      </c>
      <c r="N146" s="63">
        <f t="shared" si="55"/>
        <v>0</v>
      </c>
      <c r="O146" s="63">
        <f t="shared" si="55"/>
        <v>0</v>
      </c>
      <c r="P146" s="63">
        <f t="shared" si="55"/>
        <v>0</v>
      </c>
      <c r="Q146" s="63">
        <f t="shared" si="55"/>
        <v>0</v>
      </c>
      <c r="R146" s="63">
        <f t="shared" ref="R146:AE153" si="56">IF(VLOOKUP($D146,$C$6:$AE$653,R$2,)=0,0,((VLOOKUP($D146,$C$6:$AE$653,R$2,)/VLOOKUP($D146,$C$6:$AE$653,4,))*$F146))</f>
        <v>0</v>
      </c>
      <c r="S146" s="63">
        <f t="shared" si="56"/>
        <v>0</v>
      </c>
      <c r="T146" s="63">
        <f t="shared" si="56"/>
        <v>0</v>
      </c>
      <c r="U146" s="63">
        <f t="shared" si="56"/>
        <v>0</v>
      </c>
      <c r="V146" s="63">
        <f t="shared" si="56"/>
        <v>0</v>
      </c>
      <c r="W146" s="63">
        <f t="shared" si="56"/>
        <v>0</v>
      </c>
      <c r="X146" s="63">
        <f t="shared" si="56"/>
        <v>0</v>
      </c>
      <c r="Y146" s="63">
        <f t="shared" si="56"/>
        <v>0</v>
      </c>
      <c r="Z146" s="63">
        <f t="shared" si="56"/>
        <v>0</v>
      </c>
      <c r="AA146" s="63">
        <f t="shared" si="56"/>
        <v>0</v>
      </c>
      <c r="AB146" s="63">
        <f t="shared" si="56"/>
        <v>0</v>
      </c>
      <c r="AC146" s="63">
        <f t="shared" si="56"/>
        <v>0</v>
      </c>
      <c r="AD146" s="63">
        <f t="shared" si="56"/>
        <v>0</v>
      </c>
      <c r="AE146" s="63">
        <f t="shared" si="56"/>
        <v>0</v>
      </c>
      <c r="AF146" s="63">
        <f t="shared" ref="AF146:AF153" si="57">SUM(H146:AE146)</f>
        <v>4922985</v>
      </c>
      <c r="AG146" s="58" t="str">
        <f t="shared" ref="AG146:AG153" si="58">IF(ABS(AF146-F146)&lt;1,"ok","err")</f>
        <v>ok</v>
      </c>
    </row>
    <row r="147" spans="1:33">
      <c r="A147" s="275">
        <v>501</v>
      </c>
      <c r="B147" s="44" t="s">
        <v>211</v>
      </c>
      <c r="C147" s="44" t="s">
        <v>212</v>
      </c>
      <c r="D147" s="44" t="s">
        <v>930</v>
      </c>
      <c r="F147" s="79">
        <v>293912722.25944227</v>
      </c>
      <c r="H147" s="63">
        <f t="shared" si="55"/>
        <v>0</v>
      </c>
      <c r="I147" s="63">
        <f t="shared" si="55"/>
        <v>0</v>
      </c>
      <c r="J147" s="63">
        <f t="shared" si="55"/>
        <v>0</v>
      </c>
      <c r="K147" s="63">
        <f t="shared" si="55"/>
        <v>293912722.25944227</v>
      </c>
      <c r="L147" s="63">
        <f t="shared" si="55"/>
        <v>0</v>
      </c>
      <c r="M147" s="63">
        <f t="shared" si="55"/>
        <v>0</v>
      </c>
      <c r="N147" s="63">
        <f t="shared" si="55"/>
        <v>0</v>
      </c>
      <c r="O147" s="63">
        <f t="shared" si="55"/>
        <v>0</v>
      </c>
      <c r="P147" s="63">
        <f t="shared" si="55"/>
        <v>0</v>
      </c>
      <c r="Q147" s="63">
        <f t="shared" si="55"/>
        <v>0</v>
      </c>
      <c r="R147" s="63">
        <f t="shared" si="56"/>
        <v>0</v>
      </c>
      <c r="S147" s="63">
        <f t="shared" si="56"/>
        <v>0</v>
      </c>
      <c r="T147" s="63">
        <f t="shared" si="56"/>
        <v>0</v>
      </c>
      <c r="U147" s="63">
        <f t="shared" si="56"/>
        <v>0</v>
      </c>
      <c r="V147" s="63">
        <f t="shared" si="56"/>
        <v>0</v>
      </c>
      <c r="W147" s="63">
        <f t="shared" si="56"/>
        <v>0</v>
      </c>
      <c r="X147" s="63">
        <f t="shared" si="56"/>
        <v>0</v>
      </c>
      <c r="Y147" s="63">
        <f t="shared" si="56"/>
        <v>0</v>
      </c>
      <c r="Z147" s="63">
        <f t="shared" si="56"/>
        <v>0</v>
      </c>
      <c r="AA147" s="63">
        <f t="shared" si="56"/>
        <v>0</v>
      </c>
      <c r="AB147" s="63">
        <f t="shared" si="56"/>
        <v>0</v>
      </c>
      <c r="AC147" s="63">
        <f t="shared" si="56"/>
        <v>0</v>
      </c>
      <c r="AD147" s="63">
        <f t="shared" si="56"/>
        <v>0</v>
      </c>
      <c r="AE147" s="63">
        <f t="shared" si="56"/>
        <v>0</v>
      </c>
      <c r="AF147" s="63">
        <f t="shared" si="57"/>
        <v>293912722.25944227</v>
      </c>
      <c r="AG147" s="58" t="str">
        <f t="shared" si="58"/>
        <v>ok</v>
      </c>
    </row>
    <row r="148" spans="1:33">
      <c r="A148" s="60">
        <v>502</v>
      </c>
      <c r="B148" s="44" t="s">
        <v>213</v>
      </c>
      <c r="C148" s="44" t="s">
        <v>214</v>
      </c>
      <c r="D148" s="44" t="s">
        <v>646</v>
      </c>
      <c r="F148" s="79">
        <v>18526106.452221252</v>
      </c>
      <c r="H148" s="63">
        <f t="shared" si="55"/>
        <v>6369299.5739009185</v>
      </c>
      <c r="I148" s="63">
        <f t="shared" si="55"/>
        <v>6672244.4441637117</v>
      </c>
      <c r="J148" s="63">
        <f t="shared" si="55"/>
        <v>5484562.4341566218</v>
      </c>
      <c r="K148" s="63">
        <f t="shared" si="55"/>
        <v>0</v>
      </c>
      <c r="L148" s="63">
        <f t="shared" si="55"/>
        <v>0</v>
      </c>
      <c r="M148" s="63">
        <f t="shared" si="55"/>
        <v>0</v>
      </c>
      <c r="N148" s="63">
        <f t="shared" si="55"/>
        <v>0</v>
      </c>
      <c r="O148" s="63">
        <f t="shared" si="55"/>
        <v>0</v>
      </c>
      <c r="P148" s="63">
        <f t="shared" si="55"/>
        <v>0</v>
      </c>
      <c r="Q148" s="63">
        <f t="shared" si="55"/>
        <v>0</v>
      </c>
      <c r="R148" s="63">
        <f t="shared" si="56"/>
        <v>0</v>
      </c>
      <c r="S148" s="63">
        <f t="shared" si="56"/>
        <v>0</v>
      </c>
      <c r="T148" s="63">
        <f t="shared" si="56"/>
        <v>0</v>
      </c>
      <c r="U148" s="63">
        <f t="shared" si="56"/>
        <v>0</v>
      </c>
      <c r="V148" s="63">
        <f t="shared" si="56"/>
        <v>0</v>
      </c>
      <c r="W148" s="63">
        <f t="shared" si="56"/>
        <v>0</v>
      </c>
      <c r="X148" s="63">
        <f t="shared" si="56"/>
        <v>0</v>
      </c>
      <c r="Y148" s="63">
        <f t="shared" si="56"/>
        <v>0</v>
      </c>
      <c r="Z148" s="63">
        <f t="shared" si="56"/>
        <v>0</v>
      </c>
      <c r="AA148" s="63">
        <f t="shared" si="56"/>
        <v>0</v>
      </c>
      <c r="AB148" s="63">
        <f t="shared" si="56"/>
        <v>0</v>
      </c>
      <c r="AC148" s="63">
        <f t="shared" si="56"/>
        <v>0</v>
      </c>
      <c r="AD148" s="63">
        <f t="shared" si="56"/>
        <v>0</v>
      </c>
      <c r="AE148" s="63">
        <f t="shared" si="56"/>
        <v>0</v>
      </c>
      <c r="AF148" s="63">
        <f t="shared" si="57"/>
        <v>18526106.452221252</v>
      </c>
      <c r="AG148" s="58" t="str">
        <f t="shared" si="58"/>
        <v>ok</v>
      </c>
    </row>
    <row r="149" spans="1:33">
      <c r="A149" s="60">
        <v>504</v>
      </c>
      <c r="B149" s="60" t="s">
        <v>1290</v>
      </c>
      <c r="C149" s="44" t="s">
        <v>1288</v>
      </c>
      <c r="D149" s="44" t="s">
        <v>646</v>
      </c>
      <c r="F149" s="79">
        <v>0</v>
      </c>
      <c r="H149" s="63">
        <f t="shared" si="55"/>
        <v>0</v>
      </c>
      <c r="I149" s="63">
        <f t="shared" si="55"/>
        <v>0</v>
      </c>
      <c r="J149" s="63">
        <f t="shared" si="55"/>
        <v>0</v>
      </c>
      <c r="K149" s="63">
        <f t="shared" si="55"/>
        <v>0</v>
      </c>
      <c r="L149" s="63">
        <f t="shared" si="55"/>
        <v>0</v>
      </c>
      <c r="M149" s="63">
        <f t="shared" si="55"/>
        <v>0</v>
      </c>
      <c r="N149" s="63">
        <f t="shared" si="55"/>
        <v>0</v>
      </c>
      <c r="O149" s="63">
        <f t="shared" si="55"/>
        <v>0</v>
      </c>
      <c r="P149" s="63">
        <f t="shared" si="55"/>
        <v>0</v>
      </c>
      <c r="Q149" s="63">
        <f t="shared" si="55"/>
        <v>0</v>
      </c>
      <c r="R149" s="63">
        <f t="shared" si="56"/>
        <v>0</v>
      </c>
      <c r="S149" s="63">
        <f t="shared" si="56"/>
        <v>0</v>
      </c>
      <c r="T149" s="63">
        <f t="shared" si="56"/>
        <v>0</v>
      </c>
      <c r="U149" s="63">
        <f t="shared" si="56"/>
        <v>0</v>
      </c>
      <c r="V149" s="63">
        <f t="shared" si="56"/>
        <v>0</v>
      </c>
      <c r="W149" s="63">
        <f t="shared" si="56"/>
        <v>0</v>
      </c>
      <c r="X149" s="63">
        <f t="shared" si="56"/>
        <v>0</v>
      </c>
      <c r="Y149" s="63">
        <f t="shared" si="56"/>
        <v>0</v>
      </c>
      <c r="Z149" s="63">
        <f t="shared" si="56"/>
        <v>0</v>
      </c>
      <c r="AA149" s="63">
        <f t="shared" si="56"/>
        <v>0</v>
      </c>
      <c r="AB149" s="63">
        <f t="shared" si="56"/>
        <v>0</v>
      </c>
      <c r="AC149" s="63">
        <f t="shared" si="56"/>
        <v>0</v>
      </c>
      <c r="AD149" s="63">
        <f t="shared" si="56"/>
        <v>0</v>
      </c>
      <c r="AE149" s="63">
        <f t="shared" si="56"/>
        <v>0</v>
      </c>
      <c r="AF149" s="63">
        <f>SUM(H149:AE149)</f>
        <v>0</v>
      </c>
      <c r="AG149" s="58" t="str">
        <f>IF(ABS(AF149-F149)&lt;1,"ok","err")</f>
        <v>ok</v>
      </c>
    </row>
    <row r="150" spans="1:33">
      <c r="A150" s="60">
        <v>505</v>
      </c>
      <c r="B150" s="44" t="s">
        <v>215</v>
      </c>
      <c r="C150" s="44" t="s">
        <v>216</v>
      </c>
      <c r="D150" s="44" t="s">
        <v>646</v>
      </c>
      <c r="F150" s="79">
        <v>2617219</v>
      </c>
      <c r="H150" s="63">
        <f t="shared" si="55"/>
        <v>899803.30753776373</v>
      </c>
      <c r="I150" s="63">
        <f t="shared" si="55"/>
        <v>942600.91708670661</v>
      </c>
      <c r="J150" s="63">
        <f t="shared" si="55"/>
        <v>774814.77537552966</v>
      </c>
      <c r="K150" s="63">
        <f t="shared" si="55"/>
        <v>0</v>
      </c>
      <c r="L150" s="63">
        <f t="shared" si="55"/>
        <v>0</v>
      </c>
      <c r="M150" s="63">
        <f t="shared" si="55"/>
        <v>0</v>
      </c>
      <c r="N150" s="63">
        <f t="shared" si="55"/>
        <v>0</v>
      </c>
      <c r="O150" s="63">
        <f t="shared" si="55"/>
        <v>0</v>
      </c>
      <c r="P150" s="63">
        <f t="shared" si="55"/>
        <v>0</v>
      </c>
      <c r="Q150" s="63">
        <f t="shared" si="55"/>
        <v>0</v>
      </c>
      <c r="R150" s="63">
        <f t="shared" si="56"/>
        <v>0</v>
      </c>
      <c r="S150" s="63">
        <f t="shared" si="56"/>
        <v>0</v>
      </c>
      <c r="T150" s="63">
        <f t="shared" si="56"/>
        <v>0</v>
      </c>
      <c r="U150" s="63">
        <f t="shared" si="56"/>
        <v>0</v>
      </c>
      <c r="V150" s="63">
        <f t="shared" si="56"/>
        <v>0</v>
      </c>
      <c r="W150" s="63">
        <f t="shared" si="56"/>
        <v>0</v>
      </c>
      <c r="X150" s="63">
        <f t="shared" si="56"/>
        <v>0</v>
      </c>
      <c r="Y150" s="63">
        <f t="shared" si="56"/>
        <v>0</v>
      </c>
      <c r="Z150" s="63">
        <f t="shared" si="56"/>
        <v>0</v>
      </c>
      <c r="AA150" s="63">
        <f t="shared" si="56"/>
        <v>0</v>
      </c>
      <c r="AB150" s="63">
        <f t="shared" si="56"/>
        <v>0</v>
      </c>
      <c r="AC150" s="63">
        <f t="shared" si="56"/>
        <v>0</v>
      </c>
      <c r="AD150" s="63">
        <f t="shared" si="56"/>
        <v>0</v>
      </c>
      <c r="AE150" s="63">
        <f t="shared" si="56"/>
        <v>0</v>
      </c>
      <c r="AF150" s="63">
        <f t="shared" si="57"/>
        <v>2617219</v>
      </c>
      <c r="AG150" s="58" t="str">
        <f t="shared" si="58"/>
        <v>ok</v>
      </c>
    </row>
    <row r="151" spans="1:33">
      <c r="A151" s="60">
        <v>506</v>
      </c>
      <c r="B151" s="44" t="s">
        <v>218</v>
      </c>
      <c r="C151" s="44" t="s">
        <v>219</v>
      </c>
      <c r="D151" s="44" t="s">
        <v>646</v>
      </c>
      <c r="F151" s="79">
        <v>9946164.9999999795</v>
      </c>
      <c r="H151" s="63">
        <f t="shared" si="55"/>
        <v>3419504.5062397621</v>
      </c>
      <c r="I151" s="63">
        <f t="shared" si="55"/>
        <v>3582147.4055077867</v>
      </c>
      <c r="J151" s="63">
        <f t="shared" si="55"/>
        <v>2944513.0882524308</v>
      </c>
      <c r="K151" s="63">
        <f t="shared" si="55"/>
        <v>0</v>
      </c>
      <c r="L151" s="63">
        <f t="shared" si="55"/>
        <v>0</v>
      </c>
      <c r="M151" s="63">
        <f t="shared" si="55"/>
        <v>0</v>
      </c>
      <c r="N151" s="63">
        <f t="shared" si="55"/>
        <v>0</v>
      </c>
      <c r="O151" s="63">
        <f t="shared" si="55"/>
        <v>0</v>
      </c>
      <c r="P151" s="63">
        <f t="shared" si="55"/>
        <v>0</v>
      </c>
      <c r="Q151" s="63">
        <f t="shared" si="55"/>
        <v>0</v>
      </c>
      <c r="R151" s="63">
        <f t="shared" si="56"/>
        <v>0</v>
      </c>
      <c r="S151" s="63">
        <f t="shared" si="56"/>
        <v>0</v>
      </c>
      <c r="T151" s="63">
        <f t="shared" si="56"/>
        <v>0</v>
      </c>
      <c r="U151" s="63">
        <f t="shared" si="56"/>
        <v>0</v>
      </c>
      <c r="V151" s="63">
        <f t="shared" si="56"/>
        <v>0</v>
      </c>
      <c r="W151" s="63">
        <f t="shared" si="56"/>
        <v>0</v>
      </c>
      <c r="X151" s="63">
        <f t="shared" si="56"/>
        <v>0</v>
      </c>
      <c r="Y151" s="63">
        <f t="shared" si="56"/>
        <v>0</v>
      </c>
      <c r="Z151" s="63">
        <f t="shared" si="56"/>
        <v>0</v>
      </c>
      <c r="AA151" s="63">
        <f t="shared" si="56"/>
        <v>0</v>
      </c>
      <c r="AB151" s="63">
        <f t="shared" si="56"/>
        <v>0</v>
      </c>
      <c r="AC151" s="63">
        <f t="shared" si="56"/>
        <v>0</v>
      </c>
      <c r="AD151" s="63">
        <f t="shared" si="56"/>
        <v>0</v>
      </c>
      <c r="AE151" s="63">
        <f t="shared" si="56"/>
        <v>0</v>
      </c>
      <c r="AF151" s="63">
        <f t="shared" si="57"/>
        <v>9946164.9999999795</v>
      </c>
      <c r="AG151" s="58" t="str">
        <f t="shared" si="58"/>
        <v>ok</v>
      </c>
    </row>
    <row r="152" spans="1:33">
      <c r="A152" s="60">
        <v>507</v>
      </c>
      <c r="B152" s="44" t="s">
        <v>1004</v>
      </c>
      <c r="C152" s="44" t="s">
        <v>343</v>
      </c>
      <c r="D152" s="44" t="s">
        <v>646</v>
      </c>
      <c r="F152" s="79"/>
      <c r="H152" s="63">
        <f t="shared" si="55"/>
        <v>0</v>
      </c>
      <c r="I152" s="63">
        <f t="shared" si="55"/>
        <v>0</v>
      </c>
      <c r="J152" s="63">
        <f t="shared" si="55"/>
        <v>0</v>
      </c>
      <c r="K152" s="63">
        <f t="shared" si="55"/>
        <v>0</v>
      </c>
      <c r="L152" s="63">
        <f t="shared" si="55"/>
        <v>0</v>
      </c>
      <c r="M152" s="63">
        <f t="shared" si="55"/>
        <v>0</v>
      </c>
      <c r="N152" s="63">
        <f t="shared" si="55"/>
        <v>0</v>
      </c>
      <c r="O152" s="63">
        <f t="shared" si="55"/>
        <v>0</v>
      </c>
      <c r="P152" s="63">
        <f t="shared" si="55"/>
        <v>0</v>
      </c>
      <c r="Q152" s="63">
        <f t="shared" si="55"/>
        <v>0</v>
      </c>
      <c r="R152" s="63">
        <f t="shared" si="56"/>
        <v>0</v>
      </c>
      <c r="S152" s="63">
        <f t="shared" si="56"/>
        <v>0</v>
      </c>
      <c r="T152" s="63">
        <f t="shared" si="56"/>
        <v>0</v>
      </c>
      <c r="U152" s="63">
        <f t="shared" si="56"/>
        <v>0</v>
      </c>
      <c r="V152" s="63">
        <f t="shared" si="56"/>
        <v>0</v>
      </c>
      <c r="W152" s="63">
        <f t="shared" si="56"/>
        <v>0</v>
      </c>
      <c r="X152" s="63">
        <f t="shared" si="56"/>
        <v>0</v>
      </c>
      <c r="Y152" s="63">
        <f t="shared" si="56"/>
        <v>0</v>
      </c>
      <c r="Z152" s="63">
        <f t="shared" si="56"/>
        <v>0</v>
      </c>
      <c r="AA152" s="63">
        <f t="shared" si="56"/>
        <v>0</v>
      </c>
      <c r="AB152" s="63">
        <f t="shared" si="56"/>
        <v>0</v>
      </c>
      <c r="AC152" s="63">
        <f t="shared" si="56"/>
        <v>0</v>
      </c>
      <c r="AD152" s="63">
        <f t="shared" si="56"/>
        <v>0</v>
      </c>
      <c r="AE152" s="63">
        <f t="shared" si="56"/>
        <v>0</v>
      </c>
      <c r="AF152" s="63">
        <f>SUM(H152:AE152)</f>
        <v>0</v>
      </c>
      <c r="AG152" s="58" t="str">
        <f t="shared" si="58"/>
        <v>ok</v>
      </c>
    </row>
    <row r="153" spans="1:33">
      <c r="A153" s="60">
        <v>509</v>
      </c>
      <c r="B153" s="44" t="s">
        <v>595</v>
      </c>
      <c r="C153" s="44" t="s">
        <v>594</v>
      </c>
      <c r="D153" s="44" t="s">
        <v>646</v>
      </c>
      <c r="F153" s="79">
        <v>0</v>
      </c>
      <c r="H153" s="63">
        <f t="shared" si="55"/>
        <v>0</v>
      </c>
      <c r="I153" s="63">
        <f t="shared" si="55"/>
        <v>0</v>
      </c>
      <c r="J153" s="63">
        <f t="shared" si="55"/>
        <v>0</v>
      </c>
      <c r="K153" s="63">
        <f t="shared" si="55"/>
        <v>0</v>
      </c>
      <c r="L153" s="63">
        <f t="shared" si="55"/>
        <v>0</v>
      </c>
      <c r="M153" s="63">
        <f t="shared" si="55"/>
        <v>0</v>
      </c>
      <c r="N153" s="63">
        <f t="shared" si="55"/>
        <v>0</v>
      </c>
      <c r="O153" s="63">
        <f t="shared" si="55"/>
        <v>0</v>
      </c>
      <c r="P153" s="63">
        <f t="shared" si="55"/>
        <v>0</v>
      </c>
      <c r="Q153" s="63">
        <f t="shared" si="55"/>
        <v>0</v>
      </c>
      <c r="R153" s="63">
        <f t="shared" si="56"/>
        <v>0</v>
      </c>
      <c r="S153" s="63">
        <f t="shared" si="56"/>
        <v>0</v>
      </c>
      <c r="T153" s="63">
        <f t="shared" si="56"/>
        <v>0</v>
      </c>
      <c r="U153" s="63">
        <f t="shared" si="56"/>
        <v>0</v>
      </c>
      <c r="V153" s="63">
        <f t="shared" si="56"/>
        <v>0</v>
      </c>
      <c r="W153" s="63">
        <f t="shared" si="56"/>
        <v>0</v>
      </c>
      <c r="X153" s="63">
        <f t="shared" si="56"/>
        <v>0</v>
      </c>
      <c r="Y153" s="63">
        <f t="shared" si="56"/>
        <v>0</v>
      </c>
      <c r="Z153" s="63">
        <f t="shared" si="56"/>
        <v>0</v>
      </c>
      <c r="AA153" s="63">
        <f t="shared" si="56"/>
        <v>0</v>
      </c>
      <c r="AB153" s="63">
        <f t="shared" si="56"/>
        <v>0</v>
      </c>
      <c r="AC153" s="63">
        <f t="shared" si="56"/>
        <v>0</v>
      </c>
      <c r="AD153" s="63">
        <f t="shared" si="56"/>
        <v>0</v>
      </c>
      <c r="AE153" s="63">
        <f t="shared" si="56"/>
        <v>0</v>
      </c>
      <c r="AF153" s="63">
        <f t="shared" si="57"/>
        <v>0</v>
      </c>
      <c r="AG153" s="58" t="str">
        <f t="shared" si="58"/>
        <v>ok</v>
      </c>
    </row>
    <row r="154" spans="1:33">
      <c r="A154" s="60"/>
      <c r="F154" s="76"/>
      <c r="W154" s="44"/>
      <c r="AG154" s="58"/>
    </row>
    <row r="155" spans="1:33">
      <c r="A155" s="60"/>
      <c r="B155" s="44" t="s">
        <v>220</v>
      </c>
      <c r="F155" s="76">
        <f>SUM(F146:F154)</f>
        <v>329925197.71166354</v>
      </c>
      <c r="H155" s="62">
        <f>SUM(H146:H154)</f>
        <v>12120088.545472344</v>
      </c>
      <c r="I155" s="62">
        <f t="shared" ref="I155:AF155" si="59">SUM(I146:I154)</f>
        <v>12696559.884177633</v>
      </c>
      <c r="J155" s="62">
        <f t="shared" si="59"/>
        <v>10436529.411732087</v>
      </c>
      <c r="K155" s="62">
        <f t="shared" si="59"/>
        <v>294672019.87028146</v>
      </c>
      <c r="L155" s="62">
        <f t="shared" si="59"/>
        <v>0</v>
      </c>
      <c r="M155" s="62">
        <f t="shared" si="59"/>
        <v>0</v>
      </c>
      <c r="N155" s="62">
        <f t="shared" si="59"/>
        <v>0</v>
      </c>
      <c r="O155" s="62">
        <f>SUM(O146:O154)</f>
        <v>0</v>
      </c>
      <c r="P155" s="62">
        <f>SUM(P146:P154)</f>
        <v>0</v>
      </c>
      <c r="Q155" s="62">
        <f t="shared" si="59"/>
        <v>0</v>
      </c>
      <c r="R155" s="62">
        <f t="shared" si="59"/>
        <v>0</v>
      </c>
      <c r="S155" s="62">
        <f t="shared" si="59"/>
        <v>0</v>
      </c>
      <c r="T155" s="62">
        <f t="shared" si="59"/>
        <v>0</v>
      </c>
      <c r="U155" s="62">
        <f>SUM(U146:U154)</f>
        <v>0</v>
      </c>
      <c r="V155" s="62">
        <f>SUM(V146:V154)</f>
        <v>0</v>
      </c>
      <c r="W155" s="62">
        <f>SUM(W146:W154)</f>
        <v>0</v>
      </c>
      <c r="X155" s="62">
        <f t="shared" si="59"/>
        <v>0</v>
      </c>
      <c r="Y155" s="62">
        <f t="shared" si="59"/>
        <v>0</v>
      </c>
      <c r="Z155" s="62">
        <f>SUM(Z146:Z154)</f>
        <v>0</v>
      </c>
      <c r="AA155" s="62">
        <f>SUM(AA146:AA154)</f>
        <v>0</v>
      </c>
      <c r="AB155" s="62">
        <f t="shared" si="59"/>
        <v>0</v>
      </c>
      <c r="AC155" s="62">
        <f t="shared" si="59"/>
        <v>0</v>
      </c>
      <c r="AD155" s="62">
        <f t="shared" si="59"/>
        <v>0</v>
      </c>
      <c r="AE155" s="62">
        <f t="shared" si="59"/>
        <v>0</v>
      </c>
      <c r="AF155" s="62">
        <f t="shared" si="59"/>
        <v>329925197.71166354</v>
      </c>
      <c r="AG155" s="58" t="str">
        <f>IF(ABS(AF155-F155)&lt;1,"ok","err")</f>
        <v>ok</v>
      </c>
    </row>
    <row r="156" spans="1:33">
      <c r="A156" s="60"/>
      <c r="F156" s="76"/>
      <c r="W156" s="44"/>
      <c r="AG156" s="58"/>
    </row>
    <row r="157" spans="1:33" ht="15">
      <c r="A157" s="65" t="s">
        <v>221</v>
      </c>
      <c r="F157" s="76"/>
      <c r="W157" s="44"/>
      <c r="AG157" s="58"/>
    </row>
    <row r="158" spans="1:33">
      <c r="A158" s="60">
        <v>510</v>
      </c>
      <c r="B158" s="44" t="s">
        <v>224</v>
      </c>
      <c r="C158" s="44" t="s">
        <v>222</v>
      </c>
      <c r="D158" s="44" t="s">
        <v>87</v>
      </c>
      <c r="F158" s="76">
        <v>4351844.9999999981</v>
      </c>
      <c r="H158" s="63">
        <f t="shared" ref="H158:Q162" si="60">IF(VLOOKUP($D158,$C$6:$AE$653,H$2,)=0,0,((VLOOKUP($D158,$C$6:$AE$653,H$2,)/VLOOKUP($D158,$C$6:$AE$653,4,))*$F158))</f>
        <v>0</v>
      </c>
      <c r="I158" s="63">
        <f t="shared" si="60"/>
        <v>0</v>
      </c>
      <c r="J158" s="63">
        <f t="shared" si="60"/>
        <v>0</v>
      </c>
      <c r="K158" s="63">
        <f t="shared" si="60"/>
        <v>4351844.9999999981</v>
      </c>
      <c r="L158" s="63">
        <f t="shared" si="60"/>
        <v>0</v>
      </c>
      <c r="M158" s="63">
        <f t="shared" si="60"/>
        <v>0</v>
      </c>
      <c r="N158" s="63">
        <f t="shared" si="60"/>
        <v>0</v>
      </c>
      <c r="O158" s="63">
        <f t="shared" si="60"/>
        <v>0</v>
      </c>
      <c r="P158" s="63">
        <f t="shared" si="60"/>
        <v>0</v>
      </c>
      <c r="Q158" s="63">
        <f t="shared" si="60"/>
        <v>0</v>
      </c>
      <c r="R158" s="63">
        <f t="shared" ref="R158:AE162" si="61">IF(VLOOKUP($D158,$C$6:$AE$653,R$2,)=0,0,((VLOOKUP($D158,$C$6:$AE$653,R$2,)/VLOOKUP($D158,$C$6:$AE$653,4,))*$F158))</f>
        <v>0</v>
      </c>
      <c r="S158" s="63">
        <f t="shared" si="61"/>
        <v>0</v>
      </c>
      <c r="T158" s="63">
        <f t="shared" si="61"/>
        <v>0</v>
      </c>
      <c r="U158" s="63">
        <f t="shared" si="61"/>
        <v>0</v>
      </c>
      <c r="V158" s="63">
        <f t="shared" si="61"/>
        <v>0</v>
      </c>
      <c r="W158" s="63">
        <f t="shared" si="61"/>
        <v>0</v>
      </c>
      <c r="X158" s="63">
        <f t="shared" si="61"/>
        <v>0</v>
      </c>
      <c r="Y158" s="63">
        <f t="shared" si="61"/>
        <v>0</v>
      </c>
      <c r="Z158" s="63">
        <f t="shared" si="61"/>
        <v>0</v>
      </c>
      <c r="AA158" s="63">
        <f t="shared" si="61"/>
        <v>0</v>
      </c>
      <c r="AB158" s="63">
        <f t="shared" si="61"/>
        <v>0</v>
      </c>
      <c r="AC158" s="63">
        <f t="shared" si="61"/>
        <v>0</v>
      </c>
      <c r="AD158" s="63">
        <f t="shared" si="61"/>
        <v>0</v>
      </c>
      <c r="AE158" s="63">
        <f t="shared" si="61"/>
        <v>0</v>
      </c>
      <c r="AF158" s="63">
        <f>SUM(H158:AE158)</f>
        <v>4351844.9999999981</v>
      </c>
      <c r="AG158" s="58" t="str">
        <f>IF(ABS(AF158-F158)&lt;1,"ok","err")</f>
        <v>ok</v>
      </c>
    </row>
    <row r="159" spans="1:33">
      <c r="A159" s="60">
        <v>511</v>
      </c>
      <c r="B159" s="44" t="s">
        <v>223</v>
      </c>
      <c r="C159" s="44" t="s">
        <v>225</v>
      </c>
      <c r="D159" s="44" t="s">
        <v>646</v>
      </c>
      <c r="F159" s="79">
        <v>4128300.9999999902</v>
      </c>
      <c r="H159" s="63">
        <f t="shared" si="60"/>
        <v>1419315.2710229633</v>
      </c>
      <c r="I159" s="63">
        <f t="shared" si="60"/>
        <v>1486822.5809953078</v>
      </c>
      <c r="J159" s="63">
        <f t="shared" si="60"/>
        <v>1222163.1479817191</v>
      </c>
      <c r="K159" s="63">
        <f t="shared" si="60"/>
        <v>0</v>
      </c>
      <c r="L159" s="63">
        <f t="shared" si="60"/>
        <v>0</v>
      </c>
      <c r="M159" s="63">
        <f t="shared" si="60"/>
        <v>0</v>
      </c>
      <c r="N159" s="63">
        <f t="shared" si="60"/>
        <v>0</v>
      </c>
      <c r="O159" s="63">
        <f t="shared" si="60"/>
        <v>0</v>
      </c>
      <c r="P159" s="63">
        <f t="shared" si="60"/>
        <v>0</v>
      </c>
      <c r="Q159" s="63">
        <f t="shared" si="60"/>
        <v>0</v>
      </c>
      <c r="R159" s="63">
        <f t="shared" si="61"/>
        <v>0</v>
      </c>
      <c r="S159" s="63">
        <f t="shared" si="61"/>
        <v>0</v>
      </c>
      <c r="T159" s="63">
        <f t="shared" si="61"/>
        <v>0</v>
      </c>
      <c r="U159" s="63">
        <f t="shared" si="61"/>
        <v>0</v>
      </c>
      <c r="V159" s="63">
        <f t="shared" si="61"/>
        <v>0</v>
      </c>
      <c r="W159" s="63">
        <f t="shared" si="61"/>
        <v>0</v>
      </c>
      <c r="X159" s="63">
        <f t="shared" si="61"/>
        <v>0</v>
      </c>
      <c r="Y159" s="63">
        <f t="shared" si="61"/>
        <v>0</v>
      </c>
      <c r="Z159" s="63">
        <f t="shared" si="61"/>
        <v>0</v>
      </c>
      <c r="AA159" s="63">
        <f t="shared" si="61"/>
        <v>0</v>
      </c>
      <c r="AB159" s="63">
        <f t="shared" si="61"/>
        <v>0</v>
      </c>
      <c r="AC159" s="63">
        <f t="shared" si="61"/>
        <v>0</v>
      </c>
      <c r="AD159" s="63">
        <f t="shared" si="61"/>
        <v>0</v>
      </c>
      <c r="AE159" s="63">
        <f t="shared" si="61"/>
        <v>0</v>
      </c>
      <c r="AF159" s="63">
        <f>SUM(H159:AE159)</f>
        <v>4128300.9999999902</v>
      </c>
      <c r="AG159" s="58" t="str">
        <f>IF(ABS(AF159-F159)&lt;1,"ok","err")</f>
        <v>ok</v>
      </c>
    </row>
    <row r="160" spans="1:33">
      <c r="A160" s="60">
        <v>512</v>
      </c>
      <c r="B160" s="44" t="s">
        <v>226</v>
      </c>
      <c r="C160" s="44" t="s">
        <v>228</v>
      </c>
      <c r="D160" s="44" t="s">
        <v>930</v>
      </c>
      <c r="F160" s="79">
        <v>34257480.999999993</v>
      </c>
      <c r="H160" s="63">
        <f t="shared" si="60"/>
        <v>0</v>
      </c>
      <c r="I160" s="63">
        <f t="shared" si="60"/>
        <v>0</v>
      </c>
      <c r="J160" s="63">
        <f t="shared" si="60"/>
        <v>0</v>
      </c>
      <c r="K160" s="63">
        <f t="shared" si="60"/>
        <v>34257480.999999993</v>
      </c>
      <c r="L160" s="63">
        <f t="shared" si="60"/>
        <v>0</v>
      </c>
      <c r="M160" s="63">
        <f t="shared" si="60"/>
        <v>0</v>
      </c>
      <c r="N160" s="63">
        <f t="shared" si="60"/>
        <v>0</v>
      </c>
      <c r="O160" s="63">
        <f t="shared" si="60"/>
        <v>0</v>
      </c>
      <c r="P160" s="63">
        <f t="shared" si="60"/>
        <v>0</v>
      </c>
      <c r="Q160" s="63">
        <f t="shared" si="60"/>
        <v>0</v>
      </c>
      <c r="R160" s="63">
        <f t="shared" si="61"/>
        <v>0</v>
      </c>
      <c r="S160" s="63">
        <f t="shared" si="61"/>
        <v>0</v>
      </c>
      <c r="T160" s="63">
        <f t="shared" si="61"/>
        <v>0</v>
      </c>
      <c r="U160" s="63">
        <f t="shared" si="61"/>
        <v>0</v>
      </c>
      <c r="V160" s="63">
        <f t="shared" si="61"/>
        <v>0</v>
      </c>
      <c r="W160" s="63">
        <f t="shared" si="61"/>
        <v>0</v>
      </c>
      <c r="X160" s="63">
        <f t="shared" si="61"/>
        <v>0</v>
      </c>
      <c r="Y160" s="63">
        <f t="shared" si="61"/>
        <v>0</v>
      </c>
      <c r="Z160" s="63">
        <f t="shared" si="61"/>
        <v>0</v>
      </c>
      <c r="AA160" s="63">
        <f t="shared" si="61"/>
        <v>0</v>
      </c>
      <c r="AB160" s="63">
        <f t="shared" si="61"/>
        <v>0</v>
      </c>
      <c r="AC160" s="63">
        <f t="shared" si="61"/>
        <v>0</v>
      </c>
      <c r="AD160" s="63">
        <f t="shared" si="61"/>
        <v>0</v>
      </c>
      <c r="AE160" s="63">
        <f t="shared" si="61"/>
        <v>0</v>
      </c>
      <c r="AF160" s="63">
        <f>SUM(H160:AE160)</f>
        <v>34257480.999999993</v>
      </c>
      <c r="AG160" s="58" t="str">
        <f>IF(ABS(AF160-F160)&lt;1,"ok","err")</f>
        <v>ok</v>
      </c>
    </row>
    <row r="161" spans="1:33">
      <c r="A161" s="60">
        <v>513</v>
      </c>
      <c r="B161" s="44" t="s">
        <v>227</v>
      </c>
      <c r="C161" s="44" t="s">
        <v>229</v>
      </c>
      <c r="D161" s="44" t="s">
        <v>930</v>
      </c>
      <c r="F161" s="79">
        <v>15421014</v>
      </c>
      <c r="H161" s="63">
        <f t="shared" si="60"/>
        <v>0</v>
      </c>
      <c r="I161" s="63">
        <f t="shared" si="60"/>
        <v>0</v>
      </c>
      <c r="J161" s="63">
        <f t="shared" si="60"/>
        <v>0</v>
      </c>
      <c r="K161" s="63">
        <f t="shared" si="60"/>
        <v>15421014</v>
      </c>
      <c r="L161" s="63">
        <f t="shared" si="60"/>
        <v>0</v>
      </c>
      <c r="M161" s="63">
        <f t="shared" si="60"/>
        <v>0</v>
      </c>
      <c r="N161" s="63">
        <f t="shared" si="60"/>
        <v>0</v>
      </c>
      <c r="O161" s="63">
        <f t="shared" si="60"/>
        <v>0</v>
      </c>
      <c r="P161" s="63">
        <f t="shared" si="60"/>
        <v>0</v>
      </c>
      <c r="Q161" s="63">
        <f t="shared" si="60"/>
        <v>0</v>
      </c>
      <c r="R161" s="63">
        <f t="shared" si="61"/>
        <v>0</v>
      </c>
      <c r="S161" s="63">
        <f t="shared" si="61"/>
        <v>0</v>
      </c>
      <c r="T161" s="63">
        <f t="shared" si="61"/>
        <v>0</v>
      </c>
      <c r="U161" s="63">
        <f t="shared" si="61"/>
        <v>0</v>
      </c>
      <c r="V161" s="63">
        <f t="shared" si="61"/>
        <v>0</v>
      </c>
      <c r="W161" s="63">
        <f t="shared" si="61"/>
        <v>0</v>
      </c>
      <c r="X161" s="63">
        <f t="shared" si="61"/>
        <v>0</v>
      </c>
      <c r="Y161" s="63">
        <f t="shared" si="61"/>
        <v>0</v>
      </c>
      <c r="Z161" s="63">
        <f t="shared" si="61"/>
        <v>0</v>
      </c>
      <c r="AA161" s="63">
        <f t="shared" si="61"/>
        <v>0</v>
      </c>
      <c r="AB161" s="63">
        <f t="shared" si="61"/>
        <v>0</v>
      </c>
      <c r="AC161" s="63">
        <f t="shared" si="61"/>
        <v>0</v>
      </c>
      <c r="AD161" s="63">
        <f t="shared" si="61"/>
        <v>0</v>
      </c>
      <c r="AE161" s="63">
        <f t="shared" si="61"/>
        <v>0</v>
      </c>
      <c r="AF161" s="63">
        <f>SUM(H161:AE161)</f>
        <v>15421014</v>
      </c>
      <c r="AG161" s="58" t="str">
        <f>IF(ABS(AF161-F161)&lt;1,"ok","err")</f>
        <v>ok</v>
      </c>
    </row>
    <row r="162" spans="1:33">
      <c r="A162" s="60">
        <v>514</v>
      </c>
      <c r="B162" s="44" t="s">
        <v>230</v>
      </c>
      <c r="C162" s="44" t="s">
        <v>231</v>
      </c>
      <c r="D162" s="44" t="s">
        <v>930</v>
      </c>
      <c r="F162" s="79">
        <v>1072820</v>
      </c>
      <c r="H162" s="63">
        <f t="shared" si="60"/>
        <v>0</v>
      </c>
      <c r="I162" s="63">
        <f t="shared" si="60"/>
        <v>0</v>
      </c>
      <c r="J162" s="63">
        <f t="shared" si="60"/>
        <v>0</v>
      </c>
      <c r="K162" s="63">
        <f t="shared" si="60"/>
        <v>1072820</v>
      </c>
      <c r="L162" s="63">
        <f t="shared" si="60"/>
        <v>0</v>
      </c>
      <c r="M162" s="63">
        <f t="shared" si="60"/>
        <v>0</v>
      </c>
      <c r="N162" s="63">
        <f t="shared" si="60"/>
        <v>0</v>
      </c>
      <c r="O162" s="63">
        <f t="shared" si="60"/>
        <v>0</v>
      </c>
      <c r="P162" s="63">
        <f t="shared" si="60"/>
        <v>0</v>
      </c>
      <c r="Q162" s="63">
        <f t="shared" si="60"/>
        <v>0</v>
      </c>
      <c r="R162" s="63">
        <f t="shared" si="61"/>
        <v>0</v>
      </c>
      <c r="S162" s="63">
        <f t="shared" si="61"/>
        <v>0</v>
      </c>
      <c r="T162" s="63">
        <f t="shared" si="61"/>
        <v>0</v>
      </c>
      <c r="U162" s="63">
        <f t="shared" si="61"/>
        <v>0</v>
      </c>
      <c r="V162" s="63">
        <f t="shared" si="61"/>
        <v>0</v>
      </c>
      <c r="W162" s="63">
        <f t="shared" si="61"/>
        <v>0</v>
      </c>
      <c r="X162" s="63">
        <f t="shared" si="61"/>
        <v>0</v>
      </c>
      <c r="Y162" s="63">
        <f t="shared" si="61"/>
        <v>0</v>
      </c>
      <c r="Z162" s="63">
        <f t="shared" si="61"/>
        <v>0</v>
      </c>
      <c r="AA162" s="63">
        <f t="shared" si="61"/>
        <v>0</v>
      </c>
      <c r="AB162" s="63">
        <f t="shared" si="61"/>
        <v>0</v>
      </c>
      <c r="AC162" s="63">
        <f t="shared" si="61"/>
        <v>0</v>
      </c>
      <c r="AD162" s="63">
        <f t="shared" si="61"/>
        <v>0</v>
      </c>
      <c r="AE162" s="63">
        <f t="shared" si="61"/>
        <v>0</v>
      </c>
      <c r="AF162" s="63">
        <f>SUM(H162:AE162)</f>
        <v>1072820</v>
      </c>
      <c r="AG162" s="58" t="str">
        <f>IF(ABS(AF162-F162)&lt;1,"ok","err")</f>
        <v>ok</v>
      </c>
    </row>
    <row r="163" spans="1:33">
      <c r="A163" s="60"/>
      <c r="F163" s="76"/>
      <c r="W163" s="44"/>
      <c r="AF163" s="63"/>
      <c r="AG163" s="58"/>
    </row>
    <row r="164" spans="1:33">
      <c r="A164" s="60"/>
      <c r="B164" s="44" t="s">
        <v>232</v>
      </c>
      <c r="F164" s="76">
        <f>SUM(F158:F163)</f>
        <v>59231460.999999985</v>
      </c>
      <c r="H164" s="62">
        <f t="shared" ref="H164:M164" si="62">SUM(H158:H163)</f>
        <v>1419315.2710229633</v>
      </c>
      <c r="I164" s="62">
        <f t="shared" si="62"/>
        <v>1486822.5809953078</v>
      </c>
      <c r="J164" s="62">
        <f t="shared" si="62"/>
        <v>1222163.1479817191</v>
      </c>
      <c r="K164" s="62">
        <f t="shared" si="62"/>
        <v>55103159.999999993</v>
      </c>
      <c r="L164" s="62">
        <f t="shared" si="62"/>
        <v>0</v>
      </c>
      <c r="M164" s="62">
        <f t="shared" si="62"/>
        <v>0</v>
      </c>
      <c r="N164" s="62">
        <f>SUM(N158:N163)</f>
        <v>0</v>
      </c>
      <c r="O164" s="62">
        <f>SUM(O158:O163)</f>
        <v>0</v>
      </c>
      <c r="P164" s="62">
        <f>SUM(P158:P163)</f>
        <v>0</v>
      </c>
      <c r="Q164" s="62">
        <f t="shared" ref="Q164:AB164" si="63">SUM(Q158:Q163)</f>
        <v>0</v>
      </c>
      <c r="R164" s="62">
        <f t="shared" si="63"/>
        <v>0</v>
      </c>
      <c r="S164" s="62">
        <f t="shared" si="63"/>
        <v>0</v>
      </c>
      <c r="T164" s="62">
        <f t="shared" si="63"/>
        <v>0</v>
      </c>
      <c r="U164" s="62">
        <f t="shared" si="63"/>
        <v>0</v>
      </c>
      <c r="V164" s="62">
        <f t="shared" si="63"/>
        <v>0</v>
      </c>
      <c r="W164" s="62">
        <f t="shared" si="63"/>
        <v>0</v>
      </c>
      <c r="X164" s="62">
        <f t="shared" si="63"/>
        <v>0</v>
      </c>
      <c r="Y164" s="62">
        <f t="shared" si="63"/>
        <v>0</v>
      </c>
      <c r="Z164" s="62">
        <f t="shared" si="63"/>
        <v>0</v>
      </c>
      <c r="AA164" s="62">
        <f t="shared" si="63"/>
        <v>0</v>
      </c>
      <c r="AB164" s="62">
        <f t="shared" si="63"/>
        <v>0</v>
      </c>
      <c r="AC164" s="62">
        <f>SUM(AC158:AC163)</f>
        <v>0</v>
      </c>
      <c r="AD164" s="62">
        <f>SUM(AD158:AD163)</f>
        <v>0</v>
      </c>
      <c r="AE164" s="62">
        <f>SUM(AE158:AE163)</f>
        <v>0</v>
      </c>
      <c r="AF164" s="63">
        <f>SUM(H164:AE164)</f>
        <v>59231460.999999985</v>
      </c>
      <c r="AG164" s="58" t="str">
        <f>IF(ABS(AF164-F164)&lt;1,"ok","err")</f>
        <v>ok</v>
      </c>
    </row>
    <row r="165" spans="1:33">
      <c r="A165" s="60"/>
      <c r="F165" s="76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3"/>
      <c r="AG165" s="58"/>
    </row>
    <row r="166" spans="1:33">
      <c r="A166" s="60"/>
      <c r="B166" s="44" t="s">
        <v>233</v>
      </c>
      <c r="F166" s="76">
        <f>F155+F164</f>
        <v>389156658.71166354</v>
      </c>
      <c r="H166" s="62">
        <f t="shared" ref="H166:M166" si="64">H155+H164</f>
        <v>13539403.816495307</v>
      </c>
      <c r="I166" s="62">
        <f t="shared" si="64"/>
        <v>14183382.465172941</v>
      </c>
      <c r="J166" s="62">
        <f t="shared" si="64"/>
        <v>11658692.559713807</v>
      </c>
      <c r="K166" s="62">
        <f t="shared" si="64"/>
        <v>349775179.87028146</v>
      </c>
      <c r="L166" s="62">
        <f t="shared" si="64"/>
        <v>0</v>
      </c>
      <c r="M166" s="62">
        <f t="shared" si="64"/>
        <v>0</v>
      </c>
      <c r="N166" s="62">
        <f>N155+N164</f>
        <v>0</v>
      </c>
      <c r="O166" s="62">
        <f>O155+O164</f>
        <v>0</v>
      </c>
      <c r="P166" s="62">
        <f>P155+P164</f>
        <v>0</v>
      </c>
      <c r="Q166" s="62">
        <f t="shared" ref="Q166:AB166" si="65">Q155+Q164</f>
        <v>0</v>
      </c>
      <c r="R166" s="62">
        <f t="shared" si="65"/>
        <v>0</v>
      </c>
      <c r="S166" s="62">
        <f t="shared" si="65"/>
        <v>0</v>
      </c>
      <c r="T166" s="62">
        <f t="shared" si="65"/>
        <v>0</v>
      </c>
      <c r="U166" s="62">
        <f t="shared" si="65"/>
        <v>0</v>
      </c>
      <c r="V166" s="62">
        <f t="shared" si="65"/>
        <v>0</v>
      </c>
      <c r="W166" s="62">
        <f t="shared" si="65"/>
        <v>0</v>
      </c>
      <c r="X166" s="62">
        <f t="shared" si="65"/>
        <v>0</v>
      </c>
      <c r="Y166" s="62">
        <f t="shared" si="65"/>
        <v>0</v>
      </c>
      <c r="Z166" s="62">
        <f t="shared" si="65"/>
        <v>0</v>
      </c>
      <c r="AA166" s="62">
        <f t="shared" si="65"/>
        <v>0</v>
      </c>
      <c r="AB166" s="62">
        <f t="shared" si="65"/>
        <v>0</v>
      </c>
      <c r="AC166" s="62">
        <f>AC155+AC164</f>
        <v>0</v>
      </c>
      <c r="AD166" s="62">
        <f>AD155+AD164</f>
        <v>0</v>
      </c>
      <c r="AE166" s="62">
        <f>AE155+AE164</f>
        <v>0</v>
      </c>
      <c r="AF166" s="63">
        <f>SUM(H166:AE166)</f>
        <v>389156658.71166348</v>
      </c>
      <c r="AG166" s="58" t="str">
        <f>IF(ABS(AF166-F166)&lt;1,"ok","err")</f>
        <v>ok</v>
      </c>
    </row>
    <row r="167" spans="1:33">
      <c r="A167" s="60"/>
      <c r="F167" s="76"/>
      <c r="W167" s="44"/>
      <c r="AG167" s="58"/>
    </row>
    <row r="168" spans="1:33" ht="15">
      <c r="A168" s="65" t="s">
        <v>320</v>
      </c>
      <c r="W168" s="44"/>
      <c r="AG168" s="58"/>
    </row>
    <row r="169" spans="1:33">
      <c r="A169" s="70">
        <v>535</v>
      </c>
      <c r="B169" s="44" t="s">
        <v>209</v>
      </c>
      <c r="C169" s="44" t="s">
        <v>330</v>
      </c>
      <c r="D169" s="44" t="s">
        <v>652</v>
      </c>
      <c r="F169" s="76">
        <v>121406</v>
      </c>
      <c r="H169" s="63">
        <f t="shared" ref="H169:Q174" si="66">IF(VLOOKUP($D169,$C$6:$AE$653,H$2,)=0,0,((VLOOKUP($D169,$C$6:$AE$653,H$2,)/VLOOKUP($D169,$C$6:$AE$653,4,))*$F169))</f>
        <v>41739.541228659029</v>
      </c>
      <c r="I169" s="63">
        <f t="shared" si="66"/>
        <v>43724.811313011523</v>
      </c>
      <c r="J169" s="63">
        <f t="shared" si="66"/>
        <v>35941.647458329455</v>
      </c>
      <c r="K169" s="63">
        <f t="shared" si="66"/>
        <v>0</v>
      </c>
      <c r="L169" s="63">
        <f t="shared" si="66"/>
        <v>0</v>
      </c>
      <c r="M169" s="63">
        <f t="shared" si="66"/>
        <v>0</v>
      </c>
      <c r="N169" s="63">
        <f t="shared" si="66"/>
        <v>0</v>
      </c>
      <c r="O169" s="63">
        <f t="shared" si="66"/>
        <v>0</v>
      </c>
      <c r="P169" s="63">
        <f t="shared" si="66"/>
        <v>0</v>
      </c>
      <c r="Q169" s="63">
        <f t="shared" si="66"/>
        <v>0</v>
      </c>
      <c r="R169" s="63">
        <f t="shared" ref="R169:AE174" si="67">IF(VLOOKUP($D169,$C$6:$AE$653,R$2,)=0,0,((VLOOKUP($D169,$C$6:$AE$653,R$2,)/VLOOKUP($D169,$C$6:$AE$653,4,))*$F169))</f>
        <v>0</v>
      </c>
      <c r="S169" s="63">
        <f t="shared" si="67"/>
        <v>0</v>
      </c>
      <c r="T169" s="63">
        <f t="shared" si="67"/>
        <v>0</v>
      </c>
      <c r="U169" s="63">
        <f t="shared" si="67"/>
        <v>0</v>
      </c>
      <c r="V169" s="63">
        <f t="shared" si="67"/>
        <v>0</v>
      </c>
      <c r="W169" s="63">
        <f t="shared" si="67"/>
        <v>0</v>
      </c>
      <c r="X169" s="63">
        <f t="shared" si="67"/>
        <v>0</v>
      </c>
      <c r="Y169" s="63">
        <f t="shared" si="67"/>
        <v>0</v>
      </c>
      <c r="Z169" s="63">
        <f t="shared" si="67"/>
        <v>0</v>
      </c>
      <c r="AA169" s="63">
        <f t="shared" si="67"/>
        <v>0</v>
      </c>
      <c r="AB169" s="63">
        <f t="shared" si="67"/>
        <v>0</v>
      </c>
      <c r="AC169" s="63">
        <f t="shared" si="67"/>
        <v>0</v>
      </c>
      <c r="AD169" s="63">
        <f t="shared" si="67"/>
        <v>0</v>
      </c>
      <c r="AE169" s="63">
        <f t="shared" si="67"/>
        <v>0</v>
      </c>
      <c r="AF169" s="63">
        <f t="shared" ref="AF169:AF174" si="68">SUM(H169:AE169)</f>
        <v>121406</v>
      </c>
      <c r="AG169" s="58" t="str">
        <f t="shared" ref="AG169:AG174" si="69">IF(ABS(AF169-F169)&lt;1,"ok","err")</f>
        <v>ok</v>
      </c>
    </row>
    <row r="170" spans="1:33">
      <c r="A170" s="276">
        <v>536</v>
      </c>
      <c r="B170" s="44" t="s">
        <v>327</v>
      </c>
      <c r="C170" s="44" t="s">
        <v>331</v>
      </c>
      <c r="D170" s="44" t="s">
        <v>646</v>
      </c>
      <c r="F170" s="79">
        <v>40614</v>
      </c>
      <c r="H170" s="63">
        <f t="shared" si="66"/>
        <v>13963.146199205621</v>
      </c>
      <c r="I170" s="63">
        <f t="shared" si="66"/>
        <v>14627.279431549099</v>
      </c>
      <c r="J170" s="63">
        <f t="shared" si="66"/>
        <v>12023.57436924528</v>
      </c>
      <c r="K170" s="63">
        <f t="shared" si="66"/>
        <v>0</v>
      </c>
      <c r="L170" s="63">
        <f t="shared" si="66"/>
        <v>0</v>
      </c>
      <c r="M170" s="63">
        <f t="shared" si="66"/>
        <v>0</v>
      </c>
      <c r="N170" s="63">
        <f t="shared" si="66"/>
        <v>0</v>
      </c>
      <c r="O170" s="63">
        <f t="shared" si="66"/>
        <v>0</v>
      </c>
      <c r="P170" s="63">
        <f t="shared" si="66"/>
        <v>0</v>
      </c>
      <c r="Q170" s="63">
        <f t="shared" si="66"/>
        <v>0</v>
      </c>
      <c r="R170" s="63">
        <f t="shared" si="67"/>
        <v>0</v>
      </c>
      <c r="S170" s="63">
        <f t="shared" si="67"/>
        <v>0</v>
      </c>
      <c r="T170" s="63">
        <f t="shared" si="67"/>
        <v>0</v>
      </c>
      <c r="U170" s="63">
        <f t="shared" si="67"/>
        <v>0</v>
      </c>
      <c r="V170" s="63">
        <f t="shared" si="67"/>
        <v>0</v>
      </c>
      <c r="W170" s="63">
        <f t="shared" si="67"/>
        <v>0</v>
      </c>
      <c r="X170" s="63">
        <f t="shared" si="67"/>
        <v>0</v>
      </c>
      <c r="Y170" s="63">
        <f t="shared" si="67"/>
        <v>0</v>
      </c>
      <c r="Z170" s="63">
        <f t="shared" si="67"/>
        <v>0</v>
      </c>
      <c r="AA170" s="63">
        <f t="shared" si="67"/>
        <v>0</v>
      </c>
      <c r="AB170" s="63">
        <f t="shared" si="67"/>
        <v>0</v>
      </c>
      <c r="AC170" s="63">
        <f t="shared" si="67"/>
        <v>0</v>
      </c>
      <c r="AD170" s="63">
        <f t="shared" si="67"/>
        <v>0</v>
      </c>
      <c r="AE170" s="63">
        <f t="shared" si="67"/>
        <v>0</v>
      </c>
      <c r="AF170" s="63">
        <f t="shared" si="68"/>
        <v>40614</v>
      </c>
      <c r="AG170" s="58" t="str">
        <f t="shared" si="69"/>
        <v>ok</v>
      </c>
    </row>
    <row r="171" spans="1:33">
      <c r="A171" s="60">
        <v>537</v>
      </c>
      <c r="B171" s="44" t="s">
        <v>326</v>
      </c>
      <c r="C171" s="44" t="s">
        <v>332</v>
      </c>
      <c r="D171" s="44" t="s">
        <v>646</v>
      </c>
      <c r="F171" s="79">
        <v>0</v>
      </c>
      <c r="H171" s="63">
        <f t="shared" si="66"/>
        <v>0</v>
      </c>
      <c r="I171" s="63">
        <f t="shared" si="66"/>
        <v>0</v>
      </c>
      <c r="J171" s="63">
        <f t="shared" si="66"/>
        <v>0</v>
      </c>
      <c r="K171" s="63">
        <f t="shared" si="66"/>
        <v>0</v>
      </c>
      <c r="L171" s="63">
        <f t="shared" si="66"/>
        <v>0</v>
      </c>
      <c r="M171" s="63">
        <f t="shared" si="66"/>
        <v>0</v>
      </c>
      <c r="N171" s="63">
        <f t="shared" si="66"/>
        <v>0</v>
      </c>
      <c r="O171" s="63">
        <f t="shared" si="66"/>
        <v>0</v>
      </c>
      <c r="P171" s="63">
        <f t="shared" si="66"/>
        <v>0</v>
      </c>
      <c r="Q171" s="63">
        <f t="shared" si="66"/>
        <v>0</v>
      </c>
      <c r="R171" s="63">
        <f t="shared" si="67"/>
        <v>0</v>
      </c>
      <c r="S171" s="63">
        <f t="shared" si="67"/>
        <v>0</v>
      </c>
      <c r="T171" s="63">
        <f t="shared" si="67"/>
        <v>0</v>
      </c>
      <c r="U171" s="63">
        <f t="shared" si="67"/>
        <v>0</v>
      </c>
      <c r="V171" s="63">
        <f t="shared" si="67"/>
        <v>0</v>
      </c>
      <c r="W171" s="63">
        <f t="shared" si="67"/>
        <v>0</v>
      </c>
      <c r="X171" s="63">
        <f t="shared" si="67"/>
        <v>0</v>
      </c>
      <c r="Y171" s="63">
        <f t="shared" si="67"/>
        <v>0</v>
      </c>
      <c r="Z171" s="63">
        <f t="shared" si="67"/>
        <v>0</v>
      </c>
      <c r="AA171" s="63">
        <f t="shared" si="67"/>
        <v>0</v>
      </c>
      <c r="AB171" s="63">
        <f t="shared" si="67"/>
        <v>0</v>
      </c>
      <c r="AC171" s="63">
        <f t="shared" si="67"/>
        <v>0</v>
      </c>
      <c r="AD171" s="63">
        <f t="shared" si="67"/>
        <v>0</v>
      </c>
      <c r="AE171" s="63">
        <f t="shared" si="67"/>
        <v>0</v>
      </c>
      <c r="AF171" s="63">
        <f t="shared" si="68"/>
        <v>0</v>
      </c>
      <c r="AG171" s="58" t="str">
        <f t="shared" si="69"/>
        <v>ok</v>
      </c>
    </row>
    <row r="172" spans="1:33">
      <c r="A172" s="275">
        <v>538</v>
      </c>
      <c r="B172" s="44" t="s">
        <v>215</v>
      </c>
      <c r="C172" s="44" t="s">
        <v>333</v>
      </c>
      <c r="D172" s="44" t="s">
        <v>646</v>
      </c>
      <c r="F172" s="79">
        <v>180161</v>
      </c>
      <c r="H172" s="63">
        <f t="shared" si="66"/>
        <v>61939.586900947557</v>
      </c>
      <c r="I172" s="63">
        <f t="shared" si="66"/>
        <v>64885.63770294276</v>
      </c>
      <c r="J172" s="63">
        <f t="shared" si="66"/>
        <v>53335.775396109682</v>
      </c>
      <c r="K172" s="63">
        <f t="shared" si="66"/>
        <v>0</v>
      </c>
      <c r="L172" s="63">
        <f t="shared" si="66"/>
        <v>0</v>
      </c>
      <c r="M172" s="63">
        <f t="shared" si="66"/>
        <v>0</v>
      </c>
      <c r="N172" s="63">
        <f t="shared" si="66"/>
        <v>0</v>
      </c>
      <c r="O172" s="63">
        <f t="shared" si="66"/>
        <v>0</v>
      </c>
      <c r="P172" s="63">
        <f t="shared" si="66"/>
        <v>0</v>
      </c>
      <c r="Q172" s="63">
        <f t="shared" si="66"/>
        <v>0</v>
      </c>
      <c r="R172" s="63">
        <f t="shared" si="67"/>
        <v>0</v>
      </c>
      <c r="S172" s="63">
        <f t="shared" si="67"/>
        <v>0</v>
      </c>
      <c r="T172" s="63">
        <f t="shared" si="67"/>
        <v>0</v>
      </c>
      <c r="U172" s="63">
        <f t="shared" si="67"/>
        <v>0</v>
      </c>
      <c r="V172" s="63">
        <f t="shared" si="67"/>
        <v>0</v>
      </c>
      <c r="W172" s="63">
        <f t="shared" si="67"/>
        <v>0</v>
      </c>
      <c r="X172" s="63">
        <f t="shared" si="67"/>
        <v>0</v>
      </c>
      <c r="Y172" s="63">
        <f t="shared" si="67"/>
        <v>0</v>
      </c>
      <c r="Z172" s="63">
        <f t="shared" si="67"/>
        <v>0</v>
      </c>
      <c r="AA172" s="63">
        <f t="shared" si="67"/>
        <v>0</v>
      </c>
      <c r="AB172" s="63">
        <f t="shared" si="67"/>
        <v>0</v>
      </c>
      <c r="AC172" s="63">
        <f t="shared" si="67"/>
        <v>0</v>
      </c>
      <c r="AD172" s="63">
        <f t="shared" si="67"/>
        <v>0</v>
      </c>
      <c r="AE172" s="63">
        <f t="shared" si="67"/>
        <v>0</v>
      </c>
      <c r="AF172" s="63">
        <f t="shared" si="68"/>
        <v>180161</v>
      </c>
      <c r="AG172" s="58" t="str">
        <f t="shared" si="69"/>
        <v>ok</v>
      </c>
    </row>
    <row r="173" spans="1:33">
      <c r="A173" s="60">
        <v>539</v>
      </c>
      <c r="B173" s="44" t="s">
        <v>328</v>
      </c>
      <c r="C173" s="44" t="s">
        <v>334</v>
      </c>
      <c r="D173" s="44" t="s">
        <v>646</v>
      </c>
      <c r="F173" s="79">
        <v>348792</v>
      </c>
      <c r="H173" s="63">
        <f t="shared" si="66"/>
        <v>119915.14475583118</v>
      </c>
      <c r="I173" s="63">
        <f t="shared" si="66"/>
        <v>125618.70407959998</v>
      </c>
      <c r="J173" s="63">
        <f t="shared" si="66"/>
        <v>103258.15116456886</v>
      </c>
      <c r="K173" s="63">
        <f t="shared" si="66"/>
        <v>0</v>
      </c>
      <c r="L173" s="63">
        <f t="shared" si="66"/>
        <v>0</v>
      </c>
      <c r="M173" s="63">
        <f t="shared" si="66"/>
        <v>0</v>
      </c>
      <c r="N173" s="63">
        <f t="shared" si="66"/>
        <v>0</v>
      </c>
      <c r="O173" s="63">
        <f t="shared" si="66"/>
        <v>0</v>
      </c>
      <c r="P173" s="63">
        <f t="shared" si="66"/>
        <v>0</v>
      </c>
      <c r="Q173" s="63">
        <f t="shared" si="66"/>
        <v>0</v>
      </c>
      <c r="R173" s="63">
        <f t="shared" si="67"/>
        <v>0</v>
      </c>
      <c r="S173" s="63">
        <f t="shared" si="67"/>
        <v>0</v>
      </c>
      <c r="T173" s="63">
        <f t="shared" si="67"/>
        <v>0</v>
      </c>
      <c r="U173" s="63">
        <f t="shared" si="67"/>
        <v>0</v>
      </c>
      <c r="V173" s="63">
        <f t="shared" si="67"/>
        <v>0</v>
      </c>
      <c r="W173" s="63">
        <f t="shared" si="67"/>
        <v>0</v>
      </c>
      <c r="X173" s="63">
        <f t="shared" si="67"/>
        <v>0</v>
      </c>
      <c r="Y173" s="63">
        <f t="shared" si="67"/>
        <v>0</v>
      </c>
      <c r="Z173" s="63">
        <f t="shared" si="67"/>
        <v>0</v>
      </c>
      <c r="AA173" s="63">
        <f t="shared" si="67"/>
        <v>0</v>
      </c>
      <c r="AB173" s="63">
        <f t="shared" si="67"/>
        <v>0</v>
      </c>
      <c r="AC173" s="63">
        <f t="shared" si="67"/>
        <v>0</v>
      </c>
      <c r="AD173" s="63">
        <f t="shared" si="67"/>
        <v>0</v>
      </c>
      <c r="AE173" s="63">
        <f t="shared" si="67"/>
        <v>0</v>
      </c>
      <c r="AF173" s="63">
        <f t="shared" si="68"/>
        <v>348792</v>
      </c>
      <c r="AG173" s="58" t="str">
        <f t="shared" si="69"/>
        <v>ok</v>
      </c>
    </row>
    <row r="174" spans="1:33">
      <c r="A174" s="275">
        <v>540</v>
      </c>
      <c r="B174" s="44" t="s">
        <v>1004</v>
      </c>
      <c r="D174" s="44" t="s">
        <v>646</v>
      </c>
      <c r="F174" s="79">
        <v>545400</v>
      </c>
      <c r="H174" s="63">
        <f t="shared" si="66"/>
        <v>187509.23171927774</v>
      </c>
      <c r="I174" s="63">
        <f t="shared" si="66"/>
        <v>196427.78849576201</v>
      </c>
      <c r="J174" s="63">
        <f t="shared" si="66"/>
        <v>161462.97978496025</v>
      </c>
      <c r="K174" s="63">
        <f t="shared" si="66"/>
        <v>0</v>
      </c>
      <c r="L174" s="63">
        <f t="shared" si="66"/>
        <v>0</v>
      </c>
      <c r="M174" s="63">
        <f t="shared" si="66"/>
        <v>0</v>
      </c>
      <c r="N174" s="63">
        <f t="shared" si="66"/>
        <v>0</v>
      </c>
      <c r="O174" s="63">
        <f t="shared" si="66"/>
        <v>0</v>
      </c>
      <c r="P174" s="63">
        <f t="shared" si="66"/>
        <v>0</v>
      </c>
      <c r="Q174" s="63">
        <f t="shared" si="66"/>
        <v>0</v>
      </c>
      <c r="R174" s="63">
        <f t="shared" si="67"/>
        <v>0</v>
      </c>
      <c r="S174" s="63">
        <f t="shared" si="67"/>
        <v>0</v>
      </c>
      <c r="T174" s="63">
        <f t="shared" si="67"/>
        <v>0</v>
      </c>
      <c r="U174" s="63">
        <f t="shared" si="67"/>
        <v>0</v>
      </c>
      <c r="V174" s="63">
        <f t="shared" si="67"/>
        <v>0</v>
      </c>
      <c r="W174" s="63">
        <f t="shared" si="67"/>
        <v>0</v>
      </c>
      <c r="X174" s="63">
        <f t="shared" si="67"/>
        <v>0</v>
      </c>
      <c r="Y174" s="63">
        <f t="shared" si="67"/>
        <v>0</v>
      </c>
      <c r="Z174" s="63">
        <f t="shared" si="67"/>
        <v>0</v>
      </c>
      <c r="AA174" s="63">
        <f t="shared" si="67"/>
        <v>0</v>
      </c>
      <c r="AB174" s="63">
        <f t="shared" si="67"/>
        <v>0</v>
      </c>
      <c r="AC174" s="63">
        <f t="shared" si="67"/>
        <v>0</v>
      </c>
      <c r="AD174" s="63">
        <f t="shared" si="67"/>
        <v>0</v>
      </c>
      <c r="AE174" s="63">
        <f t="shared" si="67"/>
        <v>0</v>
      </c>
      <c r="AF174" s="63">
        <f t="shared" si="68"/>
        <v>545400</v>
      </c>
      <c r="AG174" s="58" t="str">
        <f t="shared" si="69"/>
        <v>ok</v>
      </c>
    </row>
    <row r="175" spans="1:33">
      <c r="A175" s="60"/>
      <c r="F175" s="79"/>
      <c r="W175" s="44"/>
      <c r="AF175" s="63"/>
      <c r="AG175" s="58"/>
    </row>
    <row r="176" spans="1:33">
      <c r="A176" s="60"/>
      <c r="B176" s="44" t="s">
        <v>323</v>
      </c>
      <c r="F176" s="76">
        <f>SUM(F169:F175)</f>
        <v>1236373</v>
      </c>
      <c r="H176" s="62">
        <f t="shared" ref="H176:M176" si="70">SUM(H169:H175)</f>
        <v>425066.6508039211</v>
      </c>
      <c r="I176" s="62">
        <f t="shared" si="70"/>
        <v>445284.22102286539</v>
      </c>
      <c r="J176" s="62">
        <f t="shared" si="70"/>
        <v>366022.12817321357</v>
      </c>
      <c r="K176" s="62">
        <f t="shared" si="70"/>
        <v>0</v>
      </c>
      <c r="L176" s="62">
        <f t="shared" si="70"/>
        <v>0</v>
      </c>
      <c r="M176" s="62">
        <f t="shared" si="70"/>
        <v>0</v>
      </c>
      <c r="N176" s="62">
        <f>SUM(N169:N175)</f>
        <v>0</v>
      </c>
      <c r="O176" s="62">
        <f>SUM(O169:O175)</f>
        <v>0</v>
      </c>
      <c r="P176" s="62">
        <f>SUM(P169:P175)</f>
        <v>0</v>
      </c>
      <c r="Q176" s="62">
        <f t="shared" ref="Q176:AB176" si="71">SUM(Q169:Q175)</f>
        <v>0</v>
      </c>
      <c r="R176" s="62">
        <f t="shared" si="71"/>
        <v>0</v>
      </c>
      <c r="S176" s="62">
        <f t="shared" si="71"/>
        <v>0</v>
      </c>
      <c r="T176" s="62">
        <f t="shared" si="71"/>
        <v>0</v>
      </c>
      <c r="U176" s="62">
        <f t="shared" si="71"/>
        <v>0</v>
      </c>
      <c r="V176" s="62">
        <f t="shared" si="71"/>
        <v>0</v>
      </c>
      <c r="W176" s="62">
        <f t="shared" si="71"/>
        <v>0</v>
      </c>
      <c r="X176" s="62">
        <f t="shared" si="71"/>
        <v>0</v>
      </c>
      <c r="Y176" s="62">
        <f t="shared" si="71"/>
        <v>0</v>
      </c>
      <c r="Z176" s="62">
        <f t="shared" si="71"/>
        <v>0</v>
      </c>
      <c r="AA176" s="62">
        <f t="shared" si="71"/>
        <v>0</v>
      </c>
      <c r="AB176" s="62">
        <f t="shared" si="71"/>
        <v>0</v>
      </c>
      <c r="AC176" s="62">
        <f>SUM(AC169:AC175)</f>
        <v>0</v>
      </c>
      <c r="AD176" s="62">
        <f>SUM(AD169:AD175)</f>
        <v>0</v>
      </c>
      <c r="AE176" s="62">
        <f>SUM(AE169:AE175)</f>
        <v>0</v>
      </c>
      <c r="AF176" s="63">
        <f>SUM(H176:AE176)</f>
        <v>1236373</v>
      </c>
      <c r="AG176" s="58" t="str">
        <f>IF(ABS(AF176-F176)&lt;1,"ok","err")</f>
        <v>ok</v>
      </c>
    </row>
    <row r="177" spans="1:33">
      <c r="A177" s="60"/>
      <c r="F177" s="76"/>
      <c r="W177" s="44"/>
      <c r="AG177" s="58"/>
    </row>
    <row r="178" spans="1:33" ht="15">
      <c r="A178" s="65" t="s">
        <v>321</v>
      </c>
      <c r="F178" s="76"/>
      <c r="W178" s="44"/>
      <c r="AG178" s="58"/>
    </row>
    <row r="179" spans="1:33">
      <c r="A179" s="70">
        <v>541</v>
      </c>
      <c r="B179" s="44" t="s">
        <v>224</v>
      </c>
      <c r="C179" s="44" t="s">
        <v>335</v>
      </c>
      <c r="D179" s="44" t="s">
        <v>653</v>
      </c>
      <c r="F179" s="76">
        <v>0</v>
      </c>
      <c r="H179" s="63">
        <f t="shared" ref="H179:Q183" si="72">IF(VLOOKUP($D179,$C$6:$AE$653,H$2,)=0,0,((VLOOKUP($D179,$C$6:$AE$653,H$2,)/VLOOKUP($D179,$C$6:$AE$653,4,))*$F179))</f>
        <v>0</v>
      </c>
      <c r="I179" s="63">
        <f t="shared" si="72"/>
        <v>0</v>
      </c>
      <c r="J179" s="63">
        <f t="shared" si="72"/>
        <v>0</v>
      </c>
      <c r="K179" s="63">
        <f t="shared" si="72"/>
        <v>0</v>
      </c>
      <c r="L179" s="63">
        <f t="shared" si="72"/>
        <v>0</v>
      </c>
      <c r="M179" s="63">
        <f t="shared" si="72"/>
        <v>0</v>
      </c>
      <c r="N179" s="63">
        <f t="shared" si="72"/>
        <v>0</v>
      </c>
      <c r="O179" s="63">
        <f t="shared" si="72"/>
        <v>0</v>
      </c>
      <c r="P179" s="63">
        <f t="shared" si="72"/>
        <v>0</v>
      </c>
      <c r="Q179" s="63">
        <f t="shared" si="72"/>
        <v>0</v>
      </c>
      <c r="R179" s="63">
        <f t="shared" ref="R179:AE183" si="73">IF(VLOOKUP($D179,$C$6:$AE$653,R$2,)=0,0,((VLOOKUP($D179,$C$6:$AE$653,R$2,)/VLOOKUP($D179,$C$6:$AE$653,4,))*$F179))</f>
        <v>0</v>
      </c>
      <c r="S179" s="63">
        <f t="shared" si="73"/>
        <v>0</v>
      </c>
      <c r="T179" s="63">
        <f t="shared" si="73"/>
        <v>0</v>
      </c>
      <c r="U179" s="63">
        <f t="shared" si="73"/>
        <v>0</v>
      </c>
      <c r="V179" s="63">
        <f t="shared" si="73"/>
        <v>0</v>
      </c>
      <c r="W179" s="63">
        <f t="shared" si="73"/>
        <v>0</v>
      </c>
      <c r="X179" s="63">
        <f t="shared" si="73"/>
        <v>0</v>
      </c>
      <c r="Y179" s="63">
        <f t="shared" si="73"/>
        <v>0</v>
      </c>
      <c r="Z179" s="63">
        <f t="shared" si="73"/>
        <v>0</v>
      </c>
      <c r="AA179" s="63">
        <f t="shared" si="73"/>
        <v>0</v>
      </c>
      <c r="AB179" s="63">
        <f t="shared" si="73"/>
        <v>0</v>
      </c>
      <c r="AC179" s="63">
        <f t="shared" si="73"/>
        <v>0</v>
      </c>
      <c r="AD179" s="63">
        <f t="shared" si="73"/>
        <v>0</v>
      </c>
      <c r="AE179" s="63">
        <f t="shared" si="73"/>
        <v>0</v>
      </c>
      <c r="AF179" s="63">
        <f>SUM(H179:AE179)</f>
        <v>0</v>
      </c>
      <c r="AG179" s="58" t="str">
        <f>IF(ABS(AF179-F179)&lt;1,"ok","err")</f>
        <v>ok</v>
      </c>
    </row>
    <row r="180" spans="1:33">
      <c r="A180" s="70">
        <v>542</v>
      </c>
      <c r="B180" s="44" t="s">
        <v>223</v>
      </c>
      <c r="C180" s="44" t="s">
        <v>336</v>
      </c>
      <c r="D180" s="44" t="s">
        <v>646</v>
      </c>
      <c r="F180" s="79">
        <v>244992</v>
      </c>
      <c r="H180" s="63">
        <f t="shared" si="72"/>
        <v>84228.569302107251</v>
      </c>
      <c r="I180" s="63">
        <f t="shared" si="72"/>
        <v>88234.757534201926</v>
      </c>
      <c r="J180" s="63">
        <f t="shared" si="72"/>
        <v>72528.673163690837</v>
      </c>
      <c r="K180" s="63">
        <f t="shared" si="72"/>
        <v>0</v>
      </c>
      <c r="L180" s="63">
        <f t="shared" si="72"/>
        <v>0</v>
      </c>
      <c r="M180" s="63">
        <f t="shared" si="72"/>
        <v>0</v>
      </c>
      <c r="N180" s="63">
        <f t="shared" si="72"/>
        <v>0</v>
      </c>
      <c r="O180" s="63">
        <f t="shared" si="72"/>
        <v>0</v>
      </c>
      <c r="P180" s="63">
        <f t="shared" si="72"/>
        <v>0</v>
      </c>
      <c r="Q180" s="63">
        <f t="shared" si="72"/>
        <v>0</v>
      </c>
      <c r="R180" s="63">
        <f t="shared" si="73"/>
        <v>0</v>
      </c>
      <c r="S180" s="63">
        <f t="shared" si="73"/>
        <v>0</v>
      </c>
      <c r="T180" s="63">
        <f t="shared" si="73"/>
        <v>0</v>
      </c>
      <c r="U180" s="63">
        <f t="shared" si="73"/>
        <v>0</v>
      </c>
      <c r="V180" s="63">
        <f t="shared" si="73"/>
        <v>0</v>
      </c>
      <c r="W180" s="63">
        <f t="shared" si="73"/>
        <v>0</v>
      </c>
      <c r="X180" s="63">
        <f t="shared" si="73"/>
        <v>0</v>
      </c>
      <c r="Y180" s="63">
        <f t="shared" si="73"/>
        <v>0</v>
      </c>
      <c r="Z180" s="63">
        <f t="shared" si="73"/>
        <v>0</v>
      </c>
      <c r="AA180" s="63">
        <f t="shared" si="73"/>
        <v>0</v>
      </c>
      <c r="AB180" s="63">
        <f t="shared" si="73"/>
        <v>0</v>
      </c>
      <c r="AC180" s="63">
        <f t="shared" si="73"/>
        <v>0</v>
      </c>
      <c r="AD180" s="63">
        <f t="shared" si="73"/>
        <v>0</v>
      </c>
      <c r="AE180" s="63">
        <f t="shared" si="73"/>
        <v>0</v>
      </c>
      <c r="AF180" s="63">
        <f>SUM(H180:AE180)</f>
        <v>244992</v>
      </c>
      <c r="AG180" s="58" t="str">
        <f>IF(ABS(AF180-F180)&lt;1,"ok","err")</f>
        <v>ok</v>
      </c>
    </row>
    <row r="181" spans="1:33">
      <c r="A181" s="70">
        <v>543</v>
      </c>
      <c r="B181" s="44" t="s">
        <v>322</v>
      </c>
      <c r="C181" s="44" t="s">
        <v>337</v>
      </c>
      <c r="D181" s="44" t="s">
        <v>646</v>
      </c>
      <c r="F181" s="79">
        <v>190785</v>
      </c>
      <c r="H181" s="63">
        <f t="shared" si="72"/>
        <v>65592.131964727552</v>
      </c>
      <c r="I181" s="63">
        <f t="shared" si="72"/>
        <v>68711.909842618188</v>
      </c>
      <c r="J181" s="63">
        <f t="shared" si="72"/>
        <v>56480.958192654274</v>
      </c>
      <c r="K181" s="63">
        <f t="shared" si="72"/>
        <v>0</v>
      </c>
      <c r="L181" s="63">
        <f t="shared" si="72"/>
        <v>0</v>
      </c>
      <c r="M181" s="63">
        <f t="shared" si="72"/>
        <v>0</v>
      </c>
      <c r="N181" s="63">
        <f t="shared" si="72"/>
        <v>0</v>
      </c>
      <c r="O181" s="63">
        <f t="shared" si="72"/>
        <v>0</v>
      </c>
      <c r="P181" s="63">
        <f t="shared" si="72"/>
        <v>0</v>
      </c>
      <c r="Q181" s="63">
        <f t="shared" si="72"/>
        <v>0</v>
      </c>
      <c r="R181" s="63">
        <f t="shared" si="73"/>
        <v>0</v>
      </c>
      <c r="S181" s="63">
        <f t="shared" si="73"/>
        <v>0</v>
      </c>
      <c r="T181" s="63">
        <f t="shared" si="73"/>
        <v>0</v>
      </c>
      <c r="U181" s="63">
        <f t="shared" si="73"/>
        <v>0</v>
      </c>
      <c r="V181" s="63">
        <f t="shared" si="73"/>
        <v>0</v>
      </c>
      <c r="W181" s="63">
        <f t="shared" si="73"/>
        <v>0</v>
      </c>
      <c r="X181" s="63">
        <f t="shared" si="73"/>
        <v>0</v>
      </c>
      <c r="Y181" s="63">
        <f t="shared" si="73"/>
        <v>0</v>
      </c>
      <c r="Z181" s="63">
        <f t="shared" si="73"/>
        <v>0</v>
      </c>
      <c r="AA181" s="63">
        <f t="shared" si="73"/>
        <v>0</v>
      </c>
      <c r="AB181" s="63">
        <f t="shared" si="73"/>
        <v>0</v>
      </c>
      <c r="AC181" s="63">
        <f t="shared" si="73"/>
        <v>0</v>
      </c>
      <c r="AD181" s="63">
        <f t="shared" si="73"/>
        <v>0</v>
      </c>
      <c r="AE181" s="63">
        <f t="shared" si="73"/>
        <v>0</v>
      </c>
      <c r="AF181" s="63">
        <f>SUM(H181:AE181)</f>
        <v>190785.00000000003</v>
      </c>
      <c r="AG181" s="58" t="str">
        <f>IF(ABS(AF181-F181)&lt;1,"ok","err")</f>
        <v>ok</v>
      </c>
    </row>
    <row r="182" spans="1:33">
      <c r="A182" s="60">
        <v>544</v>
      </c>
      <c r="B182" s="44" t="s">
        <v>227</v>
      </c>
      <c r="C182" s="44" t="s">
        <v>338</v>
      </c>
      <c r="D182" s="44" t="s">
        <v>930</v>
      </c>
      <c r="F182" s="79">
        <v>371119</v>
      </c>
      <c r="H182" s="63">
        <f t="shared" si="72"/>
        <v>0</v>
      </c>
      <c r="I182" s="63">
        <f t="shared" si="72"/>
        <v>0</v>
      </c>
      <c r="J182" s="63">
        <f t="shared" si="72"/>
        <v>0</v>
      </c>
      <c r="K182" s="63">
        <f t="shared" si="72"/>
        <v>371119</v>
      </c>
      <c r="L182" s="63">
        <f t="shared" si="72"/>
        <v>0</v>
      </c>
      <c r="M182" s="63">
        <f t="shared" si="72"/>
        <v>0</v>
      </c>
      <c r="N182" s="63">
        <f t="shared" si="72"/>
        <v>0</v>
      </c>
      <c r="O182" s="63">
        <f t="shared" si="72"/>
        <v>0</v>
      </c>
      <c r="P182" s="63">
        <f t="shared" si="72"/>
        <v>0</v>
      </c>
      <c r="Q182" s="63">
        <f t="shared" si="72"/>
        <v>0</v>
      </c>
      <c r="R182" s="63">
        <f t="shared" si="73"/>
        <v>0</v>
      </c>
      <c r="S182" s="63">
        <f t="shared" si="73"/>
        <v>0</v>
      </c>
      <c r="T182" s="63">
        <f t="shared" si="73"/>
        <v>0</v>
      </c>
      <c r="U182" s="63">
        <f t="shared" si="73"/>
        <v>0</v>
      </c>
      <c r="V182" s="63">
        <f t="shared" si="73"/>
        <v>0</v>
      </c>
      <c r="W182" s="63">
        <f t="shared" si="73"/>
        <v>0</v>
      </c>
      <c r="X182" s="63">
        <f t="shared" si="73"/>
        <v>0</v>
      </c>
      <c r="Y182" s="63">
        <f t="shared" si="73"/>
        <v>0</v>
      </c>
      <c r="Z182" s="63">
        <f t="shared" si="73"/>
        <v>0</v>
      </c>
      <c r="AA182" s="63">
        <f t="shared" si="73"/>
        <v>0</v>
      </c>
      <c r="AB182" s="63">
        <f t="shared" si="73"/>
        <v>0</v>
      </c>
      <c r="AC182" s="63">
        <f t="shared" si="73"/>
        <v>0</v>
      </c>
      <c r="AD182" s="63">
        <f t="shared" si="73"/>
        <v>0</v>
      </c>
      <c r="AE182" s="63">
        <f t="shared" si="73"/>
        <v>0</v>
      </c>
      <c r="AF182" s="63">
        <f>SUM(H182:AE182)</f>
        <v>371119</v>
      </c>
      <c r="AG182" s="58" t="str">
        <f>IF(ABS(AF182-F182)&lt;1,"ok","err")</f>
        <v>ok</v>
      </c>
    </row>
    <row r="183" spans="1:33">
      <c r="A183" s="60">
        <v>545</v>
      </c>
      <c r="B183" s="44" t="s">
        <v>329</v>
      </c>
      <c r="C183" s="44" t="s">
        <v>339</v>
      </c>
      <c r="D183" s="44" t="s">
        <v>930</v>
      </c>
      <c r="F183" s="79">
        <v>58972</v>
      </c>
      <c r="H183" s="63">
        <f t="shared" si="72"/>
        <v>0</v>
      </c>
      <c r="I183" s="63">
        <f t="shared" si="72"/>
        <v>0</v>
      </c>
      <c r="J183" s="63">
        <f t="shared" si="72"/>
        <v>0</v>
      </c>
      <c r="K183" s="63">
        <f t="shared" si="72"/>
        <v>58972</v>
      </c>
      <c r="L183" s="63">
        <f t="shared" si="72"/>
        <v>0</v>
      </c>
      <c r="M183" s="63">
        <f t="shared" si="72"/>
        <v>0</v>
      </c>
      <c r="N183" s="63">
        <f t="shared" si="72"/>
        <v>0</v>
      </c>
      <c r="O183" s="63">
        <f t="shared" si="72"/>
        <v>0</v>
      </c>
      <c r="P183" s="63">
        <f t="shared" si="72"/>
        <v>0</v>
      </c>
      <c r="Q183" s="63">
        <f t="shared" si="72"/>
        <v>0</v>
      </c>
      <c r="R183" s="63">
        <f t="shared" si="73"/>
        <v>0</v>
      </c>
      <c r="S183" s="63">
        <f t="shared" si="73"/>
        <v>0</v>
      </c>
      <c r="T183" s="63">
        <f t="shared" si="73"/>
        <v>0</v>
      </c>
      <c r="U183" s="63">
        <f t="shared" si="73"/>
        <v>0</v>
      </c>
      <c r="V183" s="63">
        <f t="shared" si="73"/>
        <v>0</v>
      </c>
      <c r="W183" s="63">
        <f t="shared" si="73"/>
        <v>0</v>
      </c>
      <c r="X183" s="63">
        <f t="shared" si="73"/>
        <v>0</v>
      </c>
      <c r="Y183" s="63">
        <f t="shared" si="73"/>
        <v>0</v>
      </c>
      <c r="Z183" s="63">
        <f t="shared" si="73"/>
        <v>0</v>
      </c>
      <c r="AA183" s="63">
        <f t="shared" si="73"/>
        <v>0</v>
      </c>
      <c r="AB183" s="63">
        <f t="shared" si="73"/>
        <v>0</v>
      </c>
      <c r="AC183" s="63">
        <f t="shared" si="73"/>
        <v>0</v>
      </c>
      <c r="AD183" s="63">
        <f t="shared" si="73"/>
        <v>0</v>
      </c>
      <c r="AE183" s="63">
        <f t="shared" si="73"/>
        <v>0</v>
      </c>
      <c r="AF183" s="63">
        <f>SUM(H183:AE183)</f>
        <v>58972</v>
      </c>
      <c r="AG183" s="58" t="str">
        <f>IF(ABS(AF183-F183)&lt;1,"ok","err")</f>
        <v>ok</v>
      </c>
    </row>
    <row r="184" spans="1:33">
      <c r="A184" s="60"/>
      <c r="F184" s="76"/>
      <c r="W184" s="44"/>
      <c r="AG184" s="58"/>
    </row>
    <row r="185" spans="1:33">
      <c r="A185" s="60"/>
      <c r="B185" s="44" t="s">
        <v>325</v>
      </c>
      <c r="F185" s="76">
        <f>SUM(F179:F184)</f>
        <v>865868</v>
      </c>
      <c r="H185" s="62">
        <f t="shared" ref="H185:M185" si="74">SUM(H179:H184)</f>
        <v>149820.7012668348</v>
      </c>
      <c r="I185" s="62">
        <f t="shared" si="74"/>
        <v>156946.66737682011</v>
      </c>
      <c r="J185" s="62">
        <f t="shared" si="74"/>
        <v>129009.63135634511</v>
      </c>
      <c r="K185" s="62">
        <f t="shared" si="74"/>
        <v>430091</v>
      </c>
      <c r="L185" s="62">
        <f t="shared" si="74"/>
        <v>0</v>
      </c>
      <c r="M185" s="62">
        <f t="shared" si="74"/>
        <v>0</v>
      </c>
      <c r="N185" s="62">
        <f>SUM(N179:N184)</f>
        <v>0</v>
      </c>
      <c r="O185" s="62">
        <f>SUM(O179:O184)</f>
        <v>0</v>
      </c>
      <c r="P185" s="62">
        <f>SUM(P179:P184)</f>
        <v>0</v>
      </c>
      <c r="Q185" s="62">
        <f t="shared" ref="Q185:AB185" si="75">SUM(Q179:Q184)</f>
        <v>0</v>
      </c>
      <c r="R185" s="62">
        <f t="shared" si="75"/>
        <v>0</v>
      </c>
      <c r="S185" s="62">
        <f t="shared" si="75"/>
        <v>0</v>
      </c>
      <c r="T185" s="62">
        <f t="shared" si="75"/>
        <v>0</v>
      </c>
      <c r="U185" s="62">
        <f t="shared" si="75"/>
        <v>0</v>
      </c>
      <c r="V185" s="62">
        <f t="shared" si="75"/>
        <v>0</v>
      </c>
      <c r="W185" s="62">
        <f t="shared" si="75"/>
        <v>0</v>
      </c>
      <c r="X185" s="62">
        <f t="shared" si="75"/>
        <v>0</v>
      </c>
      <c r="Y185" s="62">
        <f t="shared" si="75"/>
        <v>0</v>
      </c>
      <c r="Z185" s="62">
        <f t="shared" si="75"/>
        <v>0</v>
      </c>
      <c r="AA185" s="62">
        <f t="shared" si="75"/>
        <v>0</v>
      </c>
      <c r="AB185" s="62">
        <f t="shared" si="75"/>
        <v>0</v>
      </c>
      <c r="AC185" s="62">
        <f>SUM(AC179:AC184)</f>
        <v>0</v>
      </c>
      <c r="AD185" s="62">
        <f>SUM(AD179:AD184)</f>
        <v>0</v>
      </c>
      <c r="AE185" s="62">
        <f>SUM(AE179:AE184)</f>
        <v>0</v>
      </c>
      <c r="AF185" s="63">
        <f>SUM(H185:AE185)</f>
        <v>865868</v>
      </c>
      <c r="AG185" s="58" t="str">
        <f>IF(ABS(AF185-F185)&lt;1,"ok","err")</f>
        <v>ok</v>
      </c>
    </row>
    <row r="186" spans="1:33">
      <c r="A186" s="60"/>
      <c r="F186" s="76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3"/>
      <c r="AG186" s="58"/>
    </row>
    <row r="187" spans="1:33">
      <c r="A187" s="60"/>
      <c r="B187" s="44" t="s">
        <v>324</v>
      </c>
      <c r="F187" s="76">
        <f>F176+F185</f>
        <v>2102241</v>
      </c>
      <c r="H187" s="62">
        <f t="shared" ref="H187:M187" si="76">H176+H185</f>
        <v>574887.35207075591</v>
      </c>
      <c r="I187" s="62">
        <f t="shared" si="76"/>
        <v>602230.8883996855</v>
      </c>
      <c r="J187" s="62">
        <f t="shared" si="76"/>
        <v>495031.75952955871</v>
      </c>
      <c r="K187" s="62">
        <f t="shared" si="76"/>
        <v>430091</v>
      </c>
      <c r="L187" s="62">
        <f t="shared" si="76"/>
        <v>0</v>
      </c>
      <c r="M187" s="62">
        <f t="shared" si="76"/>
        <v>0</v>
      </c>
      <c r="N187" s="62">
        <f>N176+N185</f>
        <v>0</v>
      </c>
      <c r="O187" s="62">
        <f>O176+O185</f>
        <v>0</v>
      </c>
      <c r="P187" s="62">
        <f>P176+P185</f>
        <v>0</v>
      </c>
      <c r="Q187" s="62">
        <f t="shared" ref="Q187:AB187" si="77">Q176+Q185</f>
        <v>0</v>
      </c>
      <c r="R187" s="62">
        <f t="shared" si="77"/>
        <v>0</v>
      </c>
      <c r="S187" s="62">
        <f t="shared" si="77"/>
        <v>0</v>
      </c>
      <c r="T187" s="62">
        <f t="shared" si="77"/>
        <v>0</v>
      </c>
      <c r="U187" s="62">
        <f t="shared" si="77"/>
        <v>0</v>
      </c>
      <c r="V187" s="62">
        <f t="shared" si="77"/>
        <v>0</v>
      </c>
      <c r="W187" s="62">
        <f t="shared" si="77"/>
        <v>0</v>
      </c>
      <c r="X187" s="62">
        <f t="shared" si="77"/>
        <v>0</v>
      </c>
      <c r="Y187" s="62">
        <f t="shared" si="77"/>
        <v>0</v>
      </c>
      <c r="Z187" s="62">
        <f t="shared" si="77"/>
        <v>0</v>
      </c>
      <c r="AA187" s="62">
        <f t="shared" si="77"/>
        <v>0</v>
      </c>
      <c r="AB187" s="62">
        <f t="shared" si="77"/>
        <v>0</v>
      </c>
      <c r="AC187" s="62">
        <f>AC176+AC185</f>
        <v>0</v>
      </c>
      <c r="AD187" s="62">
        <f>AD176+AD185</f>
        <v>0</v>
      </c>
      <c r="AE187" s="62">
        <f>AE176+AE185</f>
        <v>0</v>
      </c>
      <c r="AF187" s="63">
        <f>SUM(H187:AE187)</f>
        <v>2102241</v>
      </c>
      <c r="AG187" s="58" t="str">
        <f>IF(ABS(AF187-F187)&lt;1,"ok","err")</f>
        <v>ok</v>
      </c>
    </row>
    <row r="188" spans="1:33">
      <c r="A188" s="60"/>
      <c r="F188" s="76"/>
      <c r="W188" s="44"/>
      <c r="AG188" s="58"/>
    </row>
    <row r="189" spans="1:33" ht="15">
      <c r="A189" s="65" t="s">
        <v>234</v>
      </c>
      <c r="F189" s="76"/>
      <c r="W189" s="44"/>
      <c r="AG189" s="58"/>
    </row>
    <row r="190" spans="1:33">
      <c r="A190" s="60">
        <v>546</v>
      </c>
      <c r="B190" s="44" t="s">
        <v>209</v>
      </c>
      <c r="C190" s="44" t="s">
        <v>235</v>
      </c>
      <c r="D190" s="44" t="s">
        <v>654</v>
      </c>
      <c r="F190" s="76">
        <v>604185</v>
      </c>
      <c r="H190" s="63">
        <f t="shared" ref="H190:Q194" si="78">IF(VLOOKUP($D190,$C$6:$AE$653,H$2,)=0,0,((VLOOKUP($D190,$C$6:$AE$653,H$2,)/VLOOKUP($D190,$C$6:$AE$653,4,))*$F190))</f>
        <v>207719.59143071479</v>
      </c>
      <c r="I190" s="63">
        <f t="shared" si="78"/>
        <v>217599.4194945214</v>
      </c>
      <c r="J190" s="63">
        <f t="shared" si="78"/>
        <v>178865.98907476381</v>
      </c>
      <c r="K190" s="63">
        <f t="shared" si="78"/>
        <v>0</v>
      </c>
      <c r="L190" s="63">
        <f t="shared" si="78"/>
        <v>0</v>
      </c>
      <c r="M190" s="63">
        <f t="shared" si="78"/>
        <v>0</v>
      </c>
      <c r="N190" s="63">
        <f t="shared" si="78"/>
        <v>0</v>
      </c>
      <c r="O190" s="63">
        <f t="shared" si="78"/>
        <v>0</v>
      </c>
      <c r="P190" s="63">
        <f t="shared" si="78"/>
        <v>0</v>
      </c>
      <c r="Q190" s="63">
        <f t="shared" si="78"/>
        <v>0</v>
      </c>
      <c r="R190" s="63">
        <f t="shared" ref="R190:AE194" si="79">IF(VLOOKUP($D190,$C$6:$AE$653,R$2,)=0,0,((VLOOKUP($D190,$C$6:$AE$653,R$2,)/VLOOKUP($D190,$C$6:$AE$653,4,))*$F190))</f>
        <v>0</v>
      </c>
      <c r="S190" s="63">
        <f t="shared" si="79"/>
        <v>0</v>
      </c>
      <c r="T190" s="63">
        <f t="shared" si="79"/>
        <v>0</v>
      </c>
      <c r="U190" s="63">
        <f t="shared" si="79"/>
        <v>0</v>
      </c>
      <c r="V190" s="63">
        <f t="shared" si="79"/>
        <v>0</v>
      </c>
      <c r="W190" s="63">
        <f t="shared" si="79"/>
        <v>0</v>
      </c>
      <c r="X190" s="63">
        <f t="shared" si="79"/>
        <v>0</v>
      </c>
      <c r="Y190" s="63">
        <f t="shared" si="79"/>
        <v>0</v>
      </c>
      <c r="Z190" s="63">
        <f t="shared" si="79"/>
        <v>0</v>
      </c>
      <c r="AA190" s="63">
        <f t="shared" si="79"/>
        <v>0</v>
      </c>
      <c r="AB190" s="63">
        <f t="shared" si="79"/>
        <v>0</v>
      </c>
      <c r="AC190" s="63">
        <f t="shared" si="79"/>
        <v>0</v>
      </c>
      <c r="AD190" s="63">
        <f t="shared" si="79"/>
        <v>0</v>
      </c>
      <c r="AE190" s="63">
        <f t="shared" si="79"/>
        <v>0</v>
      </c>
      <c r="AF190" s="63">
        <f>SUM(H190:AE190)</f>
        <v>604185</v>
      </c>
      <c r="AG190" s="58" t="str">
        <f>IF(ABS(AF190-F190)&lt;1,"ok","err")</f>
        <v>ok</v>
      </c>
    </row>
    <row r="191" spans="1:33">
      <c r="A191" s="60">
        <v>547</v>
      </c>
      <c r="B191" s="44" t="s">
        <v>211</v>
      </c>
      <c r="C191" s="44" t="s">
        <v>236</v>
      </c>
      <c r="D191" s="44" t="s">
        <v>930</v>
      </c>
      <c r="F191" s="79">
        <v>57317664.317857109</v>
      </c>
      <c r="H191" s="63">
        <f t="shared" si="78"/>
        <v>0</v>
      </c>
      <c r="I191" s="63">
        <f t="shared" si="78"/>
        <v>0</v>
      </c>
      <c r="J191" s="63">
        <f t="shared" si="78"/>
        <v>0</v>
      </c>
      <c r="K191" s="63">
        <f t="shared" si="78"/>
        <v>57317664.317857109</v>
      </c>
      <c r="L191" s="63">
        <f t="shared" si="78"/>
        <v>0</v>
      </c>
      <c r="M191" s="63">
        <f t="shared" si="78"/>
        <v>0</v>
      </c>
      <c r="N191" s="63">
        <f t="shared" si="78"/>
        <v>0</v>
      </c>
      <c r="O191" s="63">
        <f t="shared" si="78"/>
        <v>0</v>
      </c>
      <c r="P191" s="63">
        <f t="shared" si="78"/>
        <v>0</v>
      </c>
      <c r="Q191" s="63">
        <f t="shared" si="78"/>
        <v>0</v>
      </c>
      <c r="R191" s="63">
        <f t="shared" si="79"/>
        <v>0</v>
      </c>
      <c r="S191" s="63">
        <f t="shared" si="79"/>
        <v>0</v>
      </c>
      <c r="T191" s="63">
        <f t="shared" si="79"/>
        <v>0</v>
      </c>
      <c r="U191" s="63">
        <f t="shared" si="79"/>
        <v>0</v>
      </c>
      <c r="V191" s="63">
        <f t="shared" si="79"/>
        <v>0</v>
      </c>
      <c r="W191" s="63">
        <f t="shared" si="79"/>
        <v>0</v>
      </c>
      <c r="X191" s="63">
        <f t="shared" si="79"/>
        <v>0</v>
      </c>
      <c r="Y191" s="63">
        <f t="shared" si="79"/>
        <v>0</v>
      </c>
      <c r="Z191" s="63">
        <f t="shared" si="79"/>
        <v>0</v>
      </c>
      <c r="AA191" s="63">
        <f t="shared" si="79"/>
        <v>0</v>
      </c>
      <c r="AB191" s="63">
        <f t="shared" si="79"/>
        <v>0</v>
      </c>
      <c r="AC191" s="63">
        <f t="shared" si="79"/>
        <v>0</v>
      </c>
      <c r="AD191" s="63">
        <f t="shared" si="79"/>
        <v>0</v>
      </c>
      <c r="AE191" s="63">
        <f t="shared" si="79"/>
        <v>0</v>
      </c>
      <c r="AF191" s="63">
        <f>SUM(H191:AE191)</f>
        <v>57317664.317857109</v>
      </c>
      <c r="AG191" s="58" t="str">
        <f>IF(ABS(AF191-F191)&lt;1,"ok","err")</f>
        <v>ok</v>
      </c>
    </row>
    <row r="192" spans="1:33">
      <c r="A192" s="60">
        <v>548</v>
      </c>
      <c r="B192" s="44" t="s">
        <v>237</v>
      </c>
      <c r="C192" s="44" t="s">
        <v>238</v>
      </c>
      <c r="D192" s="44" t="s">
        <v>646</v>
      </c>
      <c r="F192" s="79">
        <v>280735</v>
      </c>
      <c r="H192" s="63">
        <f t="shared" si="78"/>
        <v>96517.059344905458</v>
      </c>
      <c r="I192" s="63">
        <f t="shared" si="78"/>
        <v>101107.72864568711</v>
      </c>
      <c r="J192" s="63">
        <f t="shared" si="78"/>
        <v>83110.212009407434</v>
      </c>
      <c r="K192" s="63">
        <f t="shared" si="78"/>
        <v>0</v>
      </c>
      <c r="L192" s="63">
        <f t="shared" si="78"/>
        <v>0</v>
      </c>
      <c r="M192" s="63">
        <f t="shared" si="78"/>
        <v>0</v>
      </c>
      <c r="N192" s="63">
        <f t="shared" si="78"/>
        <v>0</v>
      </c>
      <c r="O192" s="63">
        <f t="shared" si="78"/>
        <v>0</v>
      </c>
      <c r="P192" s="63">
        <f t="shared" si="78"/>
        <v>0</v>
      </c>
      <c r="Q192" s="63">
        <f t="shared" si="78"/>
        <v>0</v>
      </c>
      <c r="R192" s="63">
        <f t="shared" si="79"/>
        <v>0</v>
      </c>
      <c r="S192" s="63">
        <f t="shared" si="79"/>
        <v>0</v>
      </c>
      <c r="T192" s="63">
        <f t="shared" si="79"/>
        <v>0</v>
      </c>
      <c r="U192" s="63">
        <f t="shared" si="79"/>
        <v>0</v>
      </c>
      <c r="V192" s="63">
        <f t="shared" si="79"/>
        <v>0</v>
      </c>
      <c r="W192" s="63">
        <f t="shared" si="79"/>
        <v>0</v>
      </c>
      <c r="X192" s="63">
        <f t="shared" si="79"/>
        <v>0</v>
      </c>
      <c r="Y192" s="63">
        <f t="shared" si="79"/>
        <v>0</v>
      </c>
      <c r="Z192" s="63">
        <f t="shared" si="79"/>
        <v>0</v>
      </c>
      <c r="AA192" s="63">
        <f t="shared" si="79"/>
        <v>0</v>
      </c>
      <c r="AB192" s="63">
        <f t="shared" si="79"/>
        <v>0</v>
      </c>
      <c r="AC192" s="63">
        <f t="shared" si="79"/>
        <v>0</v>
      </c>
      <c r="AD192" s="63">
        <f t="shared" si="79"/>
        <v>0</v>
      </c>
      <c r="AE192" s="63">
        <f t="shared" si="79"/>
        <v>0</v>
      </c>
      <c r="AF192" s="63">
        <f>SUM(H192:AE192)</f>
        <v>280735</v>
      </c>
      <c r="AG192" s="58" t="str">
        <f>IF(ABS(AF192-F192)&lt;1,"ok","err")</f>
        <v>ok</v>
      </c>
    </row>
    <row r="193" spans="1:33">
      <c r="A193" s="60">
        <v>549</v>
      </c>
      <c r="B193" s="44" t="s">
        <v>239</v>
      </c>
      <c r="C193" s="44" t="s">
        <v>240</v>
      </c>
      <c r="D193" s="44" t="s">
        <v>646</v>
      </c>
      <c r="F193" s="79">
        <v>1105538</v>
      </c>
      <c r="H193" s="63">
        <f t="shared" si="78"/>
        <v>380085.40707089636</v>
      </c>
      <c r="I193" s="63">
        <f t="shared" si="78"/>
        <v>398163.52115516638</v>
      </c>
      <c r="J193" s="63">
        <f t="shared" si="78"/>
        <v>327289.07177393726</v>
      </c>
      <c r="K193" s="63">
        <f t="shared" si="78"/>
        <v>0</v>
      </c>
      <c r="L193" s="63">
        <f t="shared" si="78"/>
        <v>0</v>
      </c>
      <c r="M193" s="63">
        <f t="shared" si="78"/>
        <v>0</v>
      </c>
      <c r="N193" s="63">
        <f t="shared" si="78"/>
        <v>0</v>
      </c>
      <c r="O193" s="63">
        <f t="shared" si="78"/>
        <v>0</v>
      </c>
      <c r="P193" s="63">
        <f t="shared" si="78"/>
        <v>0</v>
      </c>
      <c r="Q193" s="63">
        <f t="shared" si="78"/>
        <v>0</v>
      </c>
      <c r="R193" s="63">
        <f t="shared" si="79"/>
        <v>0</v>
      </c>
      <c r="S193" s="63">
        <f t="shared" si="79"/>
        <v>0</v>
      </c>
      <c r="T193" s="63">
        <f t="shared" si="79"/>
        <v>0</v>
      </c>
      <c r="U193" s="63">
        <f t="shared" si="79"/>
        <v>0</v>
      </c>
      <c r="V193" s="63">
        <f t="shared" si="79"/>
        <v>0</v>
      </c>
      <c r="W193" s="63">
        <f t="shared" si="79"/>
        <v>0</v>
      </c>
      <c r="X193" s="63">
        <f t="shared" si="79"/>
        <v>0</v>
      </c>
      <c r="Y193" s="63">
        <f t="shared" si="79"/>
        <v>0</v>
      </c>
      <c r="Z193" s="63">
        <f t="shared" si="79"/>
        <v>0</v>
      </c>
      <c r="AA193" s="63">
        <f t="shared" si="79"/>
        <v>0</v>
      </c>
      <c r="AB193" s="63">
        <f t="shared" si="79"/>
        <v>0</v>
      </c>
      <c r="AC193" s="63">
        <f t="shared" si="79"/>
        <v>0</v>
      </c>
      <c r="AD193" s="63">
        <f t="shared" si="79"/>
        <v>0</v>
      </c>
      <c r="AE193" s="63">
        <f t="shared" si="79"/>
        <v>0</v>
      </c>
      <c r="AF193" s="63">
        <f>SUM(H193:AE193)</f>
        <v>1105538</v>
      </c>
      <c r="AG193" s="58" t="str">
        <f>IF(ABS(AF193-F193)&lt;1,"ok","err")</f>
        <v>ok</v>
      </c>
    </row>
    <row r="194" spans="1:33">
      <c r="A194" s="60">
        <v>550</v>
      </c>
      <c r="B194" s="44" t="s">
        <v>1004</v>
      </c>
      <c r="C194" s="44" t="s">
        <v>241</v>
      </c>
      <c r="D194" s="44" t="s">
        <v>646</v>
      </c>
      <c r="F194" s="79">
        <v>5706</v>
      </c>
      <c r="H194" s="63">
        <f t="shared" si="78"/>
        <v>1961.7302460399685</v>
      </c>
      <c r="I194" s="63">
        <f t="shared" si="78"/>
        <v>2055.0365991140779</v>
      </c>
      <c r="J194" s="63">
        <f t="shared" si="78"/>
        <v>1689.2331548459538</v>
      </c>
      <c r="K194" s="63">
        <f t="shared" si="78"/>
        <v>0</v>
      </c>
      <c r="L194" s="63">
        <f t="shared" si="78"/>
        <v>0</v>
      </c>
      <c r="M194" s="63">
        <f t="shared" si="78"/>
        <v>0</v>
      </c>
      <c r="N194" s="63">
        <f t="shared" si="78"/>
        <v>0</v>
      </c>
      <c r="O194" s="63">
        <f t="shared" si="78"/>
        <v>0</v>
      </c>
      <c r="P194" s="63">
        <f t="shared" si="78"/>
        <v>0</v>
      </c>
      <c r="Q194" s="63">
        <f t="shared" si="78"/>
        <v>0</v>
      </c>
      <c r="R194" s="63">
        <f t="shared" si="79"/>
        <v>0</v>
      </c>
      <c r="S194" s="63">
        <f t="shared" si="79"/>
        <v>0</v>
      </c>
      <c r="T194" s="63">
        <f t="shared" si="79"/>
        <v>0</v>
      </c>
      <c r="U194" s="63">
        <f t="shared" si="79"/>
        <v>0</v>
      </c>
      <c r="V194" s="63">
        <f t="shared" si="79"/>
        <v>0</v>
      </c>
      <c r="W194" s="63">
        <f t="shared" si="79"/>
        <v>0</v>
      </c>
      <c r="X194" s="63">
        <f t="shared" si="79"/>
        <v>0</v>
      </c>
      <c r="Y194" s="63">
        <f t="shared" si="79"/>
        <v>0</v>
      </c>
      <c r="Z194" s="63">
        <f t="shared" si="79"/>
        <v>0</v>
      </c>
      <c r="AA194" s="63">
        <f t="shared" si="79"/>
        <v>0</v>
      </c>
      <c r="AB194" s="63">
        <f t="shared" si="79"/>
        <v>0</v>
      </c>
      <c r="AC194" s="63">
        <f t="shared" si="79"/>
        <v>0</v>
      </c>
      <c r="AD194" s="63">
        <f t="shared" si="79"/>
        <v>0</v>
      </c>
      <c r="AE194" s="63">
        <f t="shared" si="79"/>
        <v>0</v>
      </c>
      <c r="AF194" s="63">
        <f>SUM(H194:AE194)</f>
        <v>5706</v>
      </c>
      <c r="AG194" s="58" t="str">
        <f>IF(ABS(AF194-F194)&lt;1,"ok","err")</f>
        <v>ok</v>
      </c>
    </row>
    <row r="195" spans="1:33">
      <c r="A195" s="60"/>
      <c r="F195" s="76"/>
      <c r="W195" s="44"/>
      <c r="AF195" s="63"/>
      <c r="AG195" s="58"/>
    </row>
    <row r="196" spans="1:33">
      <c r="A196" s="60"/>
      <c r="B196" s="44" t="s">
        <v>242</v>
      </c>
      <c r="F196" s="76">
        <f>SUM(F190:F195)</f>
        <v>59313828.317857109</v>
      </c>
      <c r="H196" s="62">
        <f t="shared" ref="H196:M196" si="80">SUM(H190:H195)</f>
        <v>686283.78809255653</v>
      </c>
      <c r="I196" s="62">
        <f t="shared" si="80"/>
        <v>718925.70589448896</v>
      </c>
      <c r="J196" s="62">
        <f t="shared" si="80"/>
        <v>590954.50601295452</v>
      </c>
      <c r="K196" s="62">
        <f t="shared" si="80"/>
        <v>57317664.317857109</v>
      </c>
      <c r="L196" s="62">
        <f t="shared" si="80"/>
        <v>0</v>
      </c>
      <c r="M196" s="62">
        <f t="shared" si="80"/>
        <v>0</v>
      </c>
      <c r="N196" s="62">
        <f>SUM(N190:N195)</f>
        <v>0</v>
      </c>
      <c r="O196" s="62">
        <f>SUM(O190:O195)</f>
        <v>0</v>
      </c>
      <c r="P196" s="62">
        <f>SUM(P190:P195)</f>
        <v>0</v>
      </c>
      <c r="Q196" s="62">
        <f t="shared" ref="Q196:AB196" si="81">SUM(Q190:Q195)</f>
        <v>0</v>
      </c>
      <c r="R196" s="62">
        <f t="shared" si="81"/>
        <v>0</v>
      </c>
      <c r="S196" s="62">
        <f t="shared" si="81"/>
        <v>0</v>
      </c>
      <c r="T196" s="62">
        <f t="shared" si="81"/>
        <v>0</v>
      </c>
      <c r="U196" s="62">
        <f t="shared" si="81"/>
        <v>0</v>
      </c>
      <c r="V196" s="62">
        <f t="shared" si="81"/>
        <v>0</v>
      </c>
      <c r="W196" s="62">
        <f t="shared" si="81"/>
        <v>0</v>
      </c>
      <c r="X196" s="62">
        <f t="shared" si="81"/>
        <v>0</v>
      </c>
      <c r="Y196" s="62">
        <f t="shared" si="81"/>
        <v>0</v>
      </c>
      <c r="Z196" s="62">
        <f t="shared" si="81"/>
        <v>0</v>
      </c>
      <c r="AA196" s="62">
        <f t="shared" si="81"/>
        <v>0</v>
      </c>
      <c r="AB196" s="62">
        <f t="shared" si="81"/>
        <v>0</v>
      </c>
      <c r="AC196" s="62">
        <f>SUM(AC190:AC195)</f>
        <v>0</v>
      </c>
      <c r="AD196" s="62">
        <f>SUM(AD190:AD195)</f>
        <v>0</v>
      </c>
      <c r="AE196" s="62">
        <f>SUM(AE190:AE195)</f>
        <v>0</v>
      </c>
      <c r="AF196" s="63">
        <f>SUM(H196:AE196)</f>
        <v>59313828.317857109</v>
      </c>
      <c r="AG196" s="58" t="str">
        <f>IF(ABS(AF196-F196)&lt;1,"ok","err")</f>
        <v>ok</v>
      </c>
    </row>
    <row r="197" spans="1:33">
      <c r="A197" s="60"/>
      <c r="F197" s="76"/>
      <c r="W197" s="44"/>
      <c r="AG197" s="58"/>
    </row>
    <row r="198" spans="1:33" ht="15">
      <c r="A198" s="59" t="s">
        <v>1024</v>
      </c>
      <c r="F198" s="76"/>
      <c r="W198" s="44"/>
      <c r="AG198" s="58"/>
    </row>
    <row r="199" spans="1:33">
      <c r="A199" s="60"/>
      <c r="F199" s="76"/>
      <c r="W199" s="44"/>
      <c r="AG199" s="58"/>
    </row>
    <row r="200" spans="1:33" ht="15">
      <c r="A200" s="65" t="s">
        <v>243</v>
      </c>
      <c r="F200" s="76"/>
      <c r="W200" s="44"/>
      <c r="AG200" s="58"/>
    </row>
    <row r="201" spans="1:33">
      <c r="A201" s="60">
        <v>551</v>
      </c>
      <c r="B201" s="44" t="s">
        <v>224</v>
      </c>
      <c r="C201" s="44" t="s">
        <v>244</v>
      </c>
      <c r="D201" s="44" t="s">
        <v>646</v>
      </c>
      <c r="F201" s="76">
        <v>256698</v>
      </c>
      <c r="H201" s="63">
        <f t="shared" ref="H201:Q204" si="82">IF(VLOOKUP($D201,$C$6:$AE$653,H$2,)=0,0,((VLOOKUP($D201,$C$6:$AE$653,H$2,)/VLOOKUP($D201,$C$6:$AE$653,4,))*$F201))</f>
        <v>88253.107377842243</v>
      </c>
      <c r="I201" s="63">
        <f t="shared" si="82"/>
        <v>92450.715898945942</v>
      </c>
      <c r="J201" s="63">
        <f t="shared" si="82"/>
        <v>75994.176723211815</v>
      </c>
      <c r="K201" s="63">
        <f t="shared" si="82"/>
        <v>0</v>
      </c>
      <c r="L201" s="63">
        <f t="shared" si="82"/>
        <v>0</v>
      </c>
      <c r="M201" s="63">
        <f t="shared" si="82"/>
        <v>0</v>
      </c>
      <c r="N201" s="63">
        <f t="shared" si="82"/>
        <v>0</v>
      </c>
      <c r="O201" s="63">
        <f t="shared" si="82"/>
        <v>0</v>
      </c>
      <c r="P201" s="63">
        <f t="shared" si="82"/>
        <v>0</v>
      </c>
      <c r="Q201" s="63">
        <f t="shared" si="82"/>
        <v>0</v>
      </c>
      <c r="R201" s="63">
        <f t="shared" ref="R201:AE204" si="83">IF(VLOOKUP($D201,$C$6:$AE$653,R$2,)=0,0,((VLOOKUP($D201,$C$6:$AE$653,R$2,)/VLOOKUP($D201,$C$6:$AE$653,4,))*$F201))</f>
        <v>0</v>
      </c>
      <c r="S201" s="63">
        <f t="shared" si="83"/>
        <v>0</v>
      </c>
      <c r="T201" s="63">
        <f t="shared" si="83"/>
        <v>0</v>
      </c>
      <c r="U201" s="63">
        <f t="shared" si="83"/>
        <v>0</v>
      </c>
      <c r="V201" s="63">
        <f t="shared" si="83"/>
        <v>0</v>
      </c>
      <c r="W201" s="63">
        <f t="shared" si="83"/>
        <v>0</v>
      </c>
      <c r="X201" s="63">
        <f t="shared" si="83"/>
        <v>0</v>
      </c>
      <c r="Y201" s="63">
        <f t="shared" si="83"/>
        <v>0</v>
      </c>
      <c r="Z201" s="63">
        <f t="shared" si="83"/>
        <v>0</v>
      </c>
      <c r="AA201" s="63">
        <f t="shared" si="83"/>
        <v>0</v>
      </c>
      <c r="AB201" s="63">
        <f t="shared" si="83"/>
        <v>0</v>
      </c>
      <c r="AC201" s="63">
        <f t="shared" si="83"/>
        <v>0</v>
      </c>
      <c r="AD201" s="63">
        <f t="shared" si="83"/>
        <v>0</v>
      </c>
      <c r="AE201" s="63">
        <f t="shared" si="83"/>
        <v>0</v>
      </c>
      <c r="AF201" s="63">
        <f>SUM(H201:AE201)</f>
        <v>256698</v>
      </c>
      <c r="AG201" s="58" t="str">
        <f>IF(ABS(AF201-F201)&lt;1,"ok","err")</f>
        <v>ok</v>
      </c>
    </row>
    <row r="202" spans="1:33">
      <c r="A202" s="60">
        <v>552</v>
      </c>
      <c r="B202" s="44" t="s">
        <v>223</v>
      </c>
      <c r="C202" s="44" t="s">
        <v>245</v>
      </c>
      <c r="D202" s="44" t="s">
        <v>646</v>
      </c>
      <c r="F202" s="79">
        <v>560673</v>
      </c>
      <c r="H202" s="63">
        <f t="shared" si="82"/>
        <v>192760.10904976641</v>
      </c>
      <c r="I202" s="63">
        <f t="shared" si="82"/>
        <v>201928.41485017305</v>
      </c>
      <c r="J202" s="63">
        <f t="shared" si="82"/>
        <v>165984.47610006054</v>
      </c>
      <c r="K202" s="63">
        <f t="shared" si="82"/>
        <v>0</v>
      </c>
      <c r="L202" s="63">
        <f t="shared" si="82"/>
        <v>0</v>
      </c>
      <c r="M202" s="63">
        <f t="shared" si="82"/>
        <v>0</v>
      </c>
      <c r="N202" s="63">
        <f t="shared" si="82"/>
        <v>0</v>
      </c>
      <c r="O202" s="63">
        <f t="shared" si="82"/>
        <v>0</v>
      </c>
      <c r="P202" s="63">
        <f t="shared" si="82"/>
        <v>0</v>
      </c>
      <c r="Q202" s="63">
        <f t="shared" si="82"/>
        <v>0</v>
      </c>
      <c r="R202" s="63">
        <f t="shared" si="83"/>
        <v>0</v>
      </c>
      <c r="S202" s="63">
        <f t="shared" si="83"/>
        <v>0</v>
      </c>
      <c r="T202" s="63">
        <f t="shared" si="83"/>
        <v>0</v>
      </c>
      <c r="U202" s="63">
        <f t="shared" si="83"/>
        <v>0</v>
      </c>
      <c r="V202" s="63">
        <f t="shared" si="83"/>
        <v>0</v>
      </c>
      <c r="W202" s="63">
        <f t="shared" si="83"/>
        <v>0</v>
      </c>
      <c r="X202" s="63">
        <f t="shared" si="83"/>
        <v>0</v>
      </c>
      <c r="Y202" s="63">
        <f t="shared" si="83"/>
        <v>0</v>
      </c>
      <c r="Z202" s="63">
        <f t="shared" si="83"/>
        <v>0</v>
      </c>
      <c r="AA202" s="63">
        <f t="shared" si="83"/>
        <v>0</v>
      </c>
      <c r="AB202" s="63">
        <f t="shared" si="83"/>
        <v>0</v>
      </c>
      <c r="AC202" s="63">
        <f t="shared" si="83"/>
        <v>0</v>
      </c>
      <c r="AD202" s="63">
        <f t="shared" si="83"/>
        <v>0</v>
      </c>
      <c r="AE202" s="63">
        <f t="shared" si="83"/>
        <v>0</v>
      </c>
      <c r="AF202" s="63">
        <f>SUM(H202:AE202)</f>
        <v>560673</v>
      </c>
      <c r="AG202" s="58" t="str">
        <f>IF(ABS(AF202-F202)&lt;1,"ok","err")</f>
        <v>ok</v>
      </c>
    </row>
    <row r="203" spans="1:33">
      <c r="A203" s="60">
        <v>553</v>
      </c>
      <c r="B203" s="44" t="s">
        <v>246</v>
      </c>
      <c r="C203" s="44" t="s">
        <v>247</v>
      </c>
      <c r="D203" s="44" t="s">
        <v>646</v>
      </c>
      <c r="F203" s="79">
        <v>2652503</v>
      </c>
      <c r="H203" s="63">
        <f t="shared" si="82"/>
        <v>911933.99278159032</v>
      </c>
      <c r="I203" s="63">
        <f t="shared" si="82"/>
        <v>955308.57768312108</v>
      </c>
      <c r="J203" s="63">
        <f t="shared" si="82"/>
        <v>785260.4295352886</v>
      </c>
      <c r="K203" s="63">
        <f t="shared" si="82"/>
        <v>0</v>
      </c>
      <c r="L203" s="63">
        <f t="shared" si="82"/>
        <v>0</v>
      </c>
      <c r="M203" s="63">
        <f t="shared" si="82"/>
        <v>0</v>
      </c>
      <c r="N203" s="63">
        <f t="shared" si="82"/>
        <v>0</v>
      </c>
      <c r="O203" s="63">
        <f t="shared" si="82"/>
        <v>0</v>
      </c>
      <c r="P203" s="63">
        <f t="shared" si="82"/>
        <v>0</v>
      </c>
      <c r="Q203" s="63">
        <f t="shared" si="82"/>
        <v>0</v>
      </c>
      <c r="R203" s="63">
        <f t="shared" si="83"/>
        <v>0</v>
      </c>
      <c r="S203" s="63">
        <f t="shared" si="83"/>
        <v>0</v>
      </c>
      <c r="T203" s="63">
        <f t="shared" si="83"/>
        <v>0</v>
      </c>
      <c r="U203" s="63">
        <f t="shared" si="83"/>
        <v>0</v>
      </c>
      <c r="V203" s="63">
        <f t="shared" si="83"/>
        <v>0</v>
      </c>
      <c r="W203" s="63">
        <f t="shared" si="83"/>
        <v>0</v>
      </c>
      <c r="X203" s="63">
        <f t="shared" si="83"/>
        <v>0</v>
      </c>
      <c r="Y203" s="63">
        <f t="shared" si="83"/>
        <v>0</v>
      </c>
      <c r="Z203" s="63">
        <f t="shared" si="83"/>
        <v>0</v>
      </c>
      <c r="AA203" s="63">
        <f t="shared" si="83"/>
        <v>0</v>
      </c>
      <c r="AB203" s="63">
        <f t="shared" si="83"/>
        <v>0</v>
      </c>
      <c r="AC203" s="63">
        <f t="shared" si="83"/>
        <v>0</v>
      </c>
      <c r="AD203" s="63">
        <f t="shared" si="83"/>
        <v>0</v>
      </c>
      <c r="AE203" s="63">
        <f t="shared" si="83"/>
        <v>0</v>
      </c>
      <c r="AF203" s="63">
        <f>SUM(H203:AE203)</f>
        <v>2652503</v>
      </c>
      <c r="AG203" s="58" t="str">
        <f>IF(ABS(AF203-F203)&lt;1,"ok","err")</f>
        <v>ok</v>
      </c>
    </row>
    <row r="204" spans="1:33">
      <c r="A204" s="60">
        <v>554</v>
      </c>
      <c r="B204" s="44" t="s">
        <v>248</v>
      </c>
      <c r="C204" s="44" t="s">
        <v>249</v>
      </c>
      <c r="D204" s="44" t="s">
        <v>646</v>
      </c>
      <c r="F204" s="79">
        <v>1112788</v>
      </c>
      <c r="H204" s="63">
        <f t="shared" si="82"/>
        <v>382577.96653177787</v>
      </c>
      <c r="I204" s="63">
        <f t="shared" si="82"/>
        <v>400774.63495530258</v>
      </c>
      <c r="J204" s="63">
        <f t="shared" si="82"/>
        <v>329435.39851291955</v>
      </c>
      <c r="K204" s="63">
        <f t="shared" si="82"/>
        <v>0</v>
      </c>
      <c r="L204" s="63">
        <f t="shared" si="82"/>
        <v>0</v>
      </c>
      <c r="M204" s="63">
        <f t="shared" si="82"/>
        <v>0</v>
      </c>
      <c r="N204" s="63">
        <f t="shared" si="82"/>
        <v>0</v>
      </c>
      <c r="O204" s="63">
        <f t="shared" si="82"/>
        <v>0</v>
      </c>
      <c r="P204" s="63">
        <f t="shared" si="82"/>
        <v>0</v>
      </c>
      <c r="Q204" s="63">
        <f t="shared" si="82"/>
        <v>0</v>
      </c>
      <c r="R204" s="63">
        <f t="shared" si="83"/>
        <v>0</v>
      </c>
      <c r="S204" s="63">
        <f t="shared" si="83"/>
        <v>0</v>
      </c>
      <c r="T204" s="63">
        <f t="shared" si="83"/>
        <v>0</v>
      </c>
      <c r="U204" s="63">
        <f t="shared" si="83"/>
        <v>0</v>
      </c>
      <c r="V204" s="63">
        <f t="shared" si="83"/>
        <v>0</v>
      </c>
      <c r="W204" s="63">
        <f t="shared" si="83"/>
        <v>0</v>
      </c>
      <c r="X204" s="63">
        <f t="shared" si="83"/>
        <v>0</v>
      </c>
      <c r="Y204" s="63">
        <f t="shared" si="83"/>
        <v>0</v>
      </c>
      <c r="Z204" s="63">
        <f t="shared" si="83"/>
        <v>0</v>
      </c>
      <c r="AA204" s="63">
        <f t="shared" si="83"/>
        <v>0</v>
      </c>
      <c r="AB204" s="63">
        <f t="shared" si="83"/>
        <v>0</v>
      </c>
      <c r="AC204" s="63">
        <f t="shared" si="83"/>
        <v>0</v>
      </c>
      <c r="AD204" s="63">
        <f t="shared" si="83"/>
        <v>0</v>
      </c>
      <c r="AE204" s="63">
        <f t="shared" si="83"/>
        <v>0</v>
      </c>
      <c r="AF204" s="63">
        <f>SUM(H204:AE204)</f>
        <v>1112788</v>
      </c>
      <c r="AG204" s="58" t="str">
        <f>IF(ABS(AF204-F204)&lt;1,"ok","err")</f>
        <v>ok</v>
      </c>
    </row>
    <row r="205" spans="1:33">
      <c r="A205" s="60"/>
      <c r="F205" s="76"/>
      <c r="W205" s="44"/>
      <c r="AG205" s="58"/>
    </row>
    <row r="206" spans="1:33">
      <c r="A206" s="60"/>
      <c r="B206" s="44" t="s">
        <v>251</v>
      </c>
      <c r="F206" s="76">
        <f>SUM(F201:F205)</f>
        <v>4582662</v>
      </c>
      <c r="H206" s="62">
        <f t="shared" ref="H206:M206" si="84">SUM(H201:H205)</f>
        <v>1575525.1757409768</v>
      </c>
      <c r="I206" s="62">
        <f t="shared" si="84"/>
        <v>1650462.3433875425</v>
      </c>
      <c r="J206" s="62">
        <f t="shared" si="84"/>
        <v>1356674.4808714804</v>
      </c>
      <c r="K206" s="62">
        <f t="shared" si="84"/>
        <v>0</v>
      </c>
      <c r="L206" s="62">
        <f t="shared" si="84"/>
        <v>0</v>
      </c>
      <c r="M206" s="62">
        <f t="shared" si="84"/>
        <v>0</v>
      </c>
      <c r="N206" s="62">
        <f>SUM(N201:N205)</f>
        <v>0</v>
      </c>
      <c r="O206" s="62">
        <f>SUM(O201:O205)</f>
        <v>0</v>
      </c>
      <c r="P206" s="62">
        <f>SUM(P201:P205)</f>
        <v>0</v>
      </c>
      <c r="Q206" s="62">
        <f t="shared" ref="Q206:AB206" si="85">SUM(Q201:Q205)</f>
        <v>0</v>
      </c>
      <c r="R206" s="62">
        <f t="shared" si="85"/>
        <v>0</v>
      </c>
      <c r="S206" s="62">
        <f t="shared" si="85"/>
        <v>0</v>
      </c>
      <c r="T206" s="62">
        <f t="shared" si="85"/>
        <v>0</v>
      </c>
      <c r="U206" s="62">
        <f t="shared" si="85"/>
        <v>0</v>
      </c>
      <c r="V206" s="62">
        <f t="shared" si="85"/>
        <v>0</v>
      </c>
      <c r="W206" s="62">
        <f t="shared" si="85"/>
        <v>0</v>
      </c>
      <c r="X206" s="62">
        <f t="shared" si="85"/>
        <v>0</v>
      </c>
      <c r="Y206" s="62">
        <f t="shared" si="85"/>
        <v>0</v>
      </c>
      <c r="Z206" s="62">
        <f t="shared" si="85"/>
        <v>0</v>
      </c>
      <c r="AA206" s="62">
        <f t="shared" si="85"/>
        <v>0</v>
      </c>
      <c r="AB206" s="62">
        <f t="shared" si="85"/>
        <v>0</v>
      </c>
      <c r="AC206" s="62">
        <f>SUM(AC201:AC205)</f>
        <v>0</v>
      </c>
      <c r="AD206" s="62">
        <f>SUM(AD201:AD205)</f>
        <v>0</v>
      </c>
      <c r="AE206" s="62">
        <f>SUM(AE201:AE205)</f>
        <v>0</v>
      </c>
      <c r="AF206" s="63">
        <f>SUM(H206:AE206)</f>
        <v>4582662</v>
      </c>
      <c r="AG206" s="58" t="str">
        <f>IF(ABS(AF206-F206)&lt;1,"ok","err")</f>
        <v>ok</v>
      </c>
    </row>
    <row r="207" spans="1:33">
      <c r="A207" s="60"/>
      <c r="F207" s="76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3"/>
      <c r="AG207" s="58"/>
    </row>
    <row r="208" spans="1:33">
      <c r="A208" s="60"/>
      <c r="B208" s="44" t="s">
        <v>250</v>
      </c>
      <c r="F208" s="76">
        <f>F196+F206</f>
        <v>63896490.317857109</v>
      </c>
      <c r="H208" s="62">
        <f t="shared" ref="H208:M208" si="86">H196+H206</f>
        <v>2261808.9638335332</v>
      </c>
      <c r="I208" s="62">
        <f t="shared" si="86"/>
        <v>2369388.0492820316</v>
      </c>
      <c r="J208" s="62">
        <f t="shared" si="86"/>
        <v>1947628.9868844349</v>
      </c>
      <c r="K208" s="62">
        <f t="shared" si="86"/>
        <v>57317664.317857109</v>
      </c>
      <c r="L208" s="62">
        <f t="shared" si="86"/>
        <v>0</v>
      </c>
      <c r="M208" s="62">
        <f t="shared" si="86"/>
        <v>0</v>
      </c>
      <c r="N208" s="62">
        <f>N196+N206</f>
        <v>0</v>
      </c>
      <c r="O208" s="62">
        <f>O196+O206</f>
        <v>0</v>
      </c>
      <c r="P208" s="62">
        <f>P196+P206</f>
        <v>0</v>
      </c>
      <c r="Q208" s="62">
        <f t="shared" ref="Q208:AB208" si="87">Q196+Q206</f>
        <v>0</v>
      </c>
      <c r="R208" s="62">
        <f t="shared" si="87"/>
        <v>0</v>
      </c>
      <c r="S208" s="62">
        <f t="shared" si="87"/>
        <v>0</v>
      </c>
      <c r="T208" s="62">
        <f t="shared" si="87"/>
        <v>0</v>
      </c>
      <c r="U208" s="62">
        <f t="shared" si="87"/>
        <v>0</v>
      </c>
      <c r="V208" s="62">
        <f t="shared" si="87"/>
        <v>0</v>
      </c>
      <c r="W208" s="62">
        <f t="shared" si="87"/>
        <v>0</v>
      </c>
      <c r="X208" s="62">
        <f t="shared" si="87"/>
        <v>0</v>
      </c>
      <c r="Y208" s="62">
        <f t="shared" si="87"/>
        <v>0</v>
      </c>
      <c r="Z208" s="62">
        <f t="shared" si="87"/>
        <v>0</v>
      </c>
      <c r="AA208" s="62">
        <f t="shared" si="87"/>
        <v>0</v>
      </c>
      <c r="AB208" s="62">
        <f t="shared" si="87"/>
        <v>0</v>
      </c>
      <c r="AC208" s="62">
        <f>AC196+AC206</f>
        <v>0</v>
      </c>
      <c r="AD208" s="62">
        <f>AD196+AD206</f>
        <v>0</v>
      </c>
      <c r="AE208" s="62">
        <f>AE196+AE206</f>
        <v>0</v>
      </c>
      <c r="AF208" s="63">
        <f>SUM(H208:AE208)</f>
        <v>63896490.317857109</v>
      </c>
      <c r="AG208" s="58" t="str">
        <f>IF(ABS(AF208-F208)&lt;1,"ok","err")</f>
        <v>ok</v>
      </c>
    </row>
    <row r="209" spans="1:33">
      <c r="A209" s="60"/>
      <c r="F209" s="76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3"/>
      <c r="AG209" s="58"/>
    </row>
    <row r="210" spans="1:33">
      <c r="A210" s="60"/>
      <c r="B210" s="44" t="s">
        <v>252</v>
      </c>
      <c r="F210" s="76">
        <f>F166+F187+F208</f>
        <v>455155390.02952063</v>
      </c>
      <c r="H210" s="62">
        <f t="shared" ref="H210:M210" si="88">H166+H187+H208</f>
        <v>16376100.132399596</v>
      </c>
      <c r="I210" s="62">
        <f t="shared" si="88"/>
        <v>17155001.402854659</v>
      </c>
      <c r="J210" s="62">
        <f t="shared" si="88"/>
        <v>14101353.306127802</v>
      </c>
      <c r="K210" s="62">
        <f t="shared" si="88"/>
        <v>407522935.18813854</v>
      </c>
      <c r="L210" s="62">
        <f t="shared" si="88"/>
        <v>0</v>
      </c>
      <c r="M210" s="62">
        <f t="shared" si="88"/>
        <v>0</v>
      </c>
      <c r="N210" s="62">
        <f>N166+N187+N208</f>
        <v>0</v>
      </c>
      <c r="O210" s="62">
        <f>O166+O187+O208</f>
        <v>0</v>
      </c>
      <c r="P210" s="62">
        <f>P166+P187+P208</f>
        <v>0</v>
      </c>
      <c r="Q210" s="62">
        <f t="shared" ref="Q210:AB210" si="89">Q166+Q187+Q208</f>
        <v>0</v>
      </c>
      <c r="R210" s="62">
        <f t="shared" si="89"/>
        <v>0</v>
      </c>
      <c r="S210" s="62">
        <f t="shared" si="89"/>
        <v>0</v>
      </c>
      <c r="T210" s="62">
        <f t="shared" si="89"/>
        <v>0</v>
      </c>
      <c r="U210" s="62">
        <f t="shared" si="89"/>
        <v>0</v>
      </c>
      <c r="V210" s="62">
        <f t="shared" si="89"/>
        <v>0</v>
      </c>
      <c r="W210" s="62">
        <f t="shared" si="89"/>
        <v>0</v>
      </c>
      <c r="X210" s="62">
        <f t="shared" si="89"/>
        <v>0</v>
      </c>
      <c r="Y210" s="62">
        <f t="shared" si="89"/>
        <v>0</v>
      </c>
      <c r="Z210" s="62">
        <f t="shared" si="89"/>
        <v>0</v>
      </c>
      <c r="AA210" s="62">
        <f t="shared" si="89"/>
        <v>0</v>
      </c>
      <c r="AB210" s="62">
        <f t="shared" si="89"/>
        <v>0</v>
      </c>
      <c r="AC210" s="62">
        <f>AC166+AC187+AC208</f>
        <v>0</v>
      </c>
      <c r="AD210" s="62">
        <f>AD166+AD187+AD208</f>
        <v>0</v>
      </c>
      <c r="AE210" s="62">
        <f>AE166+AE187+AE208</f>
        <v>0</v>
      </c>
      <c r="AF210" s="63">
        <f>SUM(H210:AE210)</f>
        <v>455155390.02952063</v>
      </c>
      <c r="AG210" s="58" t="str">
        <f>IF(ABS(AF210-F210)&lt;1,"ok","err")</f>
        <v>ok</v>
      </c>
    </row>
    <row r="211" spans="1:33">
      <c r="A211" s="60"/>
      <c r="W211" s="44"/>
      <c r="AG211" s="58"/>
    </row>
    <row r="212" spans="1:33" ht="15">
      <c r="A212" s="65" t="s">
        <v>253</v>
      </c>
      <c r="W212" s="44"/>
      <c r="AG212" s="58"/>
    </row>
    <row r="213" spans="1:33">
      <c r="A213" s="60">
        <v>555</v>
      </c>
      <c r="B213" s="44" t="s">
        <v>1151</v>
      </c>
      <c r="C213" s="44" t="s">
        <v>6</v>
      </c>
      <c r="D213" s="44" t="s">
        <v>986</v>
      </c>
      <c r="F213" s="76">
        <v>53937677.621999964</v>
      </c>
      <c r="G213" s="62"/>
      <c r="H213" s="63">
        <f t="shared" ref="H213:Q219" si="90">IF(VLOOKUP($D213,$C$6:$AE$653,H$2,)=0,0,((VLOOKUP($D213,$C$6:$AE$653,H$2,)/VLOOKUP($D213,$C$6:$AE$653,4,))*$F213))</f>
        <v>5575352.811538578</v>
      </c>
      <c r="I213" s="63">
        <f t="shared" si="90"/>
        <v>5840534.9582665889</v>
      </c>
      <c r="J213" s="63">
        <f t="shared" si="90"/>
        <v>4800900.0412907358</v>
      </c>
      <c r="K213" s="63">
        <f t="shared" si="90"/>
        <v>37720889.810904063</v>
      </c>
      <c r="L213" s="63">
        <f t="shared" si="90"/>
        <v>0</v>
      </c>
      <c r="M213" s="63">
        <f t="shared" si="90"/>
        <v>0</v>
      </c>
      <c r="N213" s="63">
        <f t="shared" si="90"/>
        <v>0</v>
      </c>
      <c r="O213" s="63">
        <f t="shared" si="90"/>
        <v>0</v>
      </c>
      <c r="P213" s="63">
        <f t="shared" si="90"/>
        <v>0</v>
      </c>
      <c r="Q213" s="63">
        <f t="shared" si="90"/>
        <v>0</v>
      </c>
      <c r="R213" s="63">
        <f t="shared" ref="R213:AE219" si="91">IF(VLOOKUP($D213,$C$6:$AE$653,R$2,)=0,0,((VLOOKUP($D213,$C$6:$AE$653,R$2,)/VLOOKUP($D213,$C$6:$AE$653,4,))*$F213))</f>
        <v>0</v>
      </c>
      <c r="S213" s="63">
        <f t="shared" si="91"/>
        <v>0</v>
      </c>
      <c r="T213" s="63">
        <f t="shared" si="91"/>
        <v>0</v>
      </c>
      <c r="U213" s="63">
        <f t="shared" si="91"/>
        <v>0</v>
      </c>
      <c r="V213" s="63">
        <f t="shared" si="91"/>
        <v>0</v>
      </c>
      <c r="W213" s="63">
        <f t="shared" si="91"/>
        <v>0</v>
      </c>
      <c r="X213" s="63">
        <f t="shared" si="91"/>
        <v>0</v>
      </c>
      <c r="Y213" s="63">
        <f t="shared" si="91"/>
        <v>0</v>
      </c>
      <c r="Z213" s="63">
        <f t="shared" si="91"/>
        <v>0</v>
      </c>
      <c r="AA213" s="63">
        <f t="shared" si="91"/>
        <v>0</v>
      </c>
      <c r="AB213" s="63">
        <f t="shared" si="91"/>
        <v>0</v>
      </c>
      <c r="AC213" s="63">
        <f t="shared" si="91"/>
        <v>0</v>
      </c>
      <c r="AD213" s="63">
        <f t="shared" si="91"/>
        <v>0</v>
      </c>
      <c r="AE213" s="63">
        <f t="shared" si="91"/>
        <v>0</v>
      </c>
      <c r="AF213" s="63">
        <f t="shared" ref="AF213:AF219" si="92">SUM(H213:AE213)</f>
        <v>53937677.621999964</v>
      </c>
      <c r="AG213" s="58" t="str">
        <f t="shared" ref="AG213:AG219" si="93">IF(ABS(AF213-F213)&lt;1,"ok","err")</f>
        <v>ok</v>
      </c>
    </row>
    <row r="214" spans="1:33">
      <c r="A214" s="60">
        <v>555</v>
      </c>
      <c r="B214" s="44" t="s">
        <v>254</v>
      </c>
      <c r="C214" s="44" t="s">
        <v>255</v>
      </c>
      <c r="D214" s="44" t="s">
        <v>986</v>
      </c>
      <c r="F214" s="79">
        <v>0</v>
      </c>
      <c r="G214" s="62"/>
      <c r="H214" s="63">
        <f t="shared" si="90"/>
        <v>0</v>
      </c>
      <c r="I214" s="63">
        <f t="shared" si="90"/>
        <v>0</v>
      </c>
      <c r="J214" s="63">
        <f t="shared" si="90"/>
        <v>0</v>
      </c>
      <c r="K214" s="63">
        <f t="shared" si="90"/>
        <v>0</v>
      </c>
      <c r="L214" s="63">
        <f t="shared" si="90"/>
        <v>0</v>
      </c>
      <c r="M214" s="63">
        <f t="shared" si="90"/>
        <v>0</v>
      </c>
      <c r="N214" s="63">
        <f t="shared" si="90"/>
        <v>0</v>
      </c>
      <c r="O214" s="63">
        <f t="shared" si="90"/>
        <v>0</v>
      </c>
      <c r="P214" s="63">
        <f t="shared" si="90"/>
        <v>0</v>
      </c>
      <c r="Q214" s="63">
        <f t="shared" si="90"/>
        <v>0</v>
      </c>
      <c r="R214" s="63">
        <f t="shared" si="91"/>
        <v>0</v>
      </c>
      <c r="S214" s="63">
        <f t="shared" si="91"/>
        <v>0</v>
      </c>
      <c r="T214" s="63">
        <f t="shared" si="91"/>
        <v>0</v>
      </c>
      <c r="U214" s="63">
        <f t="shared" si="91"/>
        <v>0</v>
      </c>
      <c r="V214" s="63">
        <f t="shared" si="91"/>
        <v>0</v>
      </c>
      <c r="W214" s="63">
        <f t="shared" si="91"/>
        <v>0</v>
      </c>
      <c r="X214" s="63">
        <f t="shared" si="91"/>
        <v>0</v>
      </c>
      <c r="Y214" s="63">
        <f t="shared" si="91"/>
        <v>0</v>
      </c>
      <c r="Z214" s="63">
        <f t="shared" si="91"/>
        <v>0</v>
      </c>
      <c r="AA214" s="63">
        <f t="shared" si="91"/>
        <v>0</v>
      </c>
      <c r="AB214" s="63">
        <f t="shared" si="91"/>
        <v>0</v>
      </c>
      <c r="AC214" s="63">
        <f t="shared" si="91"/>
        <v>0</v>
      </c>
      <c r="AD214" s="63">
        <f t="shared" si="91"/>
        <v>0</v>
      </c>
      <c r="AE214" s="63">
        <f t="shared" si="91"/>
        <v>0</v>
      </c>
      <c r="AF214" s="63">
        <f t="shared" si="92"/>
        <v>0</v>
      </c>
      <c r="AG214" s="58" t="str">
        <f t="shared" si="93"/>
        <v>ok</v>
      </c>
    </row>
    <row r="215" spans="1:33">
      <c r="A215" s="60">
        <v>555</v>
      </c>
      <c r="B215" s="44" t="s">
        <v>256</v>
      </c>
      <c r="C215" s="44" t="s">
        <v>257</v>
      </c>
      <c r="D215" s="44" t="s">
        <v>986</v>
      </c>
      <c r="F215" s="79">
        <v>0</v>
      </c>
      <c r="G215" s="62"/>
      <c r="H215" s="63">
        <f t="shared" si="90"/>
        <v>0</v>
      </c>
      <c r="I215" s="63">
        <f t="shared" si="90"/>
        <v>0</v>
      </c>
      <c r="J215" s="63">
        <f t="shared" si="90"/>
        <v>0</v>
      </c>
      <c r="K215" s="63">
        <f t="shared" si="90"/>
        <v>0</v>
      </c>
      <c r="L215" s="63">
        <f t="shared" si="90"/>
        <v>0</v>
      </c>
      <c r="M215" s="63">
        <f t="shared" si="90"/>
        <v>0</v>
      </c>
      <c r="N215" s="63">
        <f t="shared" si="90"/>
        <v>0</v>
      </c>
      <c r="O215" s="63">
        <f t="shared" si="90"/>
        <v>0</v>
      </c>
      <c r="P215" s="63">
        <f t="shared" si="90"/>
        <v>0</v>
      </c>
      <c r="Q215" s="63">
        <f t="shared" si="90"/>
        <v>0</v>
      </c>
      <c r="R215" s="63">
        <f t="shared" si="91"/>
        <v>0</v>
      </c>
      <c r="S215" s="63">
        <f t="shared" si="91"/>
        <v>0</v>
      </c>
      <c r="T215" s="63">
        <f t="shared" si="91"/>
        <v>0</v>
      </c>
      <c r="U215" s="63">
        <f t="shared" si="91"/>
        <v>0</v>
      </c>
      <c r="V215" s="63">
        <f t="shared" si="91"/>
        <v>0</v>
      </c>
      <c r="W215" s="63">
        <f t="shared" si="91"/>
        <v>0</v>
      </c>
      <c r="X215" s="63">
        <f t="shared" si="91"/>
        <v>0</v>
      </c>
      <c r="Y215" s="63">
        <f t="shared" si="91"/>
        <v>0</v>
      </c>
      <c r="Z215" s="63">
        <f t="shared" si="91"/>
        <v>0</v>
      </c>
      <c r="AA215" s="63">
        <f t="shared" si="91"/>
        <v>0</v>
      </c>
      <c r="AB215" s="63">
        <f t="shared" si="91"/>
        <v>0</v>
      </c>
      <c r="AC215" s="63">
        <f t="shared" si="91"/>
        <v>0</v>
      </c>
      <c r="AD215" s="63">
        <f t="shared" si="91"/>
        <v>0</v>
      </c>
      <c r="AE215" s="63">
        <f t="shared" si="91"/>
        <v>0</v>
      </c>
      <c r="AF215" s="63">
        <f t="shared" si="92"/>
        <v>0</v>
      </c>
      <c r="AG215" s="58" t="str">
        <f t="shared" si="93"/>
        <v>ok</v>
      </c>
    </row>
    <row r="216" spans="1:33">
      <c r="A216" s="60">
        <v>555</v>
      </c>
      <c r="B216" s="44" t="s">
        <v>258</v>
      </c>
      <c r="C216" s="44" t="s">
        <v>259</v>
      </c>
      <c r="D216" s="44" t="s">
        <v>986</v>
      </c>
      <c r="F216" s="79">
        <v>0</v>
      </c>
      <c r="G216" s="62"/>
      <c r="H216" s="63">
        <f t="shared" si="90"/>
        <v>0</v>
      </c>
      <c r="I216" s="63">
        <f t="shared" si="90"/>
        <v>0</v>
      </c>
      <c r="J216" s="63">
        <f t="shared" si="90"/>
        <v>0</v>
      </c>
      <c r="K216" s="63">
        <f t="shared" si="90"/>
        <v>0</v>
      </c>
      <c r="L216" s="63">
        <f t="shared" si="90"/>
        <v>0</v>
      </c>
      <c r="M216" s="63">
        <f t="shared" si="90"/>
        <v>0</v>
      </c>
      <c r="N216" s="63">
        <f t="shared" si="90"/>
        <v>0</v>
      </c>
      <c r="O216" s="63">
        <f t="shared" si="90"/>
        <v>0</v>
      </c>
      <c r="P216" s="63">
        <f t="shared" si="90"/>
        <v>0</v>
      </c>
      <c r="Q216" s="63">
        <f t="shared" si="90"/>
        <v>0</v>
      </c>
      <c r="R216" s="63">
        <f t="shared" si="91"/>
        <v>0</v>
      </c>
      <c r="S216" s="63">
        <f t="shared" si="91"/>
        <v>0</v>
      </c>
      <c r="T216" s="63">
        <f t="shared" si="91"/>
        <v>0</v>
      </c>
      <c r="U216" s="63">
        <f t="shared" si="91"/>
        <v>0</v>
      </c>
      <c r="V216" s="63">
        <f t="shared" si="91"/>
        <v>0</v>
      </c>
      <c r="W216" s="63">
        <f t="shared" si="91"/>
        <v>0</v>
      </c>
      <c r="X216" s="63">
        <f t="shared" si="91"/>
        <v>0</v>
      </c>
      <c r="Y216" s="63">
        <f t="shared" si="91"/>
        <v>0</v>
      </c>
      <c r="Z216" s="63">
        <f t="shared" si="91"/>
        <v>0</v>
      </c>
      <c r="AA216" s="63">
        <f t="shared" si="91"/>
        <v>0</v>
      </c>
      <c r="AB216" s="63">
        <f t="shared" si="91"/>
        <v>0</v>
      </c>
      <c r="AC216" s="63">
        <f t="shared" si="91"/>
        <v>0</v>
      </c>
      <c r="AD216" s="63">
        <f t="shared" si="91"/>
        <v>0</v>
      </c>
      <c r="AE216" s="63">
        <f t="shared" si="91"/>
        <v>0</v>
      </c>
      <c r="AF216" s="63">
        <f t="shared" si="92"/>
        <v>0</v>
      </c>
      <c r="AG216" s="58" t="str">
        <f t="shared" si="93"/>
        <v>ok</v>
      </c>
    </row>
    <row r="217" spans="1:33">
      <c r="A217" s="60">
        <v>556</v>
      </c>
      <c r="B217" s="44" t="s">
        <v>260</v>
      </c>
      <c r="C217" s="44" t="s">
        <v>261</v>
      </c>
      <c r="D217" s="44" t="s">
        <v>646</v>
      </c>
      <c r="F217" s="79">
        <v>1248388</v>
      </c>
      <c r="G217" s="62"/>
      <c r="H217" s="63">
        <f t="shared" si="90"/>
        <v>429197.42348288541</v>
      </c>
      <c r="I217" s="63">
        <f t="shared" si="90"/>
        <v>449611.46685853932</v>
      </c>
      <c r="J217" s="63">
        <f t="shared" si="90"/>
        <v>369579.10965857527</v>
      </c>
      <c r="K217" s="63">
        <f t="shared" si="90"/>
        <v>0</v>
      </c>
      <c r="L217" s="63">
        <f t="shared" si="90"/>
        <v>0</v>
      </c>
      <c r="M217" s="63">
        <f t="shared" si="90"/>
        <v>0</v>
      </c>
      <c r="N217" s="63">
        <f t="shared" si="90"/>
        <v>0</v>
      </c>
      <c r="O217" s="63">
        <f t="shared" si="90"/>
        <v>0</v>
      </c>
      <c r="P217" s="63">
        <f t="shared" si="90"/>
        <v>0</v>
      </c>
      <c r="Q217" s="63">
        <f t="shared" si="90"/>
        <v>0</v>
      </c>
      <c r="R217" s="63">
        <f t="shared" si="91"/>
        <v>0</v>
      </c>
      <c r="S217" s="63">
        <f t="shared" si="91"/>
        <v>0</v>
      </c>
      <c r="T217" s="63">
        <f t="shared" si="91"/>
        <v>0</v>
      </c>
      <c r="U217" s="63">
        <f t="shared" si="91"/>
        <v>0</v>
      </c>
      <c r="V217" s="63">
        <f t="shared" si="91"/>
        <v>0</v>
      </c>
      <c r="W217" s="63">
        <f t="shared" si="91"/>
        <v>0</v>
      </c>
      <c r="X217" s="63">
        <f t="shared" si="91"/>
        <v>0</v>
      </c>
      <c r="Y217" s="63">
        <f t="shared" si="91"/>
        <v>0</v>
      </c>
      <c r="Z217" s="63">
        <f t="shared" si="91"/>
        <v>0</v>
      </c>
      <c r="AA217" s="63">
        <f t="shared" si="91"/>
        <v>0</v>
      </c>
      <c r="AB217" s="63">
        <f t="shared" si="91"/>
        <v>0</v>
      </c>
      <c r="AC217" s="63">
        <f t="shared" si="91"/>
        <v>0</v>
      </c>
      <c r="AD217" s="63">
        <f t="shared" si="91"/>
        <v>0</v>
      </c>
      <c r="AE217" s="63">
        <f t="shared" si="91"/>
        <v>0</v>
      </c>
      <c r="AF217" s="63">
        <f t="shared" si="92"/>
        <v>1248388</v>
      </c>
      <c r="AG217" s="58" t="str">
        <f t="shared" si="93"/>
        <v>ok</v>
      </c>
    </row>
    <row r="218" spans="1:33">
      <c r="A218" s="60">
        <v>557</v>
      </c>
      <c r="B218" s="44" t="s">
        <v>7</v>
      </c>
      <c r="C218" s="44" t="s">
        <v>8</v>
      </c>
      <c r="D218" s="44" t="s">
        <v>646</v>
      </c>
      <c r="F218" s="79">
        <v>3806.9999999999709</v>
      </c>
      <c r="G218" s="62"/>
      <c r="H218" s="63">
        <f t="shared" si="90"/>
        <v>1308.8515679414832</v>
      </c>
      <c r="I218" s="63">
        <f t="shared" si="90"/>
        <v>1371.1048602921896</v>
      </c>
      <c r="J218" s="63">
        <f t="shared" si="90"/>
        <v>1127.0435717662981</v>
      </c>
      <c r="K218" s="63">
        <f t="shared" si="90"/>
        <v>0</v>
      </c>
      <c r="L218" s="63">
        <f t="shared" si="90"/>
        <v>0</v>
      </c>
      <c r="M218" s="63">
        <f t="shared" si="90"/>
        <v>0</v>
      </c>
      <c r="N218" s="63">
        <f t="shared" si="90"/>
        <v>0</v>
      </c>
      <c r="O218" s="63">
        <f t="shared" si="90"/>
        <v>0</v>
      </c>
      <c r="P218" s="63">
        <f t="shared" si="90"/>
        <v>0</v>
      </c>
      <c r="Q218" s="63">
        <f t="shared" si="90"/>
        <v>0</v>
      </c>
      <c r="R218" s="63">
        <f t="shared" si="91"/>
        <v>0</v>
      </c>
      <c r="S218" s="63">
        <f t="shared" si="91"/>
        <v>0</v>
      </c>
      <c r="T218" s="63">
        <f t="shared" si="91"/>
        <v>0</v>
      </c>
      <c r="U218" s="63">
        <f t="shared" si="91"/>
        <v>0</v>
      </c>
      <c r="V218" s="63">
        <f t="shared" si="91"/>
        <v>0</v>
      </c>
      <c r="W218" s="63">
        <f t="shared" si="91"/>
        <v>0</v>
      </c>
      <c r="X218" s="63">
        <f t="shared" si="91"/>
        <v>0</v>
      </c>
      <c r="Y218" s="63">
        <f t="shared" si="91"/>
        <v>0</v>
      </c>
      <c r="Z218" s="63">
        <f t="shared" si="91"/>
        <v>0</v>
      </c>
      <c r="AA218" s="63">
        <f t="shared" si="91"/>
        <v>0</v>
      </c>
      <c r="AB218" s="63">
        <f t="shared" si="91"/>
        <v>0</v>
      </c>
      <c r="AC218" s="63">
        <f t="shared" si="91"/>
        <v>0</v>
      </c>
      <c r="AD218" s="63">
        <f t="shared" si="91"/>
        <v>0</v>
      </c>
      <c r="AE218" s="63">
        <f t="shared" si="91"/>
        <v>0</v>
      </c>
      <c r="AF218" s="63">
        <f>SUM(H218:AE218)</f>
        <v>3806.9999999999709</v>
      </c>
      <c r="AG218" s="58" t="str">
        <f t="shared" si="93"/>
        <v>ok</v>
      </c>
    </row>
    <row r="219" spans="1:33">
      <c r="A219" s="60">
        <v>558</v>
      </c>
      <c r="B219" s="44" t="s">
        <v>665</v>
      </c>
      <c r="C219" s="44" t="s">
        <v>596</v>
      </c>
      <c r="D219" s="44" t="s">
        <v>930</v>
      </c>
      <c r="F219" s="79">
        <v>0</v>
      </c>
      <c r="G219" s="62"/>
      <c r="H219" s="63">
        <f t="shared" si="90"/>
        <v>0</v>
      </c>
      <c r="I219" s="63">
        <f t="shared" si="90"/>
        <v>0</v>
      </c>
      <c r="J219" s="63">
        <f t="shared" si="90"/>
        <v>0</v>
      </c>
      <c r="K219" s="63">
        <f t="shared" si="90"/>
        <v>0</v>
      </c>
      <c r="L219" s="63">
        <f t="shared" si="90"/>
        <v>0</v>
      </c>
      <c r="M219" s="63">
        <f t="shared" si="90"/>
        <v>0</v>
      </c>
      <c r="N219" s="63">
        <f t="shared" si="90"/>
        <v>0</v>
      </c>
      <c r="O219" s="63">
        <f t="shared" si="90"/>
        <v>0</v>
      </c>
      <c r="P219" s="63">
        <f t="shared" si="90"/>
        <v>0</v>
      </c>
      <c r="Q219" s="63">
        <f t="shared" si="90"/>
        <v>0</v>
      </c>
      <c r="R219" s="63">
        <f t="shared" si="91"/>
        <v>0</v>
      </c>
      <c r="S219" s="63">
        <f t="shared" si="91"/>
        <v>0</v>
      </c>
      <c r="T219" s="63">
        <f t="shared" si="91"/>
        <v>0</v>
      </c>
      <c r="U219" s="63">
        <f t="shared" si="91"/>
        <v>0</v>
      </c>
      <c r="V219" s="63">
        <f t="shared" si="91"/>
        <v>0</v>
      </c>
      <c r="W219" s="63">
        <f t="shared" si="91"/>
        <v>0</v>
      </c>
      <c r="X219" s="63">
        <f t="shared" si="91"/>
        <v>0</v>
      </c>
      <c r="Y219" s="63">
        <f t="shared" si="91"/>
        <v>0</v>
      </c>
      <c r="Z219" s="63">
        <f t="shared" si="91"/>
        <v>0</v>
      </c>
      <c r="AA219" s="63">
        <f t="shared" si="91"/>
        <v>0</v>
      </c>
      <c r="AB219" s="63">
        <f t="shared" si="91"/>
        <v>0</v>
      </c>
      <c r="AC219" s="63">
        <f t="shared" si="91"/>
        <v>0</v>
      </c>
      <c r="AD219" s="63">
        <f t="shared" si="91"/>
        <v>0</v>
      </c>
      <c r="AE219" s="63">
        <f t="shared" si="91"/>
        <v>0</v>
      </c>
      <c r="AF219" s="63">
        <f t="shared" si="92"/>
        <v>0</v>
      </c>
      <c r="AG219" s="58" t="str">
        <f t="shared" si="93"/>
        <v>ok</v>
      </c>
    </row>
    <row r="220" spans="1:33">
      <c r="A220" s="60"/>
      <c r="F220" s="79"/>
      <c r="G220" s="62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58"/>
    </row>
    <row r="221" spans="1:33">
      <c r="A221" s="60"/>
      <c r="B221" s="44" t="s">
        <v>275</v>
      </c>
      <c r="C221" s="44" t="s">
        <v>9</v>
      </c>
      <c r="F221" s="76">
        <f>SUM(F213:F220)</f>
        <v>55189872.621999964</v>
      </c>
      <c r="G221" s="62"/>
      <c r="H221" s="62">
        <f t="shared" ref="H221:M221" si="94">SUM(H213:H220)</f>
        <v>6005859.0865894053</v>
      </c>
      <c r="I221" s="62">
        <f t="shared" si="94"/>
        <v>6291517.5299854204</v>
      </c>
      <c r="J221" s="62">
        <f t="shared" si="94"/>
        <v>5171606.1945210779</v>
      </c>
      <c r="K221" s="62">
        <f t="shared" si="94"/>
        <v>37720889.810904063</v>
      </c>
      <c r="L221" s="62">
        <f t="shared" si="94"/>
        <v>0</v>
      </c>
      <c r="M221" s="62">
        <f t="shared" si="94"/>
        <v>0</v>
      </c>
      <c r="N221" s="62">
        <f>SUM(N213:N220)</f>
        <v>0</v>
      </c>
      <c r="O221" s="62">
        <f>SUM(O213:O220)</f>
        <v>0</v>
      </c>
      <c r="P221" s="62">
        <f>SUM(P213:P220)</f>
        <v>0</v>
      </c>
      <c r="Q221" s="62">
        <f t="shared" ref="Q221:AB221" si="95">SUM(Q213:Q220)</f>
        <v>0</v>
      </c>
      <c r="R221" s="62">
        <f t="shared" si="95"/>
        <v>0</v>
      </c>
      <c r="S221" s="62">
        <f t="shared" si="95"/>
        <v>0</v>
      </c>
      <c r="T221" s="62">
        <f t="shared" si="95"/>
        <v>0</v>
      </c>
      <c r="U221" s="62">
        <f t="shared" si="95"/>
        <v>0</v>
      </c>
      <c r="V221" s="62">
        <f t="shared" si="95"/>
        <v>0</v>
      </c>
      <c r="W221" s="62">
        <f t="shared" si="95"/>
        <v>0</v>
      </c>
      <c r="X221" s="62">
        <f t="shared" si="95"/>
        <v>0</v>
      </c>
      <c r="Y221" s="62">
        <f t="shared" si="95"/>
        <v>0</v>
      </c>
      <c r="Z221" s="62">
        <f t="shared" si="95"/>
        <v>0</v>
      </c>
      <c r="AA221" s="62">
        <f t="shared" si="95"/>
        <v>0</v>
      </c>
      <c r="AB221" s="62">
        <f t="shared" si="95"/>
        <v>0</v>
      </c>
      <c r="AC221" s="62">
        <f>SUM(AC213:AC220)</f>
        <v>0</v>
      </c>
      <c r="AD221" s="62">
        <f>SUM(AD213:AD220)</f>
        <v>0</v>
      </c>
      <c r="AE221" s="62">
        <f>SUM(AE213:AE220)</f>
        <v>0</v>
      </c>
      <c r="AF221" s="63">
        <f>SUM(H221:AE221)</f>
        <v>55189872.621999964</v>
      </c>
      <c r="AG221" s="58" t="str">
        <f>IF(ABS(AF221-F221)&lt;1,"ok","err")</f>
        <v>ok</v>
      </c>
    </row>
    <row r="222" spans="1:33">
      <c r="A222" s="60"/>
      <c r="F222" s="76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3"/>
      <c r="AG222" s="58"/>
    </row>
    <row r="223" spans="1:33">
      <c r="A223" s="60"/>
      <c r="B223" s="44" t="s">
        <v>262</v>
      </c>
      <c r="F223" s="76">
        <f>F210+F221</f>
        <v>510345262.65152061</v>
      </c>
      <c r="G223" s="62"/>
      <c r="H223" s="62">
        <f t="shared" ref="H223:M223" si="96">H210+H221</f>
        <v>22381959.218989</v>
      </c>
      <c r="I223" s="62">
        <f t="shared" si="96"/>
        <v>23446518.932840079</v>
      </c>
      <c r="J223" s="62">
        <f t="shared" si="96"/>
        <v>19272959.500648879</v>
      </c>
      <c r="K223" s="62">
        <f t="shared" si="96"/>
        <v>445243824.99904263</v>
      </c>
      <c r="L223" s="62">
        <f t="shared" si="96"/>
        <v>0</v>
      </c>
      <c r="M223" s="62">
        <f t="shared" si="96"/>
        <v>0</v>
      </c>
      <c r="N223" s="62">
        <f>N210+N221</f>
        <v>0</v>
      </c>
      <c r="O223" s="62">
        <f>O210+O221</f>
        <v>0</v>
      </c>
      <c r="P223" s="62">
        <f>P210+P221</f>
        <v>0</v>
      </c>
      <c r="Q223" s="62">
        <f t="shared" ref="Q223:AB223" si="97">Q210+Q221</f>
        <v>0</v>
      </c>
      <c r="R223" s="62">
        <f t="shared" si="97"/>
        <v>0</v>
      </c>
      <c r="S223" s="62">
        <f t="shared" si="97"/>
        <v>0</v>
      </c>
      <c r="T223" s="62">
        <f t="shared" si="97"/>
        <v>0</v>
      </c>
      <c r="U223" s="62">
        <f t="shared" si="97"/>
        <v>0</v>
      </c>
      <c r="V223" s="62">
        <f t="shared" si="97"/>
        <v>0</v>
      </c>
      <c r="W223" s="62">
        <f t="shared" si="97"/>
        <v>0</v>
      </c>
      <c r="X223" s="62">
        <f t="shared" si="97"/>
        <v>0</v>
      </c>
      <c r="Y223" s="62">
        <f t="shared" si="97"/>
        <v>0</v>
      </c>
      <c r="Z223" s="62">
        <f t="shared" si="97"/>
        <v>0</v>
      </c>
      <c r="AA223" s="62">
        <f t="shared" si="97"/>
        <v>0</v>
      </c>
      <c r="AB223" s="62">
        <f t="shared" si="97"/>
        <v>0</v>
      </c>
      <c r="AC223" s="62">
        <f>AC210+AC221</f>
        <v>0</v>
      </c>
      <c r="AD223" s="62">
        <f>AD210+AD221</f>
        <v>0</v>
      </c>
      <c r="AE223" s="62">
        <f>AE210+AE221</f>
        <v>0</v>
      </c>
      <c r="AF223" s="63">
        <f>SUM(H223:AE223)</f>
        <v>510345262.65152061</v>
      </c>
      <c r="AG223" s="58" t="str">
        <f>IF(ABS(AF223-F223)&lt;1,"ok","err")</f>
        <v>ok</v>
      </c>
    </row>
    <row r="224" spans="1:33">
      <c r="A224" s="60"/>
      <c r="F224" s="76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3"/>
      <c r="AG224" s="58"/>
    </row>
    <row r="225" spans="1:33" ht="15">
      <c r="A225" s="65" t="s">
        <v>1143</v>
      </c>
      <c r="F225" s="76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3"/>
      <c r="AG225" s="58"/>
    </row>
    <row r="226" spans="1:33">
      <c r="A226" s="60">
        <v>560</v>
      </c>
      <c r="B226" s="44" t="s">
        <v>1146</v>
      </c>
      <c r="C226" s="44" t="s">
        <v>11</v>
      </c>
      <c r="D226" s="44" t="s">
        <v>666</v>
      </c>
      <c r="F226" s="76">
        <v>1013327</v>
      </c>
      <c r="G226" s="62"/>
      <c r="H226" s="63">
        <f t="shared" ref="H226:Q239" si="98">IF(VLOOKUP($D226,$C$6:$AE$653,H$2,)=0,0,((VLOOKUP($D226,$C$6:$AE$653,H$2,)/VLOOKUP($D226,$C$6:$AE$653,4,))*$F226))</f>
        <v>0</v>
      </c>
      <c r="I226" s="63">
        <f t="shared" si="98"/>
        <v>0</v>
      </c>
      <c r="J226" s="63">
        <f t="shared" si="98"/>
        <v>0</v>
      </c>
      <c r="K226" s="63">
        <f t="shared" si="98"/>
        <v>0</v>
      </c>
      <c r="L226" s="63">
        <f t="shared" si="98"/>
        <v>0</v>
      </c>
      <c r="M226" s="63">
        <f t="shared" si="98"/>
        <v>0</v>
      </c>
      <c r="N226" s="63">
        <f t="shared" si="98"/>
        <v>1013327</v>
      </c>
      <c r="O226" s="63">
        <f t="shared" si="98"/>
        <v>0</v>
      </c>
      <c r="P226" s="63">
        <f t="shared" si="98"/>
        <v>0</v>
      </c>
      <c r="Q226" s="63">
        <f t="shared" si="98"/>
        <v>0</v>
      </c>
      <c r="R226" s="63">
        <f t="shared" ref="R226:AE239" si="99">IF(VLOOKUP($D226,$C$6:$AE$653,R$2,)=0,0,((VLOOKUP($D226,$C$6:$AE$653,R$2,)/VLOOKUP($D226,$C$6:$AE$653,4,))*$F226))</f>
        <v>0</v>
      </c>
      <c r="S226" s="63">
        <f t="shared" si="99"/>
        <v>0</v>
      </c>
      <c r="T226" s="63">
        <f t="shared" si="99"/>
        <v>0</v>
      </c>
      <c r="U226" s="63">
        <f t="shared" si="99"/>
        <v>0</v>
      </c>
      <c r="V226" s="63">
        <f t="shared" si="99"/>
        <v>0</v>
      </c>
      <c r="W226" s="63">
        <f t="shared" si="99"/>
        <v>0</v>
      </c>
      <c r="X226" s="63">
        <f t="shared" si="99"/>
        <v>0</v>
      </c>
      <c r="Y226" s="63">
        <f t="shared" si="99"/>
        <v>0</v>
      </c>
      <c r="Z226" s="63">
        <f t="shared" si="99"/>
        <v>0</v>
      </c>
      <c r="AA226" s="63">
        <f t="shared" si="99"/>
        <v>0</v>
      </c>
      <c r="AB226" s="63">
        <f t="shared" si="99"/>
        <v>0</v>
      </c>
      <c r="AC226" s="63">
        <f t="shared" si="99"/>
        <v>0</v>
      </c>
      <c r="AD226" s="63">
        <f t="shared" si="99"/>
        <v>0</v>
      </c>
      <c r="AE226" s="63">
        <f t="shared" si="99"/>
        <v>0</v>
      </c>
      <c r="AF226" s="63">
        <f t="shared" ref="AF226:AF231" si="100">SUM(H226:AE226)</f>
        <v>1013327</v>
      </c>
      <c r="AG226" s="58" t="str">
        <f t="shared" ref="AG226:AG239" si="101">IF(ABS(AF226-F226)&lt;1,"ok","err")</f>
        <v>ok</v>
      </c>
    </row>
    <row r="227" spans="1:33">
      <c r="A227" s="60">
        <v>561</v>
      </c>
      <c r="B227" s="44" t="s">
        <v>990</v>
      </c>
      <c r="C227" s="44" t="s">
        <v>12</v>
      </c>
      <c r="D227" s="44" t="s">
        <v>666</v>
      </c>
      <c r="F227" s="79">
        <f>1815175+393408</f>
        <v>2208583</v>
      </c>
      <c r="G227" s="62"/>
      <c r="H227" s="63">
        <f t="shared" si="98"/>
        <v>0</v>
      </c>
      <c r="I227" s="63">
        <f t="shared" si="98"/>
        <v>0</v>
      </c>
      <c r="J227" s="63">
        <f t="shared" si="98"/>
        <v>0</v>
      </c>
      <c r="K227" s="63">
        <f t="shared" si="98"/>
        <v>0</v>
      </c>
      <c r="L227" s="63">
        <f t="shared" si="98"/>
        <v>0</v>
      </c>
      <c r="M227" s="63">
        <f t="shared" si="98"/>
        <v>0</v>
      </c>
      <c r="N227" s="63">
        <f t="shared" si="98"/>
        <v>2208583</v>
      </c>
      <c r="O227" s="63">
        <f t="shared" si="98"/>
        <v>0</v>
      </c>
      <c r="P227" s="63">
        <f t="shared" si="98"/>
        <v>0</v>
      </c>
      <c r="Q227" s="63">
        <f t="shared" si="98"/>
        <v>0</v>
      </c>
      <c r="R227" s="63">
        <f t="shared" si="99"/>
        <v>0</v>
      </c>
      <c r="S227" s="63">
        <f t="shared" si="99"/>
        <v>0</v>
      </c>
      <c r="T227" s="63">
        <f t="shared" si="99"/>
        <v>0</v>
      </c>
      <c r="U227" s="63">
        <f t="shared" si="99"/>
        <v>0</v>
      </c>
      <c r="V227" s="63">
        <f t="shared" si="99"/>
        <v>0</v>
      </c>
      <c r="W227" s="63">
        <f t="shared" si="99"/>
        <v>0</v>
      </c>
      <c r="X227" s="63">
        <f t="shared" si="99"/>
        <v>0</v>
      </c>
      <c r="Y227" s="63">
        <f t="shared" si="99"/>
        <v>0</v>
      </c>
      <c r="Z227" s="63">
        <f t="shared" si="99"/>
        <v>0</v>
      </c>
      <c r="AA227" s="63">
        <f t="shared" si="99"/>
        <v>0</v>
      </c>
      <c r="AB227" s="63">
        <f t="shared" si="99"/>
        <v>0</v>
      </c>
      <c r="AC227" s="63">
        <f t="shared" si="99"/>
        <v>0</v>
      </c>
      <c r="AD227" s="63">
        <f t="shared" si="99"/>
        <v>0</v>
      </c>
      <c r="AE227" s="63">
        <f t="shared" si="99"/>
        <v>0</v>
      </c>
      <c r="AF227" s="63">
        <f t="shared" si="100"/>
        <v>2208583</v>
      </c>
      <c r="AG227" s="58" t="str">
        <f t="shared" si="101"/>
        <v>ok</v>
      </c>
    </row>
    <row r="228" spans="1:33">
      <c r="A228" s="60">
        <v>562</v>
      </c>
      <c r="B228" s="44" t="s">
        <v>1144</v>
      </c>
      <c r="C228" s="44" t="s">
        <v>13</v>
      </c>
      <c r="D228" s="44" t="s">
        <v>666</v>
      </c>
      <c r="F228" s="79">
        <f>928949</f>
        <v>928949</v>
      </c>
      <c r="G228" s="62"/>
      <c r="H228" s="63">
        <f t="shared" si="98"/>
        <v>0</v>
      </c>
      <c r="I228" s="63">
        <f t="shared" si="98"/>
        <v>0</v>
      </c>
      <c r="J228" s="63">
        <f t="shared" si="98"/>
        <v>0</v>
      </c>
      <c r="K228" s="63">
        <f t="shared" si="98"/>
        <v>0</v>
      </c>
      <c r="L228" s="63">
        <f t="shared" si="98"/>
        <v>0</v>
      </c>
      <c r="M228" s="63">
        <f t="shared" si="98"/>
        <v>0</v>
      </c>
      <c r="N228" s="63">
        <f t="shared" si="98"/>
        <v>928949</v>
      </c>
      <c r="O228" s="63">
        <f t="shared" si="98"/>
        <v>0</v>
      </c>
      <c r="P228" s="63">
        <f t="shared" si="98"/>
        <v>0</v>
      </c>
      <c r="Q228" s="63">
        <f t="shared" si="98"/>
        <v>0</v>
      </c>
      <c r="R228" s="63">
        <f t="shared" si="99"/>
        <v>0</v>
      </c>
      <c r="S228" s="63">
        <f t="shared" si="99"/>
        <v>0</v>
      </c>
      <c r="T228" s="63">
        <f t="shared" si="99"/>
        <v>0</v>
      </c>
      <c r="U228" s="63">
        <f t="shared" si="99"/>
        <v>0</v>
      </c>
      <c r="V228" s="63">
        <f t="shared" si="99"/>
        <v>0</v>
      </c>
      <c r="W228" s="63">
        <f t="shared" si="99"/>
        <v>0</v>
      </c>
      <c r="X228" s="63">
        <f t="shared" si="99"/>
        <v>0</v>
      </c>
      <c r="Y228" s="63">
        <f t="shared" si="99"/>
        <v>0</v>
      </c>
      <c r="Z228" s="63">
        <f t="shared" si="99"/>
        <v>0</v>
      </c>
      <c r="AA228" s="63">
        <f t="shared" si="99"/>
        <v>0</v>
      </c>
      <c r="AB228" s="63">
        <f t="shared" si="99"/>
        <v>0</v>
      </c>
      <c r="AC228" s="63">
        <f t="shared" si="99"/>
        <v>0</v>
      </c>
      <c r="AD228" s="63">
        <f t="shared" si="99"/>
        <v>0</v>
      </c>
      <c r="AE228" s="63">
        <f t="shared" si="99"/>
        <v>0</v>
      </c>
      <c r="AF228" s="63">
        <f t="shared" si="100"/>
        <v>928949</v>
      </c>
      <c r="AG228" s="58" t="str">
        <f t="shared" si="101"/>
        <v>ok</v>
      </c>
    </row>
    <row r="229" spans="1:33">
      <c r="A229" s="60">
        <v>563</v>
      </c>
      <c r="B229" s="44" t="s">
        <v>992</v>
      </c>
      <c r="C229" s="44" t="s">
        <v>14</v>
      </c>
      <c r="D229" s="44" t="s">
        <v>666</v>
      </c>
      <c r="F229" s="79">
        <f>244298</f>
        <v>244298</v>
      </c>
      <c r="G229" s="62"/>
      <c r="H229" s="63">
        <f t="shared" si="98"/>
        <v>0</v>
      </c>
      <c r="I229" s="63">
        <f t="shared" si="98"/>
        <v>0</v>
      </c>
      <c r="J229" s="63">
        <f t="shared" si="98"/>
        <v>0</v>
      </c>
      <c r="K229" s="63">
        <f t="shared" si="98"/>
        <v>0</v>
      </c>
      <c r="L229" s="63">
        <f t="shared" si="98"/>
        <v>0</v>
      </c>
      <c r="M229" s="63">
        <f t="shared" si="98"/>
        <v>0</v>
      </c>
      <c r="N229" s="63">
        <f t="shared" si="98"/>
        <v>244298</v>
      </c>
      <c r="O229" s="63">
        <f t="shared" si="98"/>
        <v>0</v>
      </c>
      <c r="P229" s="63">
        <f t="shared" si="98"/>
        <v>0</v>
      </c>
      <c r="Q229" s="63">
        <f t="shared" si="98"/>
        <v>0</v>
      </c>
      <c r="R229" s="63">
        <f t="shared" si="99"/>
        <v>0</v>
      </c>
      <c r="S229" s="63">
        <f t="shared" si="99"/>
        <v>0</v>
      </c>
      <c r="T229" s="63">
        <f t="shared" si="99"/>
        <v>0</v>
      </c>
      <c r="U229" s="63">
        <f t="shared" si="99"/>
        <v>0</v>
      </c>
      <c r="V229" s="63">
        <f t="shared" si="99"/>
        <v>0</v>
      </c>
      <c r="W229" s="63">
        <f t="shared" si="99"/>
        <v>0</v>
      </c>
      <c r="X229" s="63">
        <f t="shared" si="99"/>
        <v>0</v>
      </c>
      <c r="Y229" s="63">
        <f t="shared" si="99"/>
        <v>0</v>
      </c>
      <c r="Z229" s="63">
        <f t="shared" si="99"/>
        <v>0</v>
      </c>
      <c r="AA229" s="63">
        <f t="shared" si="99"/>
        <v>0</v>
      </c>
      <c r="AB229" s="63">
        <f t="shared" si="99"/>
        <v>0</v>
      </c>
      <c r="AC229" s="63">
        <f t="shared" si="99"/>
        <v>0</v>
      </c>
      <c r="AD229" s="63">
        <f t="shared" si="99"/>
        <v>0</v>
      </c>
      <c r="AE229" s="63">
        <f t="shared" si="99"/>
        <v>0</v>
      </c>
      <c r="AF229" s="63">
        <f t="shared" si="100"/>
        <v>244298</v>
      </c>
      <c r="AG229" s="58" t="str">
        <f t="shared" si="101"/>
        <v>ok</v>
      </c>
    </row>
    <row r="230" spans="1:33">
      <c r="A230" s="60">
        <v>565</v>
      </c>
      <c r="B230" s="44" t="s">
        <v>263</v>
      </c>
      <c r="C230" s="44" t="s">
        <v>264</v>
      </c>
      <c r="D230" s="44" t="s">
        <v>666</v>
      </c>
      <c r="F230" s="79">
        <v>36637.999999999767</v>
      </c>
      <c r="G230" s="62"/>
      <c r="H230" s="63">
        <f t="shared" si="98"/>
        <v>0</v>
      </c>
      <c r="I230" s="63">
        <f t="shared" si="98"/>
        <v>0</v>
      </c>
      <c r="J230" s="63">
        <f t="shared" si="98"/>
        <v>0</v>
      </c>
      <c r="K230" s="63">
        <f t="shared" si="98"/>
        <v>0</v>
      </c>
      <c r="L230" s="63">
        <f t="shared" si="98"/>
        <v>0</v>
      </c>
      <c r="M230" s="63">
        <f t="shared" si="98"/>
        <v>0</v>
      </c>
      <c r="N230" s="63">
        <f t="shared" si="98"/>
        <v>36637.999999999767</v>
      </c>
      <c r="O230" s="63">
        <f t="shared" si="98"/>
        <v>0</v>
      </c>
      <c r="P230" s="63">
        <f t="shared" si="98"/>
        <v>0</v>
      </c>
      <c r="Q230" s="63">
        <f t="shared" si="98"/>
        <v>0</v>
      </c>
      <c r="R230" s="63">
        <f t="shared" si="99"/>
        <v>0</v>
      </c>
      <c r="S230" s="63">
        <f t="shared" si="99"/>
        <v>0</v>
      </c>
      <c r="T230" s="63">
        <f t="shared" si="99"/>
        <v>0</v>
      </c>
      <c r="U230" s="63">
        <f t="shared" si="99"/>
        <v>0</v>
      </c>
      <c r="V230" s="63">
        <f t="shared" si="99"/>
        <v>0</v>
      </c>
      <c r="W230" s="63">
        <f t="shared" si="99"/>
        <v>0</v>
      </c>
      <c r="X230" s="63">
        <f t="shared" si="99"/>
        <v>0</v>
      </c>
      <c r="Y230" s="63">
        <f t="shared" si="99"/>
        <v>0</v>
      </c>
      <c r="Z230" s="63">
        <f t="shared" si="99"/>
        <v>0</v>
      </c>
      <c r="AA230" s="63">
        <f t="shared" si="99"/>
        <v>0</v>
      </c>
      <c r="AB230" s="63">
        <f t="shared" si="99"/>
        <v>0</v>
      </c>
      <c r="AC230" s="63">
        <f t="shared" si="99"/>
        <v>0</v>
      </c>
      <c r="AD230" s="63">
        <f t="shared" si="99"/>
        <v>0</v>
      </c>
      <c r="AE230" s="63">
        <f t="shared" si="99"/>
        <v>0</v>
      </c>
      <c r="AF230" s="63">
        <f t="shared" si="100"/>
        <v>36637.999999999767</v>
      </c>
      <c r="AG230" s="58" t="str">
        <f t="shared" si="101"/>
        <v>ok</v>
      </c>
    </row>
    <row r="231" spans="1:33">
      <c r="A231" s="60">
        <v>566</v>
      </c>
      <c r="B231" s="44" t="s">
        <v>147</v>
      </c>
      <c r="C231" s="44" t="s">
        <v>148</v>
      </c>
      <c r="D231" s="44" t="s">
        <v>1161</v>
      </c>
      <c r="F231" s="79">
        <f>1703065+5245875</f>
        <v>6948940</v>
      </c>
      <c r="G231" s="62"/>
      <c r="H231" s="63">
        <f t="shared" si="98"/>
        <v>0</v>
      </c>
      <c r="I231" s="63">
        <f t="shared" si="98"/>
        <v>0</v>
      </c>
      <c r="J231" s="63">
        <f t="shared" si="98"/>
        <v>0</v>
      </c>
      <c r="K231" s="63">
        <f t="shared" si="98"/>
        <v>0</v>
      </c>
      <c r="L231" s="63">
        <f t="shared" si="98"/>
        <v>0</v>
      </c>
      <c r="M231" s="63">
        <f t="shared" si="98"/>
        <v>0</v>
      </c>
      <c r="N231" s="63">
        <f t="shared" si="98"/>
        <v>6948940</v>
      </c>
      <c r="O231" s="63">
        <f t="shared" si="98"/>
        <v>0</v>
      </c>
      <c r="P231" s="63">
        <f t="shared" si="98"/>
        <v>0</v>
      </c>
      <c r="Q231" s="63">
        <f t="shared" si="98"/>
        <v>0</v>
      </c>
      <c r="R231" s="63">
        <f t="shared" si="99"/>
        <v>0</v>
      </c>
      <c r="S231" s="63">
        <f t="shared" si="99"/>
        <v>0</v>
      </c>
      <c r="T231" s="63">
        <f t="shared" si="99"/>
        <v>0</v>
      </c>
      <c r="U231" s="63">
        <f t="shared" si="99"/>
        <v>0</v>
      </c>
      <c r="V231" s="63">
        <f t="shared" si="99"/>
        <v>0</v>
      </c>
      <c r="W231" s="63">
        <f t="shared" si="99"/>
        <v>0</v>
      </c>
      <c r="X231" s="63">
        <f t="shared" si="99"/>
        <v>0</v>
      </c>
      <c r="Y231" s="63">
        <f t="shared" si="99"/>
        <v>0</v>
      </c>
      <c r="Z231" s="63">
        <f t="shared" si="99"/>
        <v>0</v>
      </c>
      <c r="AA231" s="63">
        <f t="shared" si="99"/>
        <v>0</v>
      </c>
      <c r="AB231" s="63">
        <f t="shared" si="99"/>
        <v>0</v>
      </c>
      <c r="AC231" s="63">
        <f t="shared" si="99"/>
        <v>0</v>
      </c>
      <c r="AD231" s="63">
        <f t="shared" si="99"/>
        <v>0</v>
      </c>
      <c r="AE231" s="63">
        <f t="shared" si="99"/>
        <v>0</v>
      </c>
      <c r="AF231" s="63">
        <f t="shared" si="100"/>
        <v>6948940</v>
      </c>
      <c r="AG231" s="58" t="str">
        <f t="shared" si="101"/>
        <v>ok</v>
      </c>
    </row>
    <row r="232" spans="1:33">
      <c r="A232" s="60">
        <v>567</v>
      </c>
      <c r="B232" s="44" t="s">
        <v>1004</v>
      </c>
      <c r="C232" s="44" t="s">
        <v>265</v>
      </c>
      <c r="D232" s="44" t="s">
        <v>1161</v>
      </c>
      <c r="F232" s="79">
        <f>63552+3948</f>
        <v>67500</v>
      </c>
      <c r="G232" s="62"/>
      <c r="H232" s="63">
        <f t="shared" si="98"/>
        <v>0</v>
      </c>
      <c r="I232" s="63">
        <f t="shared" si="98"/>
        <v>0</v>
      </c>
      <c r="J232" s="63">
        <f t="shared" si="98"/>
        <v>0</v>
      </c>
      <c r="K232" s="63">
        <f t="shared" si="98"/>
        <v>0</v>
      </c>
      <c r="L232" s="63">
        <f t="shared" si="98"/>
        <v>0</v>
      </c>
      <c r="M232" s="63">
        <f t="shared" si="98"/>
        <v>0</v>
      </c>
      <c r="N232" s="63">
        <f t="shared" si="98"/>
        <v>67500</v>
      </c>
      <c r="O232" s="63">
        <f t="shared" si="98"/>
        <v>0</v>
      </c>
      <c r="P232" s="63">
        <f t="shared" si="98"/>
        <v>0</v>
      </c>
      <c r="Q232" s="63">
        <f t="shared" si="98"/>
        <v>0</v>
      </c>
      <c r="R232" s="63">
        <f t="shared" si="99"/>
        <v>0</v>
      </c>
      <c r="S232" s="63">
        <f t="shared" si="99"/>
        <v>0</v>
      </c>
      <c r="T232" s="63">
        <f t="shared" si="99"/>
        <v>0</v>
      </c>
      <c r="U232" s="63">
        <f t="shared" si="99"/>
        <v>0</v>
      </c>
      <c r="V232" s="63">
        <f t="shared" si="99"/>
        <v>0</v>
      </c>
      <c r="W232" s="63">
        <f t="shared" si="99"/>
        <v>0</v>
      </c>
      <c r="X232" s="63">
        <f t="shared" si="99"/>
        <v>0</v>
      </c>
      <c r="Y232" s="63">
        <f t="shared" si="99"/>
        <v>0</v>
      </c>
      <c r="Z232" s="63">
        <f t="shared" si="99"/>
        <v>0</v>
      </c>
      <c r="AA232" s="63">
        <f t="shared" si="99"/>
        <v>0</v>
      </c>
      <c r="AB232" s="63">
        <f t="shared" si="99"/>
        <v>0</v>
      </c>
      <c r="AC232" s="63">
        <f t="shared" si="99"/>
        <v>0</v>
      </c>
      <c r="AD232" s="63">
        <f t="shared" si="99"/>
        <v>0</v>
      </c>
      <c r="AE232" s="63">
        <f t="shared" si="99"/>
        <v>0</v>
      </c>
      <c r="AF232" s="63">
        <f t="shared" ref="AF232:AF238" si="102">SUM(H232:AE232)</f>
        <v>67500</v>
      </c>
      <c r="AG232" s="58" t="str">
        <f t="shared" si="101"/>
        <v>ok</v>
      </c>
    </row>
    <row r="233" spans="1:33">
      <c r="A233" s="60">
        <v>568</v>
      </c>
      <c r="B233" s="44" t="s">
        <v>1145</v>
      </c>
      <c r="C233" s="44" t="s">
        <v>15</v>
      </c>
      <c r="D233" s="44" t="s">
        <v>666</v>
      </c>
      <c r="F233" s="79"/>
      <c r="G233" s="62"/>
      <c r="H233" s="63">
        <f t="shared" si="98"/>
        <v>0</v>
      </c>
      <c r="I233" s="63">
        <f t="shared" si="98"/>
        <v>0</v>
      </c>
      <c r="J233" s="63">
        <f t="shared" si="98"/>
        <v>0</v>
      </c>
      <c r="K233" s="63">
        <f t="shared" si="98"/>
        <v>0</v>
      </c>
      <c r="L233" s="63">
        <f t="shared" si="98"/>
        <v>0</v>
      </c>
      <c r="M233" s="63">
        <f t="shared" si="98"/>
        <v>0</v>
      </c>
      <c r="N233" s="63">
        <f t="shared" si="98"/>
        <v>0</v>
      </c>
      <c r="O233" s="63">
        <f t="shared" si="98"/>
        <v>0</v>
      </c>
      <c r="P233" s="63">
        <f t="shared" si="98"/>
        <v>0</v>
      </c>
      <c r="Q233" s="63">
        <f t="shared" si="98"/>
        <v>0</v>
      </c>
      <c r="R233" s="63">
        <f t="shared" si="99"/>
        <v>0</v>
      </c>
      <c r="S233" s="63">
        <f t="shared" si="99"/>
        <v>0</v>
      </c>
      <c r="T233" s="63">
        <f t="shared" si="99"/>
        <v>0</v>
      </c>
      <c r="U233" s="63">
        <f t="shared" si="99"/>
        <v>0</v>
      </c>
      <c r="V233" s="63">
        <f t="shared" si="99"/>
        <v>0</v>
      </c>
      <c r="W233" s="63">
        <f t="shared" si="99"/>
        <v>0</v>
      </c>
      <c r="X233" s="63">
        <f t="shared" si="99"/>
        <v>0</v>
      </c>
      <c r="Y233" s="63">
        <f t="shared" si="99"/>
        <v>0</v>
      </c>
      <c r="Z233" s="63">
        <f t="shared" si="99"/>
        <v>0</v>
      </c>
      <c r="AA233" s="63">
        <f t="shared" si="99"/>
        <v>0</v>
      </c>
      <c r="AB233" s="63">
        <f t="shared" si="99"/>
        <v>0</v>
      </c>
      <c r="AC233" s="63">
        <f t="shared" si="99"/>
        <v>0</v>
      </c>
      <c r="AD233" s="63">
        <f t="shared" si="99"/>
        <v>0</v>
      </c>
      <c r="AE233" s="63">
        <f t="shared" si="99"/>
        <v>0</v>
      </c>
      <c r="AF233" s="63">
        <f t="shared" si="102"/>
        <v>0</v>
      </c>
      <c r="AG233" s="58" t="str">
        <f t="shared" si="101"/>
        <v>ok</v>
      </c>
    </row>
    <row r="234" spans="1:33">
      <c r="A234" s="60">
        <v>569</v>
      </c>
      <c r="B234" s="44" t="s">
        <v>266</v>
      </c>
      <c r="C234" s="44" t="s">
        <v>267</v>
      </c>
      <c r="D234" s="44" t="s">
        <v>666</v>
      </c>
      <c r="F234" s="79">
        <v>0</v>
      </c>
      <c r="G234" s="62"/>
      <c r="H234" s="63">
        <f t="shared" si="98"/>
        <v>0</v>
      </c>
      <c r="I234" s="63">
        <f t="shared" si="98"/>
        <v>0</v>
      </c>
      <c r="J234" s="63">
        <f t="shared" si="98"/>
        <v>0</v>
      </c>
      <c r="K234" s="63">
        <f t="shared" si="98"/>
        <v>0</v>
      </c>
      <c r="L234" s="63">
        <f t="shared" si="98"/>
        <v>0</v>
      </c>
      <c r="M234" s="63">
        <f t="shared" si="98"/>
        <v>0</v>
      </c>
      <c r="N234" s="63">
        <f t="shared" si="98"/>
        <v>0</v>
      </c>
      <c r="O234" s="63">
        <f t="shared" si="98"/>
        <v>0</v>
      </c>
      <c r="P234" s="63">
        <f t="shared" si="98"/>
        <v>0</v>
      </c>
      <c r="Q234" s="63">
        <f t="shared" si="98"/>
        <v>0</v>
      </c>
      <c r="R234" s="63">
        <f t="shared" si="99"/>
        <v>0</v>
      </c>
      <c r="S234" s="63">
        <f t="shared" si="99"/>
        <v>0</v>
      </c>
      <c r="T234" s="63">
        <f t="shared" si="99"/>
        <v>0</v>
      </c>
      <c r="U234" s="63">
        <f t="shared" si="99"/>
        <v>0</v>
      </c>
      <c r="V234" s="63">
        <f t="shared" si="99"/>
        <v>0</v>
      </c>
      <c r="W234" s="63">
        <f t="shared" si="99"/>
        <v>0</v>
      </c>
      <c r="X234" s="63">
        <f t="shared" si="99"/>
        <v>0</v>
      </c>
      <c r="Y234" s="63">
        <f t="shared" si="99"/>
        <v>0</v>
      </c>
      <c r="Z234" s="63">
        <f t="shared" si="99"/>
        <v>0</v>
      </c>
      <c r="AA234" s="63">
        <f t="shared" si="99"/>
        <v>0</v>
      </c>
      <c r="AB234" s="63">
        <f t="shared" si="99"/>
        <v>0</v>
      </c>
      <c r="AC234" s="63">
        <f t="shared" si="99"/>
        <v>0</v>
      </c>
      <c r="AD234" s="63">
        <f t="shared" si="99"/>
        <v>0</v>
      </c>
      <c r="AE234" s="63">
        <f t="shared" si="99"/>
        <v>0</v>
      </c>
      <c r="AF234" s="63">
        <f t="shared" si="102"/>
        <v>0</v>
      </c>
      <c r="AG234" s="58" t="str">
        <f t="shared" si="101"/>
        <v>ok</v>
      </c>
    </row>
    <row r="235" spans="1:33">
      <c r="A235" s="60">
        <v>570</v>
      </c>
      <c r="B235" s="44" t="s">
        <v>1147</v>
      </c>
      <c r="C235" s="44" t="s">
        <v>16</v>
      </c>
      <c r="D235" s="44" t="s">
        <v>666</v>
      </c>
      <c r="F235" s="79">
        <f>1490332</f>
        <v>1490332</v>
      </c>
      <c r="G235" s="62"/>
      <c r="H235" s="63">
        <f t="shared" si="98"/>
        <v>0</v>
      </c>
      <c r="I235" s="63">
        <f t="shared" si="98"/>
        <v>0</v>
      </c>
      <c r="J235" s="63">
        <f t="shared" si="98"/>
        <v>0</v>
      </c>
      <c r="K235" s="63">
        <f t="shared" si="98"/>
        <v>0</v>
      </c>
      <c r="L235" s="63">
        <f t="shared" si="98"/>
        <v>0</v>
      </c>
      <c r="M235" s="63">
        <f t="shared" si="98"/>
        <v>0</v>
      </c>
      <c r="N235" s="63">
        <f t="shared" si="98"/>
        <v>1490332</v>
      </c>
      <c r="O235" s="63">
        <f t="shared" si="98"/>
        <v>0</v>
      </c>
      <c r="P235" s="63">
        <f t="shared" si="98"/>
        <v>0</v>
      </c>
      <c r="Q235" s="63">
        <f t="shared" si="98"/>
        <v>0</v>
      </c>
      <c r="R235" s="63">
        <f t="shared" si="99"/>
        <v>0</v>
      </c>
      <c r="S235" s="63">
        <f t="shared" si="99"/>
        <v>0</v>
      </c>
      <c r="T235" s="63">
        <f t="shared" si="99"/>
        <v>0</v>
      </c>
      <c r="U235" s="63">
        <f t="shared" si="99"/>
        <v>0</v>
      </c>
      <c r="V235" s="63">
        <f t="shared" si="99"/>
        <v>0</v>
      </c>
      <c r="W235" s="63">
        <f t="shared" si="99"/>
        <v>0</v>
      </c>
      <c r="X235" s="63">
        <f t="shared" si="99"/>
        <v>0</v>
      </c>
      <c r="Y235" s="63">
        <f t="shared" si="99"/>
        <v>0</v>
      </c>
      <c r="Z235" s="63">
        <f t="shared" si="99"/>
        <v>0</v>
      </c>
      <c r="AA235" s="63">
        <f t="shared" si="99"/>
        <v>0</v>
      </c>
      <c r="AB235" s="63">
        <f t="shared" si="99"/>
        <v>0</v>
      </c>
      <c r="AC235" s="63">
        <f t="shared" si="99"/>
        <v>0</v>
      </c>
      <c r="AD235" s="63">
        <f t="shared" si="99"/>
        <v>0</v>
      </c>
      <c r="AE235" s="63">
        <f t="shared" si="99"/>
        <v>0</v>
      </c>
      <c r="AF235" s="63">
        <f t="shared" si="102"/>
        <v>1490332</v>
      </c>
      <c r="AG235" s="58" t="str">
        <f t="shared" si="101"/>
        <v>ok</v>
      </c>
    </row>
    <row r="236" spans="1:33">
      <c r="A236" s="60">
        <v>571</v>
      </c>
      <c r="B236" s="44" t="s">
        <v>1148</v>
      </c>
      <c r="C236" s="44" t="s">
        <v>17</v>
      </c>
      <c r="D236" s="44" t="s">
        <v>666</v>
      </c>
      <c r="F236" s="79">
        <f>3342881</f>
        <v>3342881</v>
      </c>
      <c r="G236" s="62"/>
      <c r="H236" s="63">
        <f t="shared" si="98"/>
        <v>0</v>
      </c>
      <c r="I236" s="63">
        <f t="shared" si="98"/>
        <v>0</v>
      </c>
      <c r="J236" s="63">
        <f t="shared" si="98"/>
        <v>0</v>
      </c>
      <c r="K236" s="63">
        <f t="shared" si="98"/>
        <v>0</v>
      </c>
      <c r="L236" s="63">
        <f t="shared" si="98"/>
        <v>0</v>
      </c>
      <c r="M236" s="63">
        <f t="shared" si="98"/>
        <v>0</v>
      </c>
      <c r="N236" s="63">
        <f t="shared" si="98"/>
        <v>3342881</v>
      </c>
      <c r="O236" s="63">
        <f t="shared" si="98"/>
        <v>0</v>
      </c>
      <c r="P236" s="63">
        <f t="shared" si="98"/>
        <v>0</v>
      </c>
      <c r="Q236" s="63">
        <f t="shared" si="98"/>
        <v>0</v>
      </c>
      <c r="R236" s="63">
        <f t="shared" si="99"/>
        <v>0</v>
      </c>
      <c r="S236" s="63">
        <f t="shared" si="99"/>
        <v>0</v>
      </c>
      <c r="T236" s="63">
        <f t="shared" si="99"/>
        <v>0</v>
      </c>
      <c r="U236" s="63">
        <f t="shared" si="99"/>
        <v>0</v>
      </c>
      <c r="V236" s="63">
        <f t="shared" si="99"/>
        <v>0</v>
      </c>
      <c r="W236" s="63">
        <f t="shared" si="99"/>
        <v>0</v>
      </c>
      <c r="X236" s="63">
        <f t="shared" si="99"/>
        <v>0</v>
      </c>
      <c r="Y236" s="63">
        <f t="shared" si="99"/>
        <v>0</v>
      </c>
      <c r="Z236" s="63">
        <f t="shared" si="99"/>
        <v>0</v>
      </c>
      <c r="AA236" s="63">
        <f t="shared" si="99"/>
        <v>0</v>
      </c>
      <c r="AB236" s="63">
        <f t="shared" si="99"/>
        <v>0</v>
      </c>
      <c r="AC236" s="63">
        <f t="shared" si="99"/>
        <v>0</v>
      </c>
      <c r="AD236" s="63">
        <f t="shared" si="99"/>
        <v>0</v>
      </c>
      <c r="AE236" s="63">
        <f t="shared" si="99"/>
        <v>0</v>
      </c>
      <c r="AF236" s="63">
        <f t="shared" si="102"/>
        <v>3342881</v>
      </c>
      <c r="AG236" s="58" t="str">
        <f t="shared" si="101"/>
        <v>ok</v>
      </c>
    </row>
    <row r="237" spans="1:33">
      <c r="A237" s="60">
        <v>572</v>
      </c>
      <c r="B237" s="44" t="s">
        <v>268</v>
      </c>
      <c r="C237" s="44" t="s">
        <v>269</v>
      </c>
      <c r="D237" s="44" t="s">
        <v>666</v>
      </c>
      <c r="F237" s="79">
        <v>0</v>
      </c>
      <c r="G237" s="62"/>
      <c r="H237" s="63">
        <f t="shared" si="98"/>
        <v>0</v>
      </c>
      <c r="I237" s="63">
        <f t="shared" si="98"/>
        <v>0</v>
      </c>
      <c r="J237" s="63">
        <f t="shared" si="98"/>
        <v>0</v>
      </c>
      <c r="K237" s="63">
        <f t="shared" si="98"/>
        <v>0</v>
      </c>
      <c r="L237" s="63">
        <f t="shared" si="98"/>
        <v>0</v>
      </c>
      <c r="M237" s="63">
        <f t="shared" si="98"/>
        <v>0</v>
      </c>
      <c r="N237" s="63">
        <f t="shared" si="98"/>
        <v>0</v>
      </c>
      <c r="O237" s="63">
        <f t="shared" si="98"/>
        <v>0</v>
      </c>
      <c r="P237" s="63">
        <f t="shared" si="98"/>
        <v>0</v>
      </c>
      <c r="Q237" s="63">
        <f t="shared" si="98"/>
        <v>0</v>
      </c>
      <c r="R237" s="63">
        <f t="shared" si="99"/>
        <v>0</v>
      </c>
      <c r="S237" s="63">
        <f t="shared" si="99"/>
        <v>0</v>
      </c>
      <c r="T237" s="63">
        <f t="shared" si="99"/>
        <v>0</v>
      </c>
      <c r="U237" s="63">
        <f t="shared" si="99"/>
        <v>0</v>
      </c>
      <c r="V237" s="63">
        <f t="shared" si="99"/>
        <v>0</v>
      </c>
      <c r="W237" s="63">
        <f t="shared" si="99"/>
        <v>0</v>
      </c>
      <c r="X237" s="63">
        <f t="shared" si="99"/>
        <v>0</v>
      </c>
      <c r="Y237" s="63">
        <f t="shared" si="99"/>
        <v>0</v>
      </c>
      <c r="Z237" s="63">
        <f t="shared" si="99"/>
        <v>0</v>
      </c>
      <c r="AA237" s="63">
        <f t="shared" si="99"/>
        <v>0</v>
      </c>
      <c r="AB237" s="63">
        <f t="shared" si="99"/>
        <v>0</v>
      </c>
      <c r="AC237" s="63">
        <f t="shared" si="99"/>
        <v>0</v>
      </c>
      <c r="AD237" s="63">
        <f t="shared" si="99"/>
        <v>0</v>
      </c>
      <c r="AE237" s="63">
        <f t="shared" si="99"/>
        <v>0</v>
      </c>
      <c r="AF237" s="63">
        <f t="shared" si="102"/>
        <v>0</v>
      </c>
      <c r="AG237" s="58" t="str">
        <f t="shared" si="101"/>
        <v>ok</v>
      </c>
    </row>
    <row r="238" spans="1:33">
      <c r="A238" s="60">
        <v>573</v>
      </c>
      <c r="B238" s="44" t="s">
        <v>270</v>
      </c>
      <c r="C238" s="44" t="s">
        <v>271</v>
      </c>
      <c r="D238" s="44" t="s">
        <v>1161</v>
      </c>
      <c r="F238" s="79">
        <f>228063</f>
        <v>228063</v>
      </c>
      <c r="G238" s="62"/>
      <c r="H238" s="63">
        <f t="shared" si="98"/>
        <v>0</v>
      </c>
      <c r="I238" s="63">
        <f t="shared" si="98"/>
        <v>0</v>
      </c>
      <c r="J238" s="63">
        <f t="shared" si="98"/>
        <v>0</v>
      </c>
      <c r="K238" s="63">
        <f t="shared" si="98"/>
        <v>0</v>
      </c>
      <c r="L238" s="63">
        <f t="shared" si="98"/>
        <v>0</v>
      </c>
      <c r="M238" s="63">
        <f t="shared" si="98"/>
        <v>0</v>
      </c>
      <c r="N238" s="63">
        <f t="shared" si="98"/>
        <v>228063</v>
      </c>
      <c r="O238" s="63">
        <f t="shared" si="98"/>
        <v>0</v>
      </c>
      <c r="P238" s="63">
        <f t="shared" si="98"/>
        <v>0</v>
      </c>
      <c r="Q238" s="63">
        <f t="shared" si="98"/>
        <v>0</v>
      </c>
      <c r="R238" s="63">
        <f t="shared" si="99"/>
        <v>0</v>
      </c>
      <c r="S238" s="63">
        <f t="shared" si="99"/>
        <v>0</v>
      </c>
      <c r="T238" s="63">
        <f t="shared" si="99"/>
        <v>0</v>
      </c>
      <c r="U238" s="63">
        <f t="shared" si="99"/>
        <v>0</v>
      </c>
      <c r="V238" s="63">
        <f t="shared" si="99"/>
        <v>0</v>
      </c>
      <c r="W238" s="63">
        <f t="shared" si="99"/>
        <v>0</v>
      </c>
      <c r="X238" s="63">
        <f t="shared" si="99"/>
        <v>0</v>
      </c>
      <c r="Y238" s="63">
        <f t="shared" si="99"/>
        <v>0</v>
      </c>
      <c r="Z238" s="63">
        <f t="shared" si="99"/>
        <v>0</v>
      </c>
      <c r="AA238" s="63">
        <f t="shared" si="99"/>
        <v>0</v>
      </c>
      <c r="AB238" s="63">
        <f t="shared" si="99"/>
        <v>0</v>
      </c>
      <c r="AC238" s="63">
        <f t="shared" si="99"/>
        <v>0</v>
      </c>
      <c r="AD238" s="63">
        <f t="shared" si="99"/>
        <v>0</v>
      </c>
      <c r="AE238" s="63">
        <f t="shared" si="99"/>
        <v>0</v>
      </c>
      <c r="AF238" s="63">
        <f t="shared" si="102"/>
        <v>228063</v>
      </c>
      <c r="AG238" s="58" t="str">
        <f t="shared" si="101"/>
        <v>ok</v>
      </c>
    </row>
    <row r="239" spans="1:33">
      <c r="A239" s="60">
        <v>575</v>
      </c>
      <c r="B239" s="60" t="s">
        <v>916</v>
      </c>
      <c r="C239" s="60" t="s">
        <v>917</v>
      </c>
      <c r="D239" s="44" t="s">
        <v>666</v>
      </c>
      <c r="F239" s="79">
        <v>0</v>
      </c>
      <c r="G239" s="62"/>
      <c r="H239" s="63">
        <f t="shared" si="98"/>
        <v>0</v>
      </c>
      <c r="I239" s="63">
        <f t="shared" si="98"/>
        <v>0</v>
      </c>
      <c r="J239" s="63">
        <f t="shared" si="98"/>
        <v>0</v>
      </c>
      <c r="K239" s="63">
        <f t="shared" si="98"/>
        <v>0</v>
      </c>
      <c r="L239" s="63">
        <f t="shared" si="98"/>
        <v>0</v>
      </c>
      <c r="M239" s="63">
        <f t="shared" si="98"/>
        <v>0</v>
      </c>
      <c r="N239" s="63">
        <f t="shared" si="98"/>
        <v>0</v>
      </c>
      <c r="O239" s="63">
        <f t="shared" si="98"/>
        <v>0</v>
      </c>
      <c r="P239" s="63">
        <f t="shared" si="98"/>
        <v>0</v>
      </c>
      <c r="Q239" s="63">
        <f t="shared" si="98"/>
        <v>0</v>
      </c>
      <c r="R239" s="63">
        <f t="shared" si="99"/>
        <v>0</v>
      </c>
      <c r="S239" s="63">
        <f t="shared" si="99"/>
        <v>0</v>
      </c>
      <c r="T239" s="63">
        <f t="shared" si="99"/>
        <v>0</v>
      </c>
      <c r="U239" s="63">
        <f t="shared" si="99"/>
        <v>0</v>
      </c>
      <c r="V239" s="63">
        <f t="shared" si="99"/>
        <v>0</v>
      </c>
      <c r="W239" s="63">
        <f t="shared" si="99"/>
        <v>0</v>
      </c>
      <c r="X239" s="63">
        <f t="shared" si="99"/>
        <v>0</v>
      </c>
      <c r="Y239" s="63">
        <f t="shared" si="99"/>
        <v>0</v>
      </c>
      <c r="Z239" s="63">
        <f t="shared" si="99"/>
        <v>0</v>
      </c>
      <c r="AA239" s="63">
        <f t="shared" si="99"/>
        <v>0</v>
      </c>
      <c r="AB239" s="63">
        <f t="shared" si="99"/>
        <v>0</v>
      </c>
      <c r="AC239" s="63">
        <f t="shared" si="99"/>
        <v>0</v>
      </c>
      <c r="AD239" s="63">
        <f t="shared" si="99"/>
        <v>0</v>
      </c>
      <c r="AE239" s="63">
        <f t="shared" si="99"/>
        <v>0</v>
      </c>
      <c r="AF239" s="63">
        <f>SUM(H239:AE239)</f>
        <v>0</v>
      </c>
      <c r="AG239" s="58" t="str">
        <f t="shared" si="101"/>
        <v>ok</v>
      </c>
    </row>
    <row r="240" spans="1:33">
      <c r="A240" s="60"/>
      <c r="F240" s="76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3"/>
      <c r="AG240" s="58"/>
    </row>
    <row r="241" spans="1:33">
      <c r="A241" s="60" t="s">
        <v>1149</v>
      </c>
      <c r="F241" s="80">
        <f>SUM(F226:F239)</f>
        <v>16509511</v>
      </c>
      <c r="G241" s="64">
        <f>SUM(G226:G236)</f>
        <v>0</v>
      </c>
      <c r="H241" s="64">
        <f t="shared" ref="H241:N241" si="103">SUM(H226:H239)</f>
        <v>0</v>
      </c>
      <c r="I241" s="64">
        <f t="shared" si="103"/>
        <v>0</v>
      </c>
      <c r="J241" s="64">
        <f t="shared" si="103"/>
        <v>0</v>
      </c>
      <c r="K241" s="64">
        <f t="shared" si="103"/>
        <v>0</v>
      </c>
      <c r="L241" s="64">
        <f t="shared" si="103"/>
        <v>0</v>
      </c>
      <c r="M241" s="64">
        <f t="shared" si="103"/>
        <v>0</v>
      </c>
      <c r="N241" s="64">
        <f t="shared" si="103"/>
        <v>16509511</v>
      </c>
      <c r="O241" s="64">
        <f t="shared" ref="O241:AE241" si="104">SUM(O226:O239)</f>
        <v>0</v>
      </c>
      <c r="P241" s="64">
        <f t="shared" si="104"/>
        <v>0</v>
      </c>
      <c r="Q241" s="64">
        <f t="shared" si="104"/>
        <v>0</v>
      </c>
      <c r="R241" s="64">
        <f t="shared" si="104"/>
        <v>0</v>
      </c>
      <c r="S241" s="64">
        <f t="shared" si="104"/>
        <v>0</v>
      </c>
      <c r="T241" s="64">
        <f t="shared" si="104"/>
        <v>0</v>
      </c>
      <c r="U241" s="64">
        <f t="shared" si="104"/>
        <v>0</v>
      </c>
      <c r="V241" s="64">
        <f t="shared" si="104"/>
        <v>0</v>
      </c>
      <c r="W241" s="64">
        <f t="shared" si="104"/>
        <v>0</v>
      </c>
      <c r="X241" s="64">
        <f t="shared" si="104"/>
        <v>0</v>
      </c>
      <c r="Y241" s="64">
        <f t="shared" si="104"/>
        <v>0</v>
      </c>
      <c r="Z241" s="64">
        <f t="shared" si="104"/>
        <v>0</v>
      </c>
      <c r="AA241" s="64">
        <f t="shared" si="104"/>
        <v>0</v>
      </c>
      <c r="AB241" s="64">
        <f t="shared" si="104"/>
        <v>0</v>
      </c>
      <c r="AC241" s="64">
        <f t="shared" si="104"/>
        <v>0</v>
      </c>
      <c r="AD241" s="64">
        <f t="shared" si="104"/>
        <v>0</v>
      </c>
      <c r="AE241" s="64">
        <f t="shared" si="104"/>
        <v>0</v>
      </c>
      <c r="AF241" s="62">
        <f>SUM(H241:AE241)</f>
        <v>16509511</v>
      </c>
      <c r="AG241" s="58" t="str">
        <f>IF(ABS(AF241-F241)&lt;1,"ok","err")</f>
        <v>ok</v>
      </c>
    </row>
    <row r="242" spans="1:33">
      <c r="A242" s="60"/>
      <c r="W242" s="44"/>
      <c r="AG242" s="58"/>
    </row>
    <row r="243" spans="1:33" ht="15">
      <c r="A243" s="59" t="s">
        <v>1024</v>
      </c>
      <c r="W243" s="44"/>
      <c r="AG243" s="58"/>
    </row>
    <row r="244" spans="1:33">
      <c r="A244" s="60"/>
      <c r="W244" s="44"/>
      <c r="AG244" s="58"/>
    </row>
    <row r="245" spans="1:33" ht="15">
      <c r="A245" s="65" t="s">
        <v>987</v>
      </c>
      <c r="W245" s="44"/>
      <c r="AG245" s="58"/>
    </row>
    <row r="246" spans="1:33">
      <c r="A246" s="60">
        <v>580</v>
      </c>
      <c r="B246" s="44" t="s">
        <v>988</v>
      </c>
      <c r="C246" s="44" t="s">
        <v>989</v>
      </c>
      <c r="D246" s="44" t="s">
        <v>64</v>
      </c>
      <c r="F246" s="76">
        <v>1814624</v>
      </c>
      <c r="H246" s="63">
        <f t="shared" ref="H246:Q257" si="105">IF(VLOOKUP($D246,$C$6:$AE$653,H$2,)=0,0,((VLOOKUP($D246,$C$6:$AE$653,H$2,)/VLOOKUP($D246,$C$6:$AE$653,4,))*$F246))</f>
        <v>0</v>
      </c>
      <c r="I246" s="63">
        <f t="shared" si="105"/>
        <v>0</v>
      </c>
      <c r="J246" s="63">
        <f t="shared" si="105"/>
        <v>0</v>
      </c>
      <c r="K246" s="63">
        <f t="shared" si="105"/>
        <v>0</v>
      </c>
      <c r="L246" s="63">
        <f t="shared" si="105"/>
        <v>0</v>
      </c>
      <c r="M246" s="63">
        <f t="shared" si="105"/>
        <v>0</v>
      </c>
      <c r="N246" s="63">
        <f t="shared" si="105"/>
        <v>0</v>
      </c>
      <c r="O246" s="63">
        <f t="shared" si="105"/>
        <v>0</v>
      </c>
      <c r="P246" s="63">
        <f t="shared" si="105"/>
        <v>0</v>
      </c>
      <c r="Q246" s="63">
        <f t="shared" si="105"/>
        <v>0</v>
      </c>
      <c r="R246" s="63">
        <f t="shared" ref="R246:AE257" si="106">IF(VLOOKUP($D246,$C$6:$AE$653,R$2,)=0,0,((VLOOKUP($D246,$C$6:$AE$653,R$2,)/VLOOKUP($D246,$C$6:$AE$653,4,))*$F246))</f>
        <v>336694.95423976053</v>
      </c>
      <c r="S246" s="63">
        <f t="shared" si="106"/>
        <v>0</v>
      </c>
      <c r="T246" s="63">
        <f t="shared" si="106"/>
        <v>182918.09062910196</v>
      </c>
      <c r="U246" s="63">
        <f t="shared" si="106"/>
        <v>278034.71734831348</v>
      </c>
      <c r="V246" s="63">
        <f t="shared" si="106"/>
        <v>58766.155009527873</v>
      </c>
      <c r="W246" s="63">
        <f t="shared" si="106"/>
        <v>86953.27580664141</v>
      </c>
      <c r="X246" s="63">
        <f t="shared" si="106"/>
        <v>23619.462679762364</v>
      </c>
      <c r="Y246" s="63">
        <f t="shared" si="106"/>
        <v>16518.326827387926</v>
      </c>
      <c r="Z246" s="63">
        <f t="shared" si="106"/>
        <v>8203.3099562878961</v>
      </c>
      <c r="AA246" s="63">
        <f t="shared" si="106"/>
        <v>796842.23200671258</v>
      </c>
      <c r="AB246" s="63">
        <f t="shared" si="106"/>
        <v>26073.475496503932</v>
      </c>
      <c r="AC246" s="63">
        <f t="shared" si="106"/>
        <v>0</v>
      </c>
      <c r="AD246" s="63">
        <f t="shared" si="106"/>
        <v>0</v>
      </c>
      <c r="AE246" s="63">
        <f t="shared" si="106"/>
        <v>0</v>
      </c>
      <c r="AF246" s="63">
        <f t="shared" ref="AF246:AF257" si="107">SUM(H246:AE246)</f>
        <v>1814624</v>
      </c>
      <c r="AG246" s="58" t="str">
        <f t="shared" ref="AG246:AG257" si="108">IF(ABS(AF246-F246)&lt;1,"ok","err")</f>
        <v>ok</v>
      </c>
    </row>
    <row r="247" spans="1:33">
      <c r="A247" s="60">
        <v>581</v>
      </c>
      <c r="B247" s="44" t="s">
        <v>990</v>
      </c>
      <c r="C247" s="44" t="s">
        <v>991</v>
      </c>
      <c r="D247" s="44" t="s">
        <v>939</v>
      </c>
      <c r="F247" s="79">
        <v>741674</v>
      </c>
      <c r="H247" s="63">
        <f t="shared" si="105"/>
        <v>0</v>
      </c>
      <c r="I247" s="63">
        <f t="shared" si="105"/>
        <v>0</v>
      </c>
      <c r="J247" s="63">
        <f t="shared" si="105"/>
        <v>0</v>
      </c>
      <c r="K247" s="63">
        <f t="shared" si="105"/>
        <v>0</v>
      </c>
      <c r="L247" s="63">
        <f t="shared" si="105"/>
        <v>0</v>
      </c>
      <c r="M247" s="63">
        <f t="shared" si="105"/>
        <v>0</v>
      </c>
      <c r="N247" s="63">
        <f t="shared" si="105"/>
        <v>0</v>
      </c>
      <c r="O247" s="63">
        <f t="shared" si="105"/>
        <v>0</v>
      </c>
      <c r="P247" s="63">
        <f t="shared" si="105"/>
        <v>0</v>
      </c>
      <c r="Q247" s="63">
        <f t="shared" si="105"/>
        <v>0</v>
      </c>
      <c r="R247" s="63">
        <f t="shared" si="106"/>
        <v>741674</v>
      </c>
      <c r="S247" s="63">
        <f t="shared" si="106"/>
        <v>0</v>
      </c>
      <c r="T247" s="63">
        <f t="shared" si="106"/>
        <v>0</v>
      </c>
      <c r="U247" s="63">
        <f t="shared" si="106"/>
        <v>0</v>
      </c>
      <c r="V247" s="63">
        <f t="shared" si="106"/>
        <v>0</v>
      </c>
      <c r="W247" s="63">
        <f t="shared" si="106"/>
        <v>0</v>
      </c>
      <c r="X247" s="63">
        <f t="shared" si="106"/>
        <v>0</v>
      </c>
      <c r="Y247" s="63">
        <f t="shared" si="106"/>
        <v>0</v>
      </c>
      <c r="Z247" s="63">
        <f t="shared" si="106"/>
        <v>0</v>
      </c>
      <c r="AA247" s="63">
        <f t="shared" si="106"/>
        <v>0</v>
      </c>
      <c r="AB247" s="63">
        <f t="shared" si="106"/>
        <v>0</v>
      </c>
      <c r="AC247" s="63">
        <f t="shared" si="106"/>
        <v>0</v>
      </c>
      <c r="AD247" s="63">
        <f t="shared" si="106"/>
        <v>0</v>
      </c>
      <c r="AE247" s="63">
        <f t="shared" si="106"/>
        <v>0</v>
      </c>
      <c r="AF247" s="63">
        <f t="shared" si="107"/>
        <v>741674</v>
      </c>
      <c r="AG247" s="58" t="str">
        <f t="shared" si="108"/>
        <v>ok</v>
      </c>
    </row>
    <row r="248" spans="1:33">
      <c r="A248" s="60">
        <v>582</v>
      </c>
      <c r="B248" s="44" t="s">
        <v>1144</v>
      </c>
      <c r="C248" s="44" t="s">
        <v>1150</v>
      </c>
      <c r="D248" s="44" t="s">
        <v>939</v>
      </c>
      <c r="F248" s="79">
        <v>1941657</v>
      </c>
      <c r="H248" s="63">
        <f t="shared" si="105"/>
        <v>0</v>
      </c>
      <c r="I248" s="63">
        <f t="shared" si="105"/>
        <v>0</v>
      </c>
      <c r="J248" s="63">
        <f t="shared" si="105"/>
        <v>0</v>
      </c>
      <c r="K248" s="63">
        <f t="shared" si="105"/>
        <v>0</v>
      </c>
      <c r="L248" s="63">
        <f t="shared" si="105"/>
        <v>0</v>
      </c>
      <c r="M248" s="63">
        <f t="shared" si="105"/>
        <v>0</v>
      </c>
      <c r="N248" s="63">
        <f t="shared" si="105"/>
        <v>0</v>
      </c>
      <c r="O248" s="63">
        <f t="shared" si="105"/>
        <v>0</v>
      </c>
      <c r="P248" s="63">
        <f t="shared" si="105"/>
        <v>0</v>
      </c>
      <c r="Q248" s="63">
        <f t="shared" si="105"/>
        <v>0</v>
      </c>
      <c r="R248" s="63">
        <f t="shared" si="106"/>
        <v>1941657</v>
      </c>
      <c r="S248" s="63">
        <f t="shared" si="106"/>
        <v>0</v>
      </c>
      <c r="T248" s="63">
        <f t="shared" si="106"/>
        <v>0</v>
      </c>
      <c r="U248" s="63">
        <f t="shared" si="106"/>
        <v>0</v>
      </c>
      <c r="V248" s="63">
        <f t="shared" si="106"/>
        <v>0</v>
      </c>
      <c r="W248" s="63">
        <f t="shared" si="106"/>
        <v>0</v>
      </c>
      <c r="X248" s="63">
        <f t="shared" si="106"/>
        <v>0</v>
      </c>
      <c r="Y248" s="63">
        <f t="shared" si="106"/>
        <v>0</v>
      </c>
      <c r="Z248" s="63">
        <f t="shared" si="106"/>
        <v>0</v>
      </c>
      <c r="AA248" s="63">
        <f t="shared" si="106"/>
        <v>0</v>
      </c>
      <c r="AB248" s="63">
        <f t="shared" si="106"/>
        <v>0</v>
      </c>
      <c r="AC248" s="63">
        <f t="shared" si="106"/>
        <v>0</v>
      </c>
      <c r="AD248" s="63">
        <f t="shared" si="106"/>
        <v>0</v>
      </c>
      <c r="AE248" s="63">
        <f t="shared" si="106"/>
        <v>0</v>
      </c>
      <c r="AF248" s="63">
        <f t="shared" si="107"/>
        <v>1941657</v>
      </c>
      <c r="AG248" s="58" t="str">
        <f t="shared" si="108"/>
        <v>ok</v>
      </c>
    </row>
    <row r="249" spans="1:33">
      <c r="A249" s="60">
        <v>583</v>
      </c>
      <c r="B249" s="44" t="s">
        <v>992</v>
      </c>
      <c r="C249" s="44" t="s">
        <v>993</v>
      </c>
      <c r="D249" s="44" t="s">
        <v>942</v>
      </c>
      <c r="F249" s="79">
        <v>5880672</v>
      </c>
      <c r="H249" s="63">
        <f t="shared" si="105"/>
        <v>0</v>
      </c>
      <c r="I249" s="63">
        <f t="shared" si="105"/>
        <v>0</v>
      </c>
      <c r="J249" s="63">
        <f t="shared" si="105"/>
        <v>0</v>
      </c>
      <c r="K249" s="63">
        <f t="shared" si="105"/>
        <v>0</v>
      </c>
      <c r="L249" s="63">
        <f t="shared" si="105"/>
        <v>0</v>
      </c>
      <c r="M249" s="63">
        <f t="shared" si="105"/>
        <v>0</v>
      </c>
      <c r="N249" s="63">
        <f t="shared" si="105"/>
        <v>0</v>
      </c>
      <c r="O249" s="63">
        <f t="shared" si="105"/>
        <v>0</v>
      </c>
      <c r="P249" s="63">
        <f t="shared" si="105"/>
        <v>0</v>
      </c>
      <c r="Q249" s="63">
        <f t="shared" si="105"/>
        <v>0</v>
      </c>
      <c r="R249" s="63">
        <f t="shared" si="106"/>
        <v>0</v>
      </c>
      <c r="S249" s="63">
        <f t="shared" si="106"/>
        <v>0</v>
      </c>
      <c r="T249" s="63">
        <f t="shared" si="106"/>
        <v>1756248.46157376</v>
      </c>
      <c r="U249" s="63">
        <f t="shared" si="106"/>
        <v>2547227.3080262397</v>
      </c>
      <c r="V249" s="63">
        <f t="shared" si="106"/>
        <v>643653.78162624</v>
      </c>
      <c r="W249" s="63">
        <f t="shared" si="106"/>
        <v>933542.44877376</v>
      </c>
      <c r="X249" s="63">
        <f t="shared" si="106"/>
        <v>0</v>
      </c>
      <c r="Y249" s="63">
        <f t="shared" si="106"/>
        <v>0</v>
      </c>
      <c r="Z249" s="63">
        <f t="shared" si="106"/>
        <v>0</v>
      </c>
      <c r="AA249" s="63">
        <f t="shared" si="106"/>
        <v>0</v>
      </c>
      <c r="AB249" s="63">
        <f t="shared" si="106"/>
        <v>0</v>
      </c>
      <c r="AC249" s="63">
        <f t="shared" si="106"/>
        <v>0</v>
      </c>
      <c r="AD249" s="63">
        <f t="shared" si="106"/>
        <v>0</v>
      </c>
      <c r="AE249" s="63">
        <f t="shared" si="106"/>
        <v>0</v>
      </c>
      <c r="AF249" s="63">
        <f t="shared" si="107"/>
        <v>5880672.0000000009</v>
      </c>
      <c r="AG249" s="58" t="str">
        <f t="shared" si="108"/>
        <v>ok</v>
      </c>
    </row>
    <row r="250" spans="1:33">
      <c r="A250" s="60">
        <v>584</v>
      </c>
      <c r="B250" s="44" t="s">
        <v>994</v>
      </c>
      <c r="C250" s="44" t="s">
        <v>995</v>
      </c>
      <c r="D250" s="44" t="s">
        <v>945</v>
      </c>
      <c r="F250" s="79">
        <v>535725</v>
      </c>
      <c r="H250" s="63">
        <f t="shared" si="105"/>
        <v>0</v>
      </c>
      <c r="I250" s="63">
        <f t="shared" si="105"/>
        <v>0</v>
      </c>
      <c r="J250" s="63">
        <f t="shared" si="105"/>
        <v>0</v>
      </c>
      <c r="K250" s="63">
        <f t="shared" si="105"/>
        <v>0</v>
      </c>
      <c r="L250" s="63">
        <f t="shared" si="105"/>
        <v>0</v>
      </c>
      <c r="M250" s="63">
        <f t="shared" si="105"/>
        <v>0</v>
      </c>
      <c r="N250" s="63">
        <f t="shared" si="105"/>
        <v>0</v>
      </c>
      <c r="O250" s="63">
        <f t="shared" si="105"/>
        <v>0</v>
      </c>
      <c r="P250" s="63">
        <f t="shared" si="105"/>
        <v>0</v>
      </c>
      <c r="Q250" s="63">
        <f t="shared" si="105"/>
        <v>0</v>
      </c>
      <c r="R250" s="63">
        <f t="shared" si="106"/>
        <v>0</v>
      </c>
      <c r="S250" s="63">
        <f t="shared" si="106"/>
        <v>0</v>
      </c>
      <c r="T250" s="63">
        <f t="shared" si="106"/>
        <v>168164.23821750001</v>
      </c>
      <c r="U250" s="63">
        <f t="shared" si="106"/>
        <v>303809.48678250005</v>
      </c>
      <c r="V250" s="63">
        <f t="shared" si="106"/>
        <v>22714.579282499999</v>
      </c>
      <c r="W250" s="63">
        <f t="shared" si="106"/>
        <v>41036.695717499999</v>
      </c>
      <c r="X250" s="63">
        <f t="shared" si="106"/>
        <v>0</v>
      </c>
      <c r="Y250" s="63">
        <f t="shared" si="106"/>
        <v>0</v>
      </c>
      <c r="Z250" s="63">
        <f t="shared" si="106"/>
        <v>0</v>
      </c>
      <c r="AA250" s="63">
        <f t="shared" si="106"/>
        <v>0</v>
      </c>
      <c r="AB250" s="63">
        <f t="shared" si="106"/>
        <v>0</v>
      </c>
      <c r="AC250" s="63">
        <f t="shared" si="106"/>
        <v>0</v>
      </c>
      <c r="AD250" s="63">
        <f t="shared" si="106"/>
        <v>0</v>
      </c>
      <c r="AE250" s="63">
        <f t="shared" si="106"/>
        <v>0</v>
      </c>
      <c r="AF250" s="63">
        <f t="shared" si="107"/>
        <v>535725.00000000012</v>
      </c>
      <c r="AG250" s="58" t="str">
        <f t="shared" si="108"/>
        <v>ok</v>
      </c>
    </row>
    <row r="251" spans="1:33">
      <c r="A251" s="60">
        <v>585</v>
      </c>
      <c r="B251" s="44" t="s">
        <v>996</v>
      </c>
      <c r="C251" s="44" t="s">
        <v>997</v>
      </c>
      <c r="D251" s="44" t="s">
        <v>953</v>
      </c>
      <c r="F251" s="79">
        <v>0</v>
      </c>
      <c r="H251" s="63">
        <f t="shared" si="105"/>
        <v>0</v>
      </c>
      <c r="I251" s="63">
        <f t="shared" si="105"/>
        <v>0</v>
      </c>
      <c r="J251" s="63">
        <f t="shared" si="105"/>
        <v>0</v>
      </c>
      <c r="K251" s="63">
        <f t="shared" si="105"/>
        <v>0</v>
      </c>
      <c r="L251" s="63">
        <f t="shared" si="105"/>
        <v>0</v>
      </c>
      <c r="M251" s="63">
        <f t="shared" si="105"/>
        <v>0</v>
      </c>
      <c r="N251" s="63">
        <f t="shared" si="105"/>
        <v>0</v>
      </c>
      <c r="O251" s="63">
        <f t="shared" si="105"/>
        <v>0</v>
      </c>
      <c r="P251" s="63">
        <f t="shared" si="105"/>
        <v>0</v>
      </c>
      <c r="Q251" s="63">
        <f t="shared" si="105"/>
        <v>0</v>
      </c>
      <c r="R251" s="63">
        <f t="shared" si="106"/>
        <v>0</v>
      </c>
      <c r="S251" s="63">
        <f t="shared" si="106"/>
        <v>0</v>
      </c>
      <c r="T251" s="63">
        <f t="shared" si="106"/>
        <v>0</v>
      </c>
      <c r="U251" s="63">
        <f t="shared" si="106"/>
        <v>0</v>
      </c>
      <c r="V251" s="63">
        <f t="shared" si="106"/>
        <v>0</v>
      </c>
      <c r="W251" s="63">
        <f t="shared" si="106"/>
        <v>0</v>
      </c>
      <c r="X251" s="63">
        <f t="shared" si="106"/>
        <v>0</v>
      </c>
      <c r="Y251" s="63">
        <f t="shared" si="106"/>
        <v>0</v>
      </c>
      <c r="Z251" s="63">
        <f t="shared" si="106"/>
        <v>0</v>
      </c>
      <c r="AA251" s="63">
        <f t="shared" si="106"/>
        <v>0</v>
      </c>
      <c r="AB251" s="63">
        <f t="shared" si="106"/>
        <v>0</v>
      </c>
      <c r="AC251" s="63">
        <f t="shared" si="106"/>
        <v>0</v>
      </c>
      <c r="AD251" s="63">
        <f t="shared" si="106"/>
        <v>0</v>
      </c>
      <c r="AE251" s="63">
        <f t="shared" si="106"/>
        <v>0</v>
      </c>
      <c r="AF251" s="63">
        <f t="shared" si="107"/>
        <v>0</v>
      </c>
      <c r="AG251" s="58" t="str">
        <f t="shared" si="108"/>
        <v>ok</v>
      </c>
    </row>
    <row r="252" spans="1:33">
      <c r="A252" s="60">
        <v>586</v>
      </c>
      <c r="B252" s="44" t="s">
        <v>998</v>
      </c>
      <c r="C252" s="44" t="s">
        <v>999</v>
      </c>
      <c r="D252" s="44" t="s">
        <v>950</v>
      </c>
      <c r="F252" s="79">
        <v>8277541</v>
      </c>
      <c r="H252" s="63">
        <f t="shared" si="105"/>
        <v>0</v>
      </c>
      <c r="I252" s="63">
        <f t="shared" si="105"/>
        <v>0</v>
      </c>
      <c r="J252" s="63">
        <f t="shared" si="105"/>
        <v>0</v>
      </c>
      <c r="K252" s="63">
        <f t="shared" si="105"/>
        <v>0</v>
      </c>
      <c r="L252" s="63">
        <f t="shared" si="105"/>
        <v>0</v>
      </c>
      <c r="M252" s="63">
        <f t="shared" si="105"/>
        <v>0</v>
      </c>
      <c r="N252" s="63">
        <f t="shared" si="105"/>
        <v>0</v>
      </c>
      <c r="O252" s="63">
        <f t="shared" si="105"/>
        <v>0</v>
      </c>
      <c r="P252" s="63">
        <f t="shared" si="105"/>
        <v>0</v>
      </c>
      <c r="Q252" s="63">
        <f t="shared" si="105"/>
        <v>0</v>
      </c>
      <c r="R252" s="63">
        <f t="shared" si="106"/>
        <v>0</v>
      </c>
      <c r="S252" s="63">
        <f t="shared" si="106"/>
        <v>0</v>
      </c>
      <c r="T252" s="63">
        <f t="shared" si="106"/>
        <v>0</v>
      </c>
      <c r="U252" s="63">
        <f t="shared" si="106"/>
        <v>0</v>
      </c>
      <c r="V252" s="63">
        <f t="shared" si="106"/>
        <v>0</v>
      </c>
      <c r="W252" s="63">
        <f t="shared" si="106"/>
        <v>0</v>
      </c>
      <c r="X252" s="63">
        <f t="shared" si="106"/>
        <v>0</v>
      </c>
      <c r="Y252" s="63">
        <f t="shared" si="106"/>
        <v>0</v>
      </c>
      <c r="Z252" s="63">
        <f t="shared" si="106"/>
        <v>0</v>
      </c>
      <c r="AA252" s="63">
        <f t="shared" si="106"/>
        <v>8277541</v>
      </c>
      <c r="AB252" s="63">
        <f t="shared" si="106"/>
        <v>0</v>
      </c>
      <c r="AC252" s="63">
        <f t="shared" si="106"/>
        <v>0</v>
      </c>
      <c r="AD252" s="63">
        <f t="shared" si="106"/>
        <v>0</v>
      </c>
      <c r="AE252" s="63">
        <f t="shared" si="106"/>
        <v>0</v>
      </c>
      <c r="AF252" s="63">
        <f t="shared" si="107"/>
        <v>8277541</v>
      </c>
      <c r="AG252" s="58" t="str">
        <f t="shared" si="108"/>
        <v>ok</v>
      </c>
    </row>
    <row r="253" spans="1:33">
      <c r="A253" s="60">
        <v>586</v>
      </c>
      <c r="B253" s="44" t="s">
        <v>27</v>
      </c>
      <c r="C253" s="44" t="s">
        <v>28</v>
      </c>
      <c r="D253" s="44" t="s">
        <v>42</v>
      </c>
      <c r="F253" s="79">
        <v>0</v>
      </c>
      <c r="H253" s="63">
        <f t="shared" si="105"/>
        <v>0</v>
      </c>
      <c r="I253" s="63">
        <f t="shared" si="105"/>
        <v>0</v>
      </c>
      <c r="J253" s="63">
        <f t="shared" si="105"/>
        <v>0</v>
      </c>
      <c r="K253" s="63">
        <f t="shared" si="105"/>
        <v>0</v>
      </c>
      <c r="L253" s="63">
        <f t="shared" si="105"/>
        <v>0</v>
      </c>
      <c r="M253" s="63">
        <f t="shared" si="105"/>
        <v>0</v>
      </c>
      <c r="N253" s="63">
        <f t="shared" si="105"/>
        <v>0</v>
      </c>
      <c r="O253" s="63">
        <f t="shared" si="105"/>
        <v>0</v>
      </c>
      <c r="P253" s="63">
        <f t="shared" si="105"/>
        <v>0</v>
      </c>
      <c r="Q253" s="63">
        <f t="shared" si="105"/>
        <v>0</v>
      </c>
      <c r="R253" s="63">
        <f t="shared" si="106"/>
        <v>0</v>
      </c>
      <c r="S253" s="63">
        <f t="shared" si="106"/>
        <v>0</v>
      </c>
      <c r="T253" s="63">
        <f t="shared" si="106"/>
        <v>0</v>
      </c>
      <c r="U253" s="63">
        <f t="shared" si="106"/>
        <v>0</v>
      </c>
      <c r="V253" s="63">
        <f t="shared" si="106"/>
        <v>0</v>
      </c>
      <c r="W253" s="63">
        <f t="shared" si="106"/>
        <v>0</v>
      </c>
      <c r="X253" s="63">
        <f t="shared" si="106"/>
        <v>0</v>
      </c>
      <c r="Y253" s="63">
        <f t="shared" si="106"/>
        <v>0</v>
      </c>
      <c r="Z253" s="63">
        <f t="shared" si="106"/>
        <v>0</v>
      </c>
      <c r="AA253" s="63">
        <f t="shared" si="106"/>
        <v>0</v>
      </c>
      <c r="AB253" s="63">
        <f t="shared" si="106"/>
        <v>0</v>
      </c>
      <c r="AC253" s="63">
        <f t="shared" si="106"/>
        <v>0</v>
      </c>
      <c r="AD253" s="63">
        <f t="shared" si="106"/>
        <v>0</v>
      </c>
      <c r="AE253" s="63">
        <f t="shared" si="106"/>
        <v>0</v>
      </c>
      <c r="AF253" s="63">
        <f t="shared" si="107"/>
        <v>0</v>
      </c>
      <c r="AG253" s="58" t="str">
        <f t="shared" si="108"/>
        <v>ok</v>
      </c>
    </row>
    <row r="254" spans="1:33">
      <c r="A254" s="60">
        <v>587</v>
      </c>
      <c r="B254" s="44" t="s">
        <v>1000</v>
      </c>
      <c r="C254" s="44" t="s">
        <v>1001</v>
      </c>
      <c r="D254" s="44" t="s">
        <v>935</v>
      </c>
      <c r="F254" s="79">
        <f>-79200</f>
        <v>-79200</v>
      </c>
      <c r="H254" s="63">
        <f t="shared" si="105"/>
        <v>0</v>
      </c>
      <c r="I254" s="63">
        <f t="shared" si="105"/>
        <v>0</v>
      </c>
      <c r="J254" s="63">
        <f t="shared" si="105"/>
        <v>0</v>
      </c>
      <c r="K254" s="63">
        <f t="shared" si="105"/>
        <v>0</v>
      </c>
      <c r="L254" s="63">
        <f t="shared" si="105"/>
        <v>0</v>
      </c>
      <c r="M254" s="63">
        <f t="shared" si="105"/>
        <v>0</v>
      </c>
      <c r="N254" s="63">
        <f t="shared" si="105"/>
        <v>0</v>
      </c>
      <c r="O254" s="63">
        <f t="shared" si="105"/>
        <v>0</v>
      </c>
      <c r="P254" s="63">
        <f t="shared" si="105"/>
        <v>0</v>
      </c>
      <c r="Q254" s="63">
        <f t="shared" si="105"/>
        <v>0</v>
      </c>
      <c r="R254" s="63">
        <f t="shared" si="106"/>
        <v>-8873.7543122379684</v>
      </c>
      <c r="S254" s="63">
        <f t="shared" si="106"/>
        <v>0</v>
      </c>
      <c r="T254" s="63">
        <f t="shared" si="106"/>
        <v>-15175.032628823605</v>
      </c>
      <c r="U254" s="63">
        <f t="shared" si="106"/>
        <v>-24149.116980579362</v>
      </c>
      <c r="V254" s="63">
        <f t="shared" si="106"/>
        <v>-4171.6734976716343</v>
      </c>
      <c r="W254" s="63">
        <f t="shared" si="106"/>
        <v>-6339.5089338972275</v>
      </c>
      <c r="X254" s="63">
        <f t="shared" si="106"/>
        <v>-5766.5113926825243</v>
      </c>
      <c r="Y254" s="63">
        <f t="shared" si="106"/>
        <v>-4032.8233173483941</v>
      </c>
      <c r="Z254" s="63">
        <f t="shared" si="106"/>
        <v>-2002.7754636929808</v>
      </c>
      <c r="AA254" s="63">
        <f t="shared" si="106"/>
        <v>-2323.1635964977295</v>
      </c>
      <c r="AB254" s="63">
        <f t="shared" si="106"/>
        <v>-6365.6398765685744</v>
      </c>
      <c r="AC254" s="63">
        <f t="shared" si="106"/>
        <v>0</v>
      </c>
      <c r="AD254" s="63">
        <f t="shared" si="106"/>
        <v>0</v>
      </c>
      <c r="AE254" s="63">
        <f t="shared" si="106"/>
        <v>0</v>
      </c>
      <c r="AF254" s="63">
        <f t="shared" si="107"/>
        <v>-79199.999999999985</v>
      </c>
      <c r="AG254" s="58" t="str">
        <f t="shared" si="108"/>
        <v>ok</v>
      </c>
    </row>
    <row r="255" spans="1:33">
      <c r="A255" s="60">
        <v>588</v>
      </c>
      <c r="B255" s="44" t="s">
        <v>1002</v>
      </c>
      <c r="C255" s="44" t="s">
        <v>1003</v>
      </c>
      <c r="D255" s="44" t="s">
        <v>935</v>
      </c>
      <c r="F255" s="79">
        <f>5593730</f>
        <v>5593730</v>
      </c>
      <c r="H255" s="63">
        <f t="shared" si="105"/>
        <v>0</v>
      </c>
      <c r="I255" s="63">
        <f t="shared" si="105"/>
        <v>0</v>
      </c>
      <c r="J255" s="63">
        <f t="shared" si="105"/>
        <v>0</v>
      </c>
      <c r="K255" s="63">
        <f t="shared" si="105"/>
        <v>0</v>
      </c>
      <c r="L255" s="63">
        <f t="shared" si="105"/>
        <v>0</v>
      </c>
      <c r="M255" s="63">
        <f t="shared" si="105"/>
        <v>0</v>
      </c>
      <c r="N255" s="63">
        <f t="shared" si="105"/>
        <v>0</v>
      </c>
      <c r="O255" s="63">
        <f t="shared" si="105"/>
        <v>0</v>
      </c>
      <c r="P255" s="63">
        <f t="shared" si="105"/>
        <v>0</v>
      </c>
      <c r="Q255" s="63">
        <f t="shared" si="105"/>
        <v>0</v>
      </c>
      <c r="R255" s="63">
        <f t="shared" si="106"/>
        <v>626734.66804286477</v>
      </c>
      <c r="S255" s="63">
        <f t="shared" si="106"/>
        <v>0</v>
      </c>
      <c r="T255" s="63">
        <f t="shared" si="106"/>
        <v>1071780.7483185539</v>
      </c>
      <c r="U255" s="63">
        <f t="shared" si="106"/>
        <v>1705601.5167648508</v>
      </c>
      <c r="V255" s="63">
        <f t="shared" si="106"/>
        <v>294636.55548144889</v>
      </c>
      <c r="W255" s="63">
        <f t="shared" si="106"/>
        <v>447746.22864657751</v>
      </c>
      <c r="X255" s="63">
        <f t="shared" si="106"/>
        <v>407276.61329027801</v>
      </c>
      <c r="Y255" s="63">
        <f t="shared" si="106"/>
        <v>284829.85826958629</v>
      </c>
      <c r="Z255" s="63">
        <f t="shared" si="106"/>
        <v>141451.83326418357</v>
      </c>
      <c r="AA255" s="63">
        <f t="shared" si="106"/>
        <v>164080.17556360157</v>
      </c>
      <c r="AB255" s="63">
        <f t="shared" si="106"/>
        <v>449591.80235805473</v>
      </c>
      <c r="AC255" s="63">
        <f t="shared" si="106"/>
        <v>0</v>
      </c>
      <c r="AD255" s="63">
        <f t="shared" si="106"/>
        <v>0</v>
      </c>
      <c r="AE255" s="63">
        <f t="shared" si="106"/>
        <v>0</v>
      </c>
      <c r="AF255" s="63">
        <f t="shared" si="107"/>
        <v>5593729.9999999991</v>
      </c>
      <c r="AG255" s="58" t="str">
        <f t="shared" si="108"/>
        <v>ok</v>
      </c>
    </row>
    <row r="256" spans="1:33">
      <c r="A256" s="60">
        <v>588</v>
      </c>
      <c r="B256" s="44" t="s">
        <v>174</v>
      </c>
      <c r="C256" s="44" t="s">
        <v>118</v>
      </c>
      <c r="D256" s="44" t="s">
        <v>935</v>
      </c>
      <c r="F256" s="79"/>
      <c r="H256" s="63">
        <f t="shared" si="105"/>
        <v>0</v>
      </c>
      <c r="I256" s="63">
        <f t="shared" si="105"/>
        <v>0</v>
      </c>
      <c r="J256" s="63">
        <f t="shared" si="105"/>
        <v>0</v>
      </c>
      <c r="K256" s="63">
        <f t="shared" si="105"/>
        <v>0</v>
      </c>
      <c r="L256" s="63">
        <f t="shared" si="105"/>
        <v>0</v>
      </c>
      <c r="M256" s="63">
        <f t="shared" si="105"/>
        <v>0</v>
      </c>
      <c r="N256" s="63">
        <f t="shared" si="105"/>
        <v>0</v>
      </c>
      <c r="O256" s="63">
        <f t="shared" si="105"/>
        <v>0</v>
      </c>
      <c r="P256" s="63">
        <f t="shared" si="105"/>
        <v>0</v>
      </c>
      <c r="Q256" s="63">
        <f t="shared" si="105"/>
        <v>0</v>
      </c>
      <c r="R256" s="63">
        <f t="shared" si="106"/>
        <v>0</v>
      </c>
      <c r="S256" s="63">
        <f t="shared" si="106"/>
        <v>0</v>
      </c>
      <c r="T256" s="63">
        <f t="shared" si="106"/>
        <v>0</v>
      </c>
      <c r="U256" s="63">
        <f t="shared" si="106"/>
        <v>0</v>
      </c>
      <c r="V256" s="63">
        <f t="shared" si="106"/>
        <v>0</v>
      </c>
      <c r="W256" s="63">
        <f t="shared" si="106"/>
        <v>0</v>
      </c>
      <c r="X256" s="63">
        <f t="shared" si="106"/>
        <v>0</v>
      </c>
      <c r="Y256" s="63">
        <f t="shared" si="106"/>
        <v>0</v>
      </c>
      <c r="Z256" s="63">
        <f t="shared" si="106"/>
        <v>0</v>
      </c>
      <c r="AA256" s="63">
        <f t="shared" si="106"/>
        <v>0</v>
      </c>
      <c r="AB256" s="63">
        <f t="shared" si="106"/>
        <v>0</v>
      </c>
      <c r="AC256" s="63">
        <f t="shared" si="106"/>
        <v>0</v>
      </c>
      <c r="AD256" s="63">
        <f t="shared" si="106"/>
        <v>0</v>
      </c>
      <c r="AE256" s="63">
        <f t="shared" si="106"/>
        <v>0</v>
      </c>
      <c r="AF256" s="63">
        <f t="shared" si="107"/>
        <v>0</v>
      </c>
      <c r="AG256" s="58" t="str">
        <f t="shared" si="108"/>
        <v>ok</v>
      </c>
    </row>
    <row r="257" spans="1:33">
      <c r="A257" s="60">
        <v>589</v>
      </c>
      <c r="B257" s="44" t="s">
        <v>1004</v>
      </c>
      <c r="C257" s="44" t="s">
        <v>1005</v>
      </c>
      <c r="D257" s="44" t="s">
        <v>935</v>
      </c>
      <c r="F257" s="79">
        <v>8165</v>
      </c>
      <c r="H257" s="63">
        <f t="shared" si="105"/>
        <v>0</v>
      </c>
      <c r="I257" s="63">
        <f t="shared" si="105"/>
        <v>0</v>
      </c>
      <c r="J257" s="63">
        <f t="shared" si="105"/>
        <v>0</v>
      </c>
      <c r="K257" s="63">
        <f t="shared" si="105"/>
        <v>0</v>
      </c>
      <c r="L257" s="63">
        <f t="shared" si="105"/>
        <v>0</v>
      </c>
      <c r="M257" s="63">
        <f t="shared" si="105"/>
        <v>0</v>
      </c>
      <c r="N257" s="63">
        <f t="shared" si="105"/>
        <v>0</v>
      </c>
      <c r="O257" s="63">
        <f t="shared" si="105"/>
        <v>0</v>
      </c>
      <c r="P257" s="63">
        <f t="shared" si="105"/>
        <v>0</v>
      </c>
      <c r="Q257" s="63">
        <f t="shared" si="105"/>
        <v>0</v>
      </c>
      <c r="R257" s="63">
        <f t="shared" si="106"/>
        <v>914.82580756847244</v>
      </c>
      <c r="S257" s="63">
        <f t="shared" si="106"/>
        <v>0</v>
      </c>
      <c r="T257" s="63">
        <f t="shared" si="106"/>
        <v>1564.4462299791001</v>
      </c>
      <c r="U257" s="63">
        <f t="shared" si="106"/>
        <v>2489.6154058892739</v>
      </c>
      <c r="V257" s="63">
        <f t="shared" si="106"/>
        <v>430.07214783445579</v>
      </c>
      <c r="W257" s="63">
        <f t="shared" si="106"/>
        <v>653.56174804634929</v>
      </c>
      <c r="X257" s="63">
        <f t="shared" si="106"/>
        <v>594.48946365218205</v>
      </c>
      <c r="Y257" s="63">
        <f t="shared" si="106"/>
        <v>415.75760588572774</v>
      </c>
      <c r="Z257" s="63">
        <f t="shared" si="106"/>
        <v>206.4730007708736</v>
      </c>
      <c r="AA257" s="63">
        <f t="shared" si="106"/>
        <v>239.50291370459547</v>
      </c>
      <c r="AB257" s="63">
        <f t="shared" si="106"/>
        <v>656.25567666896984</v>
      </c>
      <c r="AC257" s="63">
        <f t="shared" si="106"/>
        <v>0</v>
      </c>
      <c r="AD257" s="63">
        <f t="shared" si="106"/>
        <v>0</v>
      </c>
      <c r="AE257" s="63">
        <f t="shared" si="106"/>
        <v>0</v>
      </c>
      <c r="AF257" s="63">
        <f t="shared" si="107"/>
        <v>8165</v>
      </c>
      <c r="AG257" s="58" t="str">
        <f t="shared" si="108"/>
        <v>ok</v>
      </c>
    </row>
    <row r="258" spans="1:33">
      <c r="A258" s="60"/>
      <c r="F258" s="79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G258" s="58"/>
    </row>
    <row r="259" spans="1:33">
      <c r="A259" s="60" t="s">
        <v>1006</v>
      </c>
      <c r="C259" s="44" t="s">
        <v>1007</v>
      </c>
      <c r="F259" s="76">
        <f t="shared" ref="F259:M259" si="109">SUM(F246:F258)</f>
        <v>24714588</v>
      </c>
      <c r="G259" s="62">
        <f t="shared" si="109"/>
        <v>0</v>
      </c>
      <c r="H259" s="62">
        <f t="shared" si="109"/>
        <v>0</v>
      </c>
      <c r="I259" s="62">
        <f t="shared" si="109"/>
        <v>0</v>
      </c>
      <c r="J259" s="62">
        <f t="shared" si="109"/>
        <v>0</v>
      </c>
      <c r="K259" s="62">
        <f t="shared" si="109"/>
        <v>0</v>
      </c>
      <c r="L259" s="62">
        <f t="shared" si="109"/>
        <v>0</v>
      </c>
      <c r="M259" s="62">
        <f t="shared" si="109"/>
        <v>0</v>
      </c>
      <c r="N259" s="62">
        <f>SUM(N246:N258)</f>
        <v>0</v>
      </c>
      <c r="O259" s="62">
        <f>SUM(O246:O258)</f>
        <v>0</v>
      </c>
      <c r="P259" s="62">
        <f>SUM(P246:P258)</f>
        <v>0</v>
      </c>
      <c r="Q259" s="62">
        <f t="shared" ref="Q259:AB259" si="110">SUM(Q246:Q258)</f>
        <v>0</v>
      </c>
      <c r="R259" s="62">
        <f t="shared" si="110"/>
        <v>3638801.6937779556</v>
      </c>
      <c r="S259" s="62">
        <f t="shared" si="110"/>
        <v>0</v>
      </c>
      <c r="T259" s="62">
        <f t="shared" si="110"/>
        <v>3165500.9523400711</v>
      </c>
      <c r="U259" s="62">
        <f t="shared" si="110"/>
        <v>4813013.5273472145</v>
      </c>
      <c r="V259" s="62">
        <f t="shared" si="110"/>
        <v>1016029.4700498796</v>
      </c>
      <c r="W259" s="62">
        <f t="shared" si="110"/>
        <v>1503592.7017586282</v>
      </c>
      <c r="X259" s="62">
        <f t="shared" si="110"/>
        <v>425724.05404101004</v>
      </c>
      <c r="Y259" s="62">
        <f t="shared" si="110"/>
        <v>297731.11938551156</v>
      </c>
      <c r="Z259" s="62">
        <f t="shared" si="110"/>
        <v>147858.84075754936</v>
      </c>
      <c r="AA259" s="62">
        <f t="shared" si="110"/>
        <v>9236379.74688752</v>
      </c>
      <c r="AB259" s="62">
        <f t="shared" si="110"/>
        <v>469955.89365465904</v>
      </c>
      <c r="AC259" s="62">
        <f>SUM(AC246:AC258)</f>
        <v>0</v>
      </c>
      <c r="AD259" s="62">
        <f>SUM(AD246:AD258)</f>
        <v>0</v>
      </c>
      <c r="AE259" s="62">
        <f>SUM(AE246:AE258)</f>
        <v>0</v>
      </c>
      <c r="AF259" s="63">
        <f>SUM(H259:AE259)</f>
        <v>24714588</v>
      </c>
      <c r="AG259" s="58" t="str">
        <f>IF(ABS(AF259-F259)&lt;1,"ok","err")</f>
        <v>ok</v>
      </c>
    </row>
    <row r="260" spans="1:33">
      <c r="A260" s="60"/>
      <c r="F260" s="76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3"/>
      <c r="AG260" s="58"/>
    </row>
    <row r="261" spans="1:33">
      <c r="A261" s="60"/>
      <c r="F261" s="79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G261" s="58"/>
    </row>
    <row r="262" spans="1:33" ht="15">
      <c r="A262" s="65" t="s">
        <v>1008</v>
      </c>
      <c r="F262" s="79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G262" s="58"/>
    </row>
    <row r="263" spans="1:33">
      <c r="A263" s="60">
        <v>590</v>
      </c>
      <c r="B263" s="60" t="s">
        <v>1009</v>
      </c>
      <c r="C263" s="44" t="s">
        <v>1010</v>
      </c>
      <c r="D263" s="44" t="s">
        <v>73</v>
      </c>
      <c r="F263" s="76">
        <v>77850</v>
      </c>
      <c r="H263" s="63">
        <f t="shared" ref="H263:Q271" si="111">IF(VLOOKUP($D263,$C$6:$AE$653,H$2,)=0,0,((VLOOKUP($D263,$C$6:$AE$653,H$2,)/VLOOKUP($D263,$C$6:$AE$653,4,))*$F263))</f>
        <v>0</v>
      </c>
      <c r="I263" s="63">
        <f t="shared" si="111"/>
        <v>0</v>
      </c>
      <c r="J263" s="63">
        <f t="shared" si="111"/>
        <v>0</v>
      </c>
      <c r="K263" s="63">
        <f t="shared" si="111"/>
        <v>0</v>
      </c>
      <c r="L263" s="63">
        <f t="shared" si="111"/>
        <v>0</v>
      </c>
      <c r="M263" s="63">
        <f t="shared" si="111"/>
        <v>0</v>
      </c>
      <c r="N263" s="63">
        <f t="shared" si="111"/>
        <v>0</v>
      </c>
      <c r="O263" s="63">
        <f t="shared" si="111"/>
        <v>0</v>
      </c>
      <c r="P263" s="63">
        <f t="shared" si="111"/>
        <v>0</v>
      </c>
      <c r="Q263" s="63">
        <f t="shared" si="111"/>
        <v>0</v>
      </c>
      <c r="R263" s="63">
        <f t="shared" ref="R263:AE271" si="112">IF(VLOOKUP($D263,$C$6:$AE$653,R$2,)=0,0,((VLOOKUP($D263,$C$6:$AE$653,R$2,)/VLOOKUP($D263,$C$6:$AE$653,4,))*$F263))</f>
        <v>4736.0094645903264</v>
      </c>
      <c r="S263" s="63">
        <f t="shared" si="112"/>
        <v>0</v>
      </c>
      <c r="T263" s="63">
        <f t="shared" si="112"/>
        <v>21381.116377059487</v>
      </c>
      <c r="U263" s="63">
        <f t="shared" si="112"/>
        <v>32084.851849457875</v>
      </c>
      <c r="V263" s="63">
        <f t="shared" si="112"/>
        <v>7138.2869506657107</v>
      </c>
      <c r="W263" s="63">
        <f t="shared" si="112"/>
        <v>10498.311680242781</v>
      </c>
      <c r="X263" s="63">
        <f t="shared" si="112"/>
        <v>1088.4088778245496</v>
      </c>
      <c r="Y263" s="63">
        <f t="shared" si="112"/>
        <v>761.18131091699013</v>
      </c>
      <c r="Z263" s="63">
        <f t="shared" si="112"/>
        <v>0</v>
      </c>
      <c r="AA263" s="63">
        <f t="shared" si="112"/>
        <v>0</v>
      </c>
      <c r="AB263" s="63">
        <f t="shared" si="112"/>
        <v>161.8334892422825</v>
      </c>
      <c r="AC263" s="63">
        <f t="shared" si="112"/>
        <v>0</v>
      </c>
      <c r="AD263" s="63">
        <f t="shared" si="112"/>
        <v>0</v>
      </c>
      <c r="AE263" s="63">
        <f t="shared" si="112"/>
        <v>0</v>
      </c>
      <c r="AF263" s="63">
        <f t="shared" ref="AF263:AF271" si="113">SUM(H263:AE263)</f>
        <v>77850</v>
      </c>
      <c r="AG263" s="58" t="str">
        <f>IF(ABS(AF263-F263)&lt;1,"ok","err")</f>
        <v>ok</v>
      </c>
    </row>
    <row r="264" spans="1:33">
      <c r="A264" s="60">
        <v>591</v>
      </c>
      <c r="B264" s="60" t="s">
        <v>266</v>
      </c>
      <c r="C264" s="44" t="s">
        <v>272</v>
      </c>
      <c r="D264" s="44" t="s">
        <v>939</v>
      </c>
      <c r="F264" s="79">
        <v>0</v>
      </c>
      <c r="H264" s="63">
        <f t="shared" si="111"/>
        <v>0</v>
      </c>
      <c r="I264" s="63">
        <f t="shared" si="111"/>
        <v>0</v>
      </c>
      <c r="J264" s="63">
        <f t="shared" si="111"/>
        <v>0</v>
      </c>
      <c r="K264" s="63">
        <f t="shared" si="111"/>
        <v>0</v>
      </c>
      <c r="L264" s="63">
        <f t="shared" si="111"/>
        <v>0</v>
      </c>
      <c r="M264" s="63">
        <f t="shared" si="111"/>
        <v>0</v>
      </c>
      <c r="N264" s="63">
        <f t="shared" si="111"/>
        <v>0</v>
      </c>
      <c r="O264" s="63">
        <f t="shared" si="111"/>
        <v>0</v>
      </c>
      <c r="P264" s="63">
        <f t="shared" si="111"/>
        <v>0</v>
      </c>
      <c r="Q264" s="63">
        <f t="shared" si="111"/>
        <v>0</v>
      </c>
      <c r="R264" s="63">
        <f t="shared" si="112"/>
        <v>0</v>
      </c>
      <c r="S264" s="63">
        <f t="shared" si="112"/>
        <v>0</v>
      </c>
      <c r="T264" s="63">
        <f t="shared" si="112"/>
        <v>0</v>
      </c>
      <c r="U264" s="63">
        <f t="shared" si="112"/>
        <v>0</v>
      </c>
      <c r="V264" s="63">
        <f t="shared" si="112"/>
        <v>0</v>
      </c>
      <c r="W264" s="63">
        <f t="shared" si="112"/>
        <v>0</v>
      </c>
      <c r="X264" s="63">
        <f t="shared" si="112"/>
        <v>0</v>
      </c>
      <c r="Y264" s="63">
        <f t="shared" si="112"/>
        <v>0</v>
      </c>
      <c r="Z264" s="63">
        <f t="shared" si="112"/>
        <v>0</v>
      </c>
      <c r="AA264" s="63">
        <f t="shared" si="112"/>
        <v>0</v>
      </c>
      <c r="AB264" s="63">
        <f t="shared" si="112"/>
        <v>0</v>
      </c>
      <c r="AC264" s="63">
        <f t="shared" si="112"/>
        <v>0</v>
      </c>
      <c r="AD264" s="63">
        <f t="shared" si="112"/>
        <v>0</v>
      </c>
      <c r="AE264" s="63">
        <f t="shared" si="112"/>
        <v>0</v>
      </c>
      <c r="AF264" s="63"/>
      <c r="AG264" s="58"/>
    </row>
    <row r="265" spans="1:33">
      <c r="A265" s="60">
        <v>592</v>
      </c>
      <c r="B265" s="60" t="s">
        <v>1011</v>
      </c>
      <c r="C265" s="44" t="s">
        <v>1012</v>
      </c>
      <c r="D265" s="44" t="s">
        <v>939</v>
      </c>
      <c r="F265" s="79">
        <v>1167866</v>
      </c>
      <c r="H265" s="63">
        <f t="shared" si="111"/>
        <v>0</v>
      </c>
      <c r="I265" s="63">
        <f t="shared" si="111"/>
        <v>0</v>
      </c>
      <c r="J265" s="63">
        <f t="shared" si="111"/>
        <v>0</v>
      </c>
      <c r="K265" s="63">
        <f t="shared" si="111"/>
        <v>0</v>
      </c>
      <c r="L265" s="63">
        <f t="shared" si="111"/>
        <v>0</v>
      </c>
      <c r="M265" s="63">
        <f t="shared" si="111"/>
        <v>0</v>
      </c>
      <c r="N265" s="63">
        <f t="shared" si="111"/>
        <v>0</v>
      </c>
      <c r="O265" s="63">
        <f t="shared" si="111"/>
        <v>0</v>
      </c>
      <c r="P265" s="63">
        <f t="shared" si="111"/>
        <v>0</v>
      </c>
      <c r="Q265" s="63">
        <f t="shared" si="111"/>
        <v>0</v>
      </c>
      <c r="R265" s="63">
        <f t="shared" si="112"/>
        <v>1167866</v>
      </c>
      <c r="S265" s="63">
        <f t="shared" si="112"/>
        <v>0</v>
      </c>
      <c r="T265" s="63">
        <f t="shared" si="112"/>
        <v>0</v>
      </c>
      <c r="U265" s="63">
        <f t="shared" si="112"/>
        <v>0</v>
      </c>
      <c r="V265" s="63">
        <f t="shared" si="112"/>
        <v>0</v>
      </c>
      <c r="W265" s="63">
        <f t="shared" si="112"/>
        <v>0</v>
      </c>
      <c r="X265" s="63">
        <f t="shared" si="112"/>
        <v>0</v>
      </c>
      <c r="Y265" s="63">
        <f t="shared" si="112"/>
        <v>0</v>
      </c>
      <c r="Z265" s="63">
        <f t="shared" si="112"/>
        <v>0</v>
      </c>
      <c r="AA265" s="63">
        <f t="shared" si="112"/>
        <v>0</v>
      </c>
      <c r="AB265" s="63">
        <f t="shared" si="112"/>
        <v>0</v>
      </c>
      <c r="AC265" s="63">
        <f t="shared" si="112"/>
        <v>0</v>
      </c>
      <c r="AD265" s="63">
        <f t="shared" si="112"/>
        <v>0</v>
      </c>
      <c r="AE265" s="63">
        <f t="shared" si="112"/>
        <v>0</v>
      </c>
      <c r="AF265" s="63">
        <f t="shared" si="113"/>
        <v>1167866</v>
      </c>
      <c r="AG265" s="58" t="str">
        <f t="shared" ref="AG265:AG271" si="114">IF(ABS(AF265-F265)&lt;1,"ok","err")</f>
        <v>ok</v>
      </c>
    </row>
    <row r="266" spans="1:33">
      <c r="A266" s="60">
        <v>593</v>
      </c>
      <c r="B266" s="60" t="s">
        <v>1013</v>
      </c>
      <c r="C266" s="44" t="s">
        <v>1014</v>
      </c>
      <c r="D266" s="44" t="s">
        <v>942</v>
      </c>
      <c r="F266" s="79">
        <v>23665349</v>
      </c>
      <c r="H266" s="63">
        <f t="shared" si="111"/>
        <v>0</v>
      </c>
      <c r="I266" s="63">
        <f t="shared" si="111"/>
        <v>0</v>
      </c>
      <c r="J266" s="63">
        <f t="shared" si="111"/>
        <v>0</v>
      </c>
      <c r="K266" s="63">
        <f t="shared" si="111"/>
        <v>0</v>
      </c>
      <c r="L266" s="63">
        <f t="shared" si="111"/>
        <v>0</v>
      </c>
      <c r="M266" s="63">
        <f t="shared" si="111"/>
        <v>0</v>
      </c>
      <c r="N266" s="63">
        <f t="shared" si="111"/>
        <v>0</v>
      </c>
      <c r="O266" s="63">
        <f t="shared" si="111"/>
        <v>0</v>
      </c>
      <c r="P266" s="63">
        <f t="shared" si="111"/>
        <v>0</v>
      </c>
      <c r="Q266" s="63">
        <f t="shared" si="111"/>
        <v>0</v>
      </c>
      <c r="R266" s="63">
        <f t="shared" si="112"/>
        <v>0</v>
      </c>
      <c r="S266" s="63">
        <f t="shared" si="112"/>
        <v>0</v>
      </c>
      <c r="T266" s="63">
        <f t="shared" si="112"/>
        <v>7067599.2087054206</v>
      </c>
      <c r="U266" s="63">
        <f t="shared" si="112"/>
        <v>10250703.18949458</v>
      </c>
      <c r="V266" s="63">
        <f t="shared" si="112"/>
        <v>2590229.7181945802</v>
      </c>
      <c r="W266" s="63">
        <f t="shared" si="112"/>
        <v>3756816.8836054201</v>
      </c>
      <c r="X266" s="63">
        <f t="shared" si="112"/>
        <v>0</v>
      </c>
      <c r="Y266" s="63">
        <f t="shared" si="112"/>
        <v>0</v>
      </c>
      <c r="Z266" s="63">
        <f t="shared" si="112"/>
        <v>0</v>
      </c>
      <c r="AA266" s="63">
        <f t="shared" si="112"/>
        <v>0</v>
      </c>
      <c r="AB266" s="63">
        <f t="shared" si="112"/>
        <v>0</v>
      </c>
      <c r="AC266" s="63">
        <f t="shared" si="112"/>
        <v>0</v>
      </c>
      <c r="AD266" s="63">
        <f t="shared" si="112"/>
        <v>0</v>
      </c>
      <c r="AE266" s="63">
        <f t="shared" si="112"/>
        <v>0</v>
      </c>
      <c r="AF266" s="63">
        <f t="shared" si="113"/>
        <v>23665349.000000004</v>
      </c>
      <c r="AG266" s="58" t="str">
        <f t="shared" si="114"/>
        <v>ok</v>
      </c>
    </row>
    <row r="267" spans="1:33">
      <c r="A267" s="60">
        <v>594</v>
      </c>
      <c r="B267" s="60" t="s">
        <v>1015</v>
      </c>
      <c r="C267" s="44" t="s">
        <v>1016</v>
      </c>
      <c r="D267" s="44" t="s">
        <v>945</v>
      </c>
      <c r="F267" s="79">
        <v>1604057</v>
      </c>
      <c r="H267" s="63">
        <f t="shared" si="111"/>
        <v>0</v>
      </c>
      <c r="I267" s="63">
        <f t="shared" si="111"/>
        <v>0</v>
      </c>
      <c r="J267" s="63">
        <f t="shared" si="111"/>
        <v>0</v>
      </c>
      <c r="K267" s="63">
        <f t="shared" si="111"/>
        <v>0</v>
      </c>
      <c r="L267" s="63">
        <f t="shared" si="111"/>
        <v>0</v>
      </c>
      <c r="M267" s="63">
        <f t="shared" si="111"/>
        <v>0</v>
      </c>
      <c r="N267" s="63">
        <f t="shared" si="111"/>
        <v>0</v>
      </c>
      <c r="O267" s="63">
        <f t="shared" si="111"/>
        <v>0</v>
      </c>
      <c r="P267" s="63">
        <f t="shared" si="111"/>
        <v>0</v>
      </c>
      <c r="Q267" s="63">
        <f t="shared" si="111"/>
        <v>0</v>
      </c>
      <c r="R267" s="63">
        <f t="shared" si="112"/>
        <v>0</v>
      </c>
      <c r="S267" s="63">
        <f t="shared" si="112"/>
        <v>0</v>
      </c>
      <c r="T267" s="63">
        <f t="shared" si="112"/>
        <v>503513.97351710004</v>
      </c>
      <c r="U267" s="63">
        <f t="shared" si="112"/>
        <v>909660.2434829002</v>
      </c>
      <c r="V267" s="63">
        <f t="shared" si="112"/>
        <v>68011.535582900004</v>
      </c>
      <c r="W267" s="63">
        <f t="shared" si="112"/>
        <v>122871.24741709999</v>
      </c>
      <c r="X267" s="63">
        <f t="shared" si="112"/>
        <v>0</v>
      </c>
      <c r="Y267" s="63">
        <f t="shared" si="112"/>
        <v>0</v>
      </c>
      <c r="Z267" s="63">
        <f t="shared" si="112"/>
        <v>0</v>
      </c>
      <c r="AA267" s="63">
        <f t="shared" si="112"/>
        <v>0</v>
      </c>
      <c r="AB267" s="63">
        <f t="shared" si="112"/>
        <v>0</v>
      </c>
      <c r="AC267" s="63">
        <f t="shared" si="112"/>
        <v>0</v>
      </c>
      <c r="AD267" s="63">
        <f t="shared" si="112"/>
        <v>0</v>
      </c>
      <c r="AE267" s="63">
        <f t="shared" si="112"/>
        <v>0</v>
      </c>
      <c r="AF267" s="63">
        <f t="shared" si="113"/>
        <v>1604057.0000000002</v>
      </c>
      <c r="AG267" s="58" t="str">
        <f t="shared" si="114"/>
        <v>ok</v>
      </c>
    </row>
    <row r="268" spans="1:33">
      <c r="A268" s="60">
        <v>595</v>
      </c>
      <c r="B268" s="60" t="s">
        <v>1017</v>
      </c>
      <c r="C268" s="44" t="s">
        <v>1018</v>
      </c>
      <c r="D268" s="44" t="s">
        <v>946</v>
      </c>
      <c r="F268" s="79">
        <v>334735</v>
      </c>
      <c r="H268" s="63">
        <f t="shared" si="111"/>
        <v>0</v>
      </c>
      <c r="I268" s="63">
        <f t="shared" si="111"/>
        <v>0</v>
      </c>
      <c r="J268" s="63">
        <f t="shared" si="111"/>
        <v>0</v>
      </c>
      <c r="K268" s="63">
        <f t="shared" si="111"/>
        <v>0</v>
      </c>
      <c r="L268" s="63">
        <f t="shared" si="111"/>
        <v>0</v>
      </c>
      <c r="M268" s="63">
        <f t="shared" si="111"/>
        <v>0</v>
      </c>
      <c r="N268" s="63">
        <f t="shared" si="111"/>
        <v>0</v>
      </c>
      <c r="O268" s="63">
        <f t="shared" si="111"/>
        <v>0</v>
      </c>
      <c r="P268" s="63">
        <f t="shared" si="111"/>
        <v>0</v>
      </c>
      <c r="Q268" s="63">
        <f t="shared" si="111"/>
        <v>0</v>
      </c>
      <c r="R268" s="63">
        <f t="shared" si="112"/>
        <v>0</v>
      </c>
      <c r="S268" s="63">
        <f t="shared" si="112"/>
        <v>0</v>
      </c>
      <c r="T268" s="63">
        <f t="shared" si="112"/>
        <v>0</v>
      </c>
      <c r="U268" s="63">
        <f t="shared" si="112"/>
        <v>0</v>
      </c>
      <c r="V268" s="63">
        <f t="shared" si="112"/>
        <v>0</v>
      </c>
      <c r="W268" s="63">
        <f t="shared" si="112"/>
        <v>0</v>
      </c>
      <c r="X268" s="63">
        <f t="shared" si="112"/>
        <v>196977.98352103587</v>
      </c>
      <c r="Y268" s="63">
        <f t="shared" si="112"/>
        <v>137757.01647896416</v>
      </c>
      <c r="Z268" s="63">
        <f t="shared" si="112"/>
        <v>0</v>
      </c>
      <c r="AA268" s="63">
        <f t="shared" si="112"/>
        <v>0</v>
      </c>
      <c r="AB268" s="63">
        <f t="shared" si="112"/>
        <v>0</v>
      </c>
      <c r="AC268" s="63">
        <f t="shared" si="112"/>
        <v>0</v>
      </c>
      <c r="AD268" s="63">
        <f t="shared" si="112"/>
        <v>0</v>
      </c>
      <c r="AE268" s="63">
        <f t="shared" si="112"/>
        <v>0</v>
      </c>
      <c r="AF268" s="63">
        <f t="shared" si="113"/>
        <v>334735</v>
      </c>
      <c r="AG268" s="58" t="str">
        <f t="shared" si="114"/>
        <v>ok</v>
      </c>
    </row>
    <row r="269" spans="1:33">
      <c r="A269" s="60">
        <v>596</v>
      </c>
      <c r="B269" s="60" t="s">
        <v>1152</v>
      </c>
      <c r="C269" s="44" t="s">
        <v>1153</v>
      </c>
      <c r="D269" s="44" t="s">
        <v>953</v>
      </c>
      <c r="F269" s="79">
        <v>355341</v>
      </c>
      <c r="H269" s="63">
        <f t="shared" si="111"/>
        <v>0</v>
      </c>
      <c r="I269" s="63">
        <f t="shared" si="111"/>
        <v>0</v>
      </c>
      <c r="J269" s="63">
        <f t="shared" si="111"/>
        <v>0</v>
      </c>
      <c r="K269" s="63">
        <f t="shared" si="111"/>
        <v>0</v>
      </c>
      <c r="L269" s="63">
        <f t="shared" si="111"/>
        <v>0</v>
      </c>
      <c r="M269" s="63">
        <f t="shared" si="111"/>
        <v>0</v>
      </c>
      <c r="N269" s="63">
        <f t="shared" si="111"/>
        <v>0</v>
      </c>
      <c r="O269" s="63">
        <f t="shared" si="111"/>
        <v>0</v>
      </c>
      <c r="P269" s="63">
        <f t="shared" si="111"/>
        <v>0</v>
      </c>
      <c r="Q269" s="63">
        <f t="shared" si="111"/>
        <v>0</v>
      </c>
      <c r="R269" s="63">
        <f t="shared" si="112"/>
        <v>0</v>
      </c>
      <c r="S269" s="63">
        <f t="shared" si="112"/>
        <v>0</v>
      </c>
      <c r="T269" s="63">
        <f t="shared" si="112"/>
        <v>0</v>
      </c>
      <c r="U269" s="63">
        <f t="shared" si="112"/>
        <v>0</v>
      </c>
      <c r="V269" s="63">
        <f t="shared" si="112"/>
        <v>0</v>
      </c>
      <c r="W269" s="63">
        <f t="shared" si="112"/>
        <v>0</v>
      </c>
      <c r="X269" s="63">
        <f t="shared" si="112"/>
        <v>0</v>
      </c>
      <c r="Y269" s="63">
        <f t="shared" si="112"/>
        <v>0</v>
      </c>
      <c r="Z269" s="63">
        <f t="shared" si="112"/>
        <v>0</v>
      </c>
      <c r="AA269" s="63">
        <f t="shared" si="112"/>
        <v>0</v>
      </c>
      <c r="AB269" s="63">
        <f t="shared" si="112"/>
        <v>355341</v>
      </c>
      <c r="AC269" s="63">
        <f t="shared" si="112"/>
        <v>0</v>
      </c>
      <c r="AD269" s="63">
        <f t="shared" si="112"/>
        <v>0</v>
      </c>
      <c r="AE269" s="63">
        <f t="shared" si="112"/>
        <v>0</v>
      </c>
      <c r="AF269" s="63">
        <f t="shared" si="113"/>
        <v>355341</v>
      </c>
      <c r="AG269" s="58" t="str">
        <f t="shared" si="114"/>
        <v>ok</v>
      </c>
    </row>
    <row r="270" spans="1:33">
      <c r="A270" s="60">
        <v>597</v>
      </c>
      <c r="B270" s="60" t="s">
        <v>1019</v>
      </c>
      <c r="C270" s="44" t="s">
        <v>1020</v>
      </c>
      <c r="D270" s="44" t="s">
        <v>950</v>
      </c>
      <c r="F270" s="79">
        <v>1427898</v>
      </c>
      <c r="H270" s="63">
        <f t="shared" si="111"/>
        <v>0</v>
      </c>
      <c r="I270" s="63">
        <f t="shared" si="111"/>
        <v>0</v>
      </c>
      <c r="J270" s="63">
        <f t="shared" si="111"/>
        <v>0</v>
      </c>
      <c r="K270" s="63">
        <f t="shared" si="111"/>
        <v>0</v>
      </c>
      <c r="L270" s="63">
        <f t="shared" si="111"/>
        <v>0</v>
      </c>
      <c r="M270" s="63">
        <f t="shared" si="111"/>
        <v>0</v>
      </c>
      <c r="N270" s="63">
        <f t="shared" si="111"/>
        <v>0</v>
      </c>
      <c r="O270" s="63">
        <f t="shared" si="111"/>
        <v>0</v>
      </c>
      <c r="P270" s="63">
        <f t="shared" si="111"/>
        <v>0</v>
      </c>
      <c r="Q270" s="63">
        <f t="shared" si="111"/>
        <v>0</v>
      </c>
      <c r="R270" s="63">
        <f t="shared" si="112"/>
        <v>0</v>
      </c>
      <c r="S270" s="63">
        <f t="shared" si="112"/>
        <v>0</v>
      </c>
      <c r="T270" s="63">
        <f t="shared" si="112"/>
        <v>0</v>
      </c>
      <c r="U270" s="63">
        <f t="shared" si="112"/>
        <v>0</v>
      </c>
      <c r="V270" s="63">
        <f t="shared" si="112"/>
        <v>0</v>
      </c>
      <c r="W270" s="63">
        <f t="shared" si="112"/>
        <v>0</v>
      </c>
      <c r="X270" s="63">
        <f t="shared" si="112"/>
        <v>0</v>
      </c>
      <c r="Y270" s="63">
        <f t="shared" si="112"/>
        <v>0</v>
      </c>
      <c r="Z270" s="63">
        <f t="shared" si="112"/>
        <v>0</v>
      </c>
      <c r="AA270" s="63">
        <f t="shared" si="112"/>
        <v>1427898</v>
      </c>
      <c r="AB270" s="63">
        <f t="shared" si="112"/>
        <v>0</v>
      </c>
      <c r="AC270" s="63">
        <f t="shared" si="112"/>
        <v>0</v>
      </c>
      <c r="AD270" s="63">
        <f t="shared" si="112"/>
        <v>0</v>
      </c>
      <c r="AE270" s="63">
        <f t="shared" si="112"/>
        <v>0</v>
      </c>
      <c r="AF270" s="63">
        <f t="shared" si="113"/>
        <v>1427898</v>
      </c>
      <c r="AG270" s="58" t="str">
        <f t="shared" si="114"/>
        <v>ok</v>
      </c>
    </row>
    <row r="271" spans="1:33">
      <c r="A271" s="60">
        <v>598</v>
      </c>
      <c r="B271" s="60" t="s">
        <v>273</v>
      </c>
      <c r="C271" s="44" t="s">
        <v>274</v>
      </c>
      <c r="D271" s="44" t="s">
        <v>935</v>
      </c>
      <c r="F271" s="79">
        <v>671832</v>
      </c>
      <c r="H271" s="63">
        <f t="shared" si="111"/>
        <v>0</v>
      </c>
      <c r="I271" s="63">
        <f t="shared" si="111"/>
        <v>0</v>
      </c>
      <c r="J271" s="63">
        <f t="shared" si="111"/>
        <v>0</v>
      </c>
      <c r="K271" s="63">
        <f t="shared" si="111"/>
        <v>0</v>
      </c>
      <c r="L271" s="63">
        <f t="shared" si="111"/>
        <v>0</v>
      </c>
      <c r="M271" s="63">
        <f t="shared" si="111"/>
        <v>0</v>
      </c>
      <c r="N271" s="63">
        <f t="shared" si="111"/>
        <v>0</v>
      </c>
      <c r="O271" s="63">
        <f t="shared" si="111"/>
        <v>0</v>
      </c>
      <c r="P271" s="63">
        <f t="shared" si="111"/>
        <v>0</v>
      </c>
      <c r="Q271" s="63">
        <f t="shared" si="111"/>
        <v>0</v>
      </c>
      <c r="R271" s="63">
        <f t="shared" si="112"/>
        <v>75273.637715902267</v>
      </c>
      <c r="S271" s="63">
        <f t="shared" si="112"/>
        <v>0</v>
      </c>
      <c r="T271" s="63">
        <f t="shared" si="112"/>
        <v>128725.66314504822</v>
      </c>
      <c r="U271" s="63">
        <f t="shared" si="112"/>
        <v>204850.37322344183</v>
      </c>
      <c r="V271" s="63">
        <f t="shared" si="112"/>
        <v>35387.168551612747</v>
      </c>
      <c r="W271" s="63">
        <f t="shared" si="112"/>
        <v>53776.325329268213</v>
      </c>
      <c r="X271" s="63">
        <f t="shared" si="112"/>
        <v>48915.743459200581</v>
      </c>
      <c r="Y271" s="63">
        <f t="shared" si="112"/>
        <v>34209.340340161696</v>
      </c>
      <c r="Z271" s="63">
        <f t="shared" si="112"/>
        <v>16988.99804701746</v>
      </c>
      <c r="AA271" s="63">
        <f t="shared" si="112"/>
        <v>19706.763199018467</v>
      </c>
      <c r="AB271" s="63">
        <f t="shared" si="112"/>
        <v>53997.986989328521</v>
      </c>
      <c r="AC271" s="63">
        <f t="shared" si="112"/>
        <v>0</v>
      </c>
      <c r="AD271" s="63">
        <f t="shared" si="112"/>
        <v>0</v>
      </c>
      <c r="AE271" s="63">
        <f t="shared" si="112"/>
        <v>0</v>
      </c>
      <c r="AF271" s="63">
        <f t="shared" si="113"/>
        <v>671832</v>
      </c>
      <c r="AG271" s="58" t="str">
        <f t="shared" si="114"/>
        <v>ok</v>
      </c>
    </row>
    <row r="272" spans="1:33">
      <c r="A272" s="60"/>
      <c r="B272" s="60"/>
      <c r="F272" s="79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58"/>
    </row>
    <row r="273" spans="1:33">
      <c r="A273" s="60" t="s">
        <v>1021</v>
      </c>
      <c r="B273" s="60"/>
      <c r="C273" s="44" t="s">
        <v>1022</v>
      </c>
      <c r="F273" s="76">
        <f t="shared" ref="F273:M273" si="115">SUM(F263:F272)</f>
        <v>29304928</v>
      </c>
      <c r="G273" s="62">
        <f t="shared" si="115"/>
        <v>0</v>
      </c>
      <c r="H273" s="62">
        <f t="shared" si="115"/>
        <v>0</v>
      </c>
      <c r="I273" s="62">
        <f t="shared" si="115"/>
        <v>0</v>
      </c>
      <c r="J273" s="62">
        <f t="shared" si="115"/>
        <v>0</v>
      </c>
      <c r="K273" s="62">
        <f t="shared" si="115"/>
        <v>0</v>
      </c>
      <c r="L273" s="62">
        <f t="shared" si="115"/>
        <v>0</v>
      </c>
      <c r="M273" s="62">
        <f t="shared" si="115"/>
        <v>0</v>
      </c>
      <c r="N273" s="62">
        <f>SUM(N263:N272)</f>
        <v>0</v>
      </c>
      <c r="O273" s="62">
        <f>SUM(O263:O272)</f>
        <v>0</v>
      </c>
      <c r="P273" s="62">
        <f>SUM(P263:P272)</f>
        <v>0</v>
      </c>
      <c r="Q273" s="62">
        <f t="shared" ref="Q273:AB273" si="116">SUM(Q263:Q272)</f>
        <v>0</v>
      </c>
      <c r="R273" s="62">
        <f t="shared" si="116"/>
        <v>1247875.6471804925</v>
      </c>
      <c r="S273" s="62">
        <f t="shared" si="116"/>
        <v>0</v>
      </c>
      <c r="T273" s="62">
        <f t="shared" si="116"/>
        <v>7721219.9617446288</v>
      </c>
      <c r="U273" s="62">
        <f t="shared" si="116"/>
        <v>11397298.658050381</v>
      </c>
      <c r="V273" s="62">
        <f t="shared" si="116"/>
        <v>2700766.7092797584</v>
      </c>
      <c r="W273" s="62">
        <f t="shared" si="116"/>
        <v>3943962.7680320311</v>
      </c>
      <c r="X273" s="62">
        <f t="shared" si="116"/>
        <v>246982.135858061</v>
      </c>
      <c r="Y273" s="62">
        <f t="shared" si="116"/>
        <v>172727.53813004284</v>
      </c>
      <c r="Z273" s="62">
        <f t="shared" si="116"/>
        <v>16988.99804701746</v>
      </c>
      <c r="AA273" s="62">
        <f t="shared" si="116"/>
        <v>1447604.7631990185</v>
      </c>
      <c r="AB273" s="62">
        <f t="shared" si="116"/>
        <v>409500.82047857082</v>
      </c>
      <c r="AC273" s="62">
        <f>SUM(AC263:AC272)</f>
        <v>0</v>
      </c>
      <c r="AD273" s="62">
        <f>SUM(AD263:AD272)</f>
        <v>0</v>
      </c>
      <c r="AE273" s="62">
        <f>SUM(AE263:AE272)</f>
        <v>0</v>
      </c>
      <c r="AF273" s="63">
        <f>SUM(H273:AE273)</f>
        <v>29304928</v>
      </c>
      <c r="AG273" s="58" t="str">
        <f>IF(ABS(AF273-F273)&lt;1,"ok","err")</f>
        <v>ok</v>
      </c>
    </row>
    <row r="274" spans="1:33">
      <c r="A274" s="60"/>
      <c r="B274" s="60"/>
      <c r="F274" s="79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G274" s="58"/>
    </row>
    <row r="275" spans="1:33">
      <c r="A275" s="60" t="s">
        <v>1154</v>
      </c>
      <c r="B275" s="60"/>
      <c r="F275" s="76">
        <f>F259+F273</f>
        <v>54019516</v>
      </c>
      <c r="G275" s="63">
        <f t="shared" ref="G275:M275" si="117">G259+G273</f>
        <v>0</v>
      </c>
      <c r="H275" s="63">
        <f t="shared" si="117"/>
        <v>0</v>
      </c>
      <c r="I275" s="63">
        <f t="shared" si="117"/>
        <v>0</v>
      </c>
      <c r="J275" s="63">
        <f t="shared" si="117"/>
        <v>0</v>
      </c>
      <c r="K275" s="63">
        <f t="shared" si="117"/>
        <v>0</v>
      </c>
      <c r="L275" s="63">
        <f t="shared" si="117"/>
        <v>0</v>
      </c>
      <c r="M275" s="63">
        <f t="shared" si="117"/>
        <v>0</v>
      </c>
      <c r="N275" s="63">
        <f>N259+N273</f>
        <v>0</v>
      </c>
      <c r="O275" s="63">
        <f>O259+O273</f>
        <v>0</v>
      </c>
      <c r="P275" s="63">
        <f>P259+P273</f>
        <v>0</v>
      </c>
      <c r="Q275" s="63">
        <f t="shared" ref="Q275:AB275" si="118">Q259+Q273</f>
        <v>0</v>
      </c>
      <c r="R275" s="63">
        <f t="shared" si="118"/>
        <v>4886677.3409584481</v>
      </c>
      <c r="S275" s="63">
        <f t="shared" si="118"/>
        <v>0</v>
      </c>
      <c r="T275" s="63">
        <f t="shared" si="118"/>
        <v>10886720.914084699</v>
      </c>
      <c r="U275" s="63">
        <f t="shared" si="118"/>
        <v>16210312.185397595</v>
      </c>
      <c r="V275" s="63">
        <f t="shared" si="118"/>
        <v>3716796.1793296379</v>
      </c>
      <c r="W275" s="63">
        <f t="shared" si="118"/>
        <v>5447555.4697906598</v>
      </c>
      <c r="X275" s="63">
        <f t="shared" si="118"/>
        <v>672706.189899071</v>
      </c>
      <c r="Y275" s="63">
        <f t="shared" si="118"/>
        <v>470458.6575155544</v>
      </c>
      <c r="Z275" s="63">
        <f t="shared" si="118"/>
        <v>164847.83880456683</v>
      </c>
      <c r="AA275" s="63">
        <f t="shared" si="118"/>
        <v>10683984.510086538</v>
      </c>
      <c r="AB275" s="63">
        <f t="shared" si="118"/>
        <v>879456.71413322981</v>
      </c>
      <c r="AC275" s="63">
        <f>AC259+AC273</f>
        <v>0</v>
      </c>
      <c r="AD275" s="63">
        <f>AD259+AD273</f>
        <v>0</v>
      </c>
      <c r="AE275" s="63">
        <f>AE259+AE273</f>
        <v>0</v>
      </c>
      <c r="AF275" s="63">
        <f>SUM(H275:AE275)</f>
        <v>54019516.000000007</v>
      </c>
      <c r="AG275" s="58" t="str">
        <f>IF(ABS(AF275-F275)&lt;1,"ok","err")</f>
        <v>ok</v>
      </c>
    </row>
    <row r="276" spans="1:33">
      <c r="A276" s="60"/>
      <c r="B276" s="60"/>
      <c r="F276" s="79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G276" s="58"/>
    </row>
    <row r="277" spans="1:33">
      <c r="A277" s="60" t="s">
        <v>1155</v>
      </c>
      <c r="B277" s="60"/>
      <c r="F277" s="76">
        <f t="shared" ref="F277:M277" si="119">F275+F241</f>
        <v>70529027</v>
      </c>
      <c r="G277" s="63">
        <f t="shared" si="119"/>
        <v>0</v>
      </c>
      <c r="H277" s="63">
        <f t="shared" si="119"/>
        <v>0</v>
      </c>
      <c r="I277" s="63">
        <f t="shared" si="119"/>
        <v>0</v>
      </c>
      <c r="J277" s="63">
        <f t="shared" si="119"/>
        <v>0</v>
      </c>
      <c r="K277" s="63">
        <f t="shared" si="119"/>
        <v>0</v>
      </c>
      <c r="L277" s="63">
        <f t="shared" si="119"/>
        <v>0</v>
      </c>
      <c r="M277" s="63">
        <f t="shared" si="119"/>
        <v>0</v>
      </c>
      <c r="N277" s="63">
        <f>N275+N241</f>
        <v>16509511</v>
      </c>
      <c r="O277" s="63">
        <f>O275+O241</f>
        <v>0</v>
      </c>
      <c r="P277" s="63">
        <f>P275+P241</f>
        <v>0</v>
      </c>
      <c r="Q277" s="63">
        <f t="shared" ref="Q277:AB277" si="120">Q275+Q241</f>
        <v>0</v>
      </c>
      <c r="R277" s="63">
        <f t="shared" si="120"/>
        <v>4886677.3409584481</v>
      </c>
      <c r="S277" s="63">
        <f t="shared" si="120"/>
        <v>0</v>
      </c>
      <c r="T277" s="63">
        <f t="shared" si="120"/>
        <v>10886720.914084699</v>
      </c>
      <c r="U277" s="63">
        <f t="shared" si="120"/>
        <v>16210312.185397595</v>
      </c>
      <c r="V277" s="63">
        <f t="shared" si="120"/>
        <v>3716796.1793296379</v>
      </c>
      <c r="W277" s="63">
        <f t="shared" si="120"/>
        <v>5447555.4697906598</v>
      </c>
      <c r="X277" s="63">
        <f t="shared" si="120"/>
        <v>672706.189899071</v>
      </c>
      <c r="Y277" s="63">
        <f t="shared" si="120"/>
        <v>470458.6575155544</v>
      </c>
      <c r="Z277" s="63">
        <f t="shared" si="120"/>
        <v>164847.83880456683</v>
      </c>
      <c r="AA277" s="63">
        <f t="shared" si="120"/>
        <v>10683984.510086538</v>
      </c>
      <c r="AB277" s="63">
        <f t="shared" si="120"/>
        <v>879456.71413322981</v>
      </c>
      <c r="AC277" s="63">
        <f>AC275+AC241</f>
        <v>0</v>
      </c>
      <c r="AD277" s="63">
        <f>AD275+AD241</f>
        <v>0</v>
      </c>
      <c r="AE277" s="63">
        <f>AE275+AE241</f>
        <v>0</v>
      </c>
      <c r="AF277" s="63">
        <f>SUM(H277:AE277)</f>
        <v>70529027.000000015</v>
      </c>
      <c r="AG277" s="58" t="str">
        <f>IF(ABS(AF277-F277)&lt;1,"ok","err")</f>
        <v>ok</v>
      </c>
    </row>
    <row r="278" spans="1:33">
      <c r="A278" s="60"/>
      <c r="B278" s="60"/>
      <c r="F278" s="79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G278" s="58"/>
    </row>
    <row r="279" spans="1:33">
      <c r="A279" s="60" t="s">
        <v>276</v>
      </c>
      <c r="B279" s="60"/>
      <c r="C279" s="44" t="s">
        <v>1023</v>
      </c>
      <c r="F279" s="76">
        <f>F223+F241+F275</f>
        <v>580874289.65152061</v>
      </c>
      <c r="G279" s="62">
        <f>G277+G221</f>
        <v>0</v>
      </c>
      <c r="H279" s="62">
        <f t="shared" ref="H279:M279" si="121">H223+H241+H275</f>
        <v>22381959.218989</v>
      </c>
      <c r="I279" s="62">
        <f t="shared" si="121"/>
        <v>23446518.932840079</v>
      </c>
      <c r="J279" s="62">
        <f t="shared" si="121"/>
        <v>19272959.500648879</v>
      </c>
      <c r="K279" s="62">
        <f t="shared" si="121"/>
        <v>445243824.99904263</v>
      </c>
      <c r="L279" s="62">
        <f t="shared" si="121"/>
        <v>0</v>
      </c>
      <c r="M279" s="62">
        <f t="shared" si="121"/>
        <v>0</v>
      </c>
      <c r="N279" s="62">
        <f>N223+N241+N275</f>
        <v>16509511</v>
      </c>
      <c r="O279" s="62">
        <f>O223+O241+O275</f>
        <v>0</v>
      </c>
      <c r="P279" s="62">
        <f>P223+P241+P275</f>
        <v>0</v>
      </c>
      <c r="Q279" s="62">
        <f t="shared" ref="Q279:AB279" si="122">Q223+Q241+Q275</f>
        <v>0</v>
      </c>
      <c r="R279" s="62">
        <f t="shared" si="122"/>
        <v>4886677.3409584481</v>
      </c>
      <c r="S279" s="62">
        <f t="shared" si="122"/>
        <v>0</v>
      </c>
      <c r="T279" s="62">
        <f t="shared" si="122"/>
        <v>10886720.914084699</v>
      </c>
      <c r="U279" s="62">
        <f t="shared" si="122"/>
        <v>16210312.185397595</v>
      </c>
      <c r="V279" s="62">
        <f t="shared" si="122"/>
        <v>3716796.1793296379</v>
      </c>
      <c r="W279" s="62">
        <f t="shared" si="122"/>
        <v>5447555.4697906598</v>
      </c>
      <c r="X279" s="62">
        <f t="shared" si="122"/>
        <v>672706.189899071</v>
      </c>
      <c r="Y279" s="62">
        <f t="shared" si="122"/>
        <v>470458.6575155544</v>
      </c>
      <c r="Z279" s="62">
        <f t="shared" si="122"/>
        <v>164847.83880456683</v>
      </c>
      <c r="AA279" s="62">
        <f t="shared" si="122"/>
        <v>10683984.510086538</v>
      </c>
      <c r="AB279" s="62">
        <f t="shared" si="122"/>
        <v>879456.71413322981</v>
      </c>
      <c r="AC279" s="62">
        <f>AC223+AC241+AC275</f>
        <v>0</v>
      </c>
      <c r="AD279" s="62">
        <f>AD223+AD241+AD275</f>
        <v>0</v>
      </c>
      <c r="AE279" s="62">
        <f>AE223+AE241+AE275</f>
        <v>0</v>
      </c>
      <c r="AF279" s="63">
        <f>SUM(H279:AE279)</f>
        <v>580874289.65152073</v>
      </c>
      <c r="AG279" s="58" t="str">
        <f>IF(ABS(AF279-F279)&lt;1,"ok","err")</f>
        <v>ok</v>
      </c>
    </row>
    <row r="280" spans="1:33" ht="15">
      <c r="A280" s="65"/>
      <c r="B280" s="60"/>
      <c r="F280" s="79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G280" s="58"/>
    </row>
    <row r="281" spans="1:33" ht="15">
      <c r="A281" s="65"/>
      <c r="B281" s="60"/>
      <c r="F281" s="79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G281" s="58"/>
    </row>
    <row r="282" spans="1:33" ht="15">
      <c r="A282" s="59" t="s">
        <v>1024</v>
      </c>
      <c r="B282" s="60"/>
      <c r="F282" s="79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G282" s="58"/>
    </row>
    <row r="283" spans="1:33" ht="15">
      <c r="A283" s="65"/>
      <c r="B283" s="60"/>
      <c r="F283" s="79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G283" s="58"/>
    </row>
    <row r="284" spans="1:33" ht="15">
      <c r="A284" s="65" t="s">
        <v>1025</v>
      </c>
      <c r="B284" s="60"/>
      <c r="F284" s="79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G284" s="58"/>
    </row>
    <row r="285" spans="1:33">
      <c r="A285" s="60">
        <v>901</v>
      </c>
      <c r="B285" s="60" t="s">
        <v>1026</v>
      </c>
      <c r="C285" s="44" t="s">
        <v>1027</v>
      </c>
      <c r="D285" s="44" t="s">
        <v>662</v>
      </c>
      <c r="F285" s="76">
        <v>1267536.8055433794</v>
      </c>
      <c r="H285" s="63">
        <f t="shared" ref="H285:Q289" si="123">IF(VLOOKUP($D285,$C$6:$AE$653,H$2,)=0,0,((VLOOKUP($D285,$C$6:$AE$653,H$2,)/VLOOKUP($D285,$C$6:$AE$653,4,))*$F285))</f>
        <v>0</v>
      </c>
      <c r="I285" s="63">
        <f t="shared" si="123"/>
        <v>0</v>
      </c>
      <c r="J285" s="63">
        <f t="shared" si="123"/>
        <v>0</v>
      </c>
      <c r="K285" s="63">
        <f t="shared" si="123"/>
        <v>0</v>
      </c>
      <c r="L285" s="63">
        <f t="shared" si="123"/>
        <v>0</v>
      </c>
      <c r="M285" s="63">
        <f t="shared" si="123"/>
        <v>0</v>
      </c>
      <c r="N285" s="63">
        <f t="shared" si="123"/>
        <v>0</v>
      </c>
      <c r="O285" s="63">
        <f t="shared" si="123"/>
        <v>0</v>
      </c>
      <c r="P285" s="63">
        <f t="shared" si="123"/>
        <v>0</v>
      </c>
      <c r="Q285" s="63">
        <f t="shared" si="123"/>
        <v>0</v>
      </c>
      <c r="R285" s="63">
        <f t="shared" ref="R285:AE289" si="124">IF(VLOOKUP($D285,$C$6:$AE$653,R$2,)=0,0,((VLOOKUP($D285,$C$6:$AE$653,R$2,)/VLOOKUP($D285,$C$6:$AE$653,4,))*$F285))</f>
        <v>0</v>
      </c>
      <c r="S285" s="63">
        <f t="shared" si="124"/>
        <v>0</v>
      </c>
      <c r="T285" s="63">
        <f t="shared" si="124"/>
        <v>0</v>
      </c>
      <c r="U285" s="63">
        <f t="shared" si="124"/>
        <v>0</v>
      </c>
      <c r="V285" s="63">
        <f t="shared" si="124"/>
        <v>0</v>
      </c>
      <c r="W285" s="63">
        <f t="shared" si="124"/>
        <v>0</v>
      </c>
      <c r="X285" s="63">
        <f t="shared" si="124"/>
        <v>0</v>
      </c>
      <c r="Y285" s="63">
        <f t="shared" si="124"/>
        <v>0</v>
      </c>
      <c r="Z285" s="63">
        <f t="shared" si="124"/>
        <v>0</v>
      </c>
      <c r="AA285" s="63">
        <f t="shared" si="124"/>
        <v>0</v>
      </c>
      <c r="AB285" s="63">
        <f t="shared" si="124"/>
        <v>0</v>
      </c>
      <c r="AC285" s="63">
        <f t="shared" si="124"/>
        <v>1267536.8055433794</v>
      </c>
      <c r="AD285" s="63">
        <f t="shared" si="124"/>
        <v>0</v>
      </c>
      <c r="AE285" s="63">
        <f t="shared" si="124"/>
        <v>0</v>
      </c>
      <c r="AF285" s="63">
        <f>SUM(H285:AE285)</f>
        <v>1267536.8055433794</v>
      </c>
      <c r="AG285" s="58" t="str">
        <f>IF(ABS(AF285-F285)&lt;1,"ok","err")</f>
        <v>ok</v>
      </c>
    </row>
    <row r="286" spans="1:33">
      <c r="A286" s="60">
        <v>902</v>
      </c>
      <c r="B286" s="60" t="s">
        <v>1029</v>
      </c>
      <c r="C286" s="44" t="s">
        <v>1030</v>
      </c>
      <c r="D286" s="44" t="s">
        <v>662</v>
      </c>
      <c r="F286" s="79">
        <v>2546374.3200000003</v>
      </c>
      <c r="H286" s="63">
        <f t="shared" si="123"/>
        <v>0</v>
      </c>
      <c r="I286" s="63">
        <f t="shared" si="123"/>
        <v>0</v>
      </c>
      <c r="J286" s="63">
        <f t="shared" si="123"/>
        <v>0</v>
      </c>
      <c r="K286" s="63">
        <f t="shared" si="123"/>
        <v>0</v>
      </c>
      <c r="L286" s="63">
        <f t="shared" si="123"/>
        <v>0</v>
      </c>
      <c r="M286" s="63">
        <f t="shared" si="123"/>
        <v>0</v>
      </c>
      <c r="N286" s="63">
        <f t="shared" si="123"/>
        <v>0</v>
      </c>
      <c r="O286" s="63">
        <f t="shared" si="123"/>
        <v>0</v>
      </c>
      <c r="P286" s="63">
        <f t="shared" si="123"/>
        <v>0</v>
      </c>
      <c r="Q286" s="63">
        <f t="shared" si="123"/>
        <v>0</v>
      </c>
      <c r="R286" s="63">
        <f t="shared" si="124"/>
        <v>0</v>
      </c>
      <c r="S286" s="63">
        <f t="shared" si="124"/>
        <v>0</v>
      </c>
      <c r="T286" s="63">
        <f t="shared" si="124"/>
        <v>0</v>
      </c>
      <c r="U286" s="63">
        <f t="shared" si="124"/>
        <v>0</v>
      </c>
      <c r="V286" s="63">
        <f t="shared" si="124"/>
        <v>0</v>
      </c>
      <c r="W286" s="63">
        <f t="shared" si="124"/>
        <v>0</v>
      </c>
      <c r="X286" s="63">
        <f t="shared" si="124"/>
        <v>0</v>
      </c>
      <c r="Y286" s="63">
        <f t="shared" si="124"/>
        <v>0</v>
      </c>
      <c r="Z286" s="63">
        <f t="shared" si="124"/>
        <v>0</v>
      </c>
      <c r="AA286" s="63">
        <f t="shared" si="124"/>
        <v>0</v>
      </c>
      <c r="AB286" s="63">
        <f t="shared" si="124"/>
        <v>0</v>
      </c>
      <c r="AC286" s="63">
        <f t="shared" si="124"/>
        <v>2546374.3200000003</v>
      </c>
      <c r="AD286" s="63">
        <f t="shared" si="124"/>
        <v>0</v>
      </c>
      <c r="AE286" s="63">
        <f t="shared" si="124"/>
        <v>0</v>
      </c>
      <c r="AF286" s="63">
        <f>SUM(H286:AE286)</f>
        <v>2546374.3200000003</v>
      </c>
      <c r="AG286" s="58" t="str">
        <f>IF(ABS(AF286-F286)&lt;1,"ok","err")</f>
        <v>ok</v>
      </c>
    </row>
    <row r="287" spans="1:33">
      <c r="A287" s="60">
        <v>903</v>
      </c>
      <c r="B287" s="60" t="s">
        <v>29</v>
      </c>
      <c r="C287" s="44" t="s">
        <v>1031</v>
      </c>
      <c r="D287" s="44" t="s">
        <v>662</v>
      </c>
      <c r="F287" s="79">
        <v>7699623.5280121109</v>
      </c>
      <c r="H287" s="63">
        <f t="shared" si="123"/>
        <v>0</v>
      </c>
      <c r="I287" s="63">
        <f t="shared" si="123"/>
        <v>0</v>
      </c>
      <c r="J287" s="63">
        <f t="shared" si="123"/>
        <v>0</v>
      </c>
      <c r="K287" s="63">
        <f t="shared" si="123"/>
        <v>0</v>
      </c>
      <c r="L287" s="63">
        <f t="shared" si="123"/>
        <v>0</v>
      </c>
      <c r="M287" s="63">
        <f t="shared" si="123"/>
        <v>0</v>
      </c>
      <c r="N287" s="63">
        <f t="shared" si="123"/>
        <v>0</v>
      </c>
      <c r="O287" s="63">
        <f t="shared" si="123"/>
        <v>0</v>
      </c>
      <c r="P287" s="63">
        <f t="shared" si="123"/>
        <v>0</v>
      </c>
      <c r="Q287" s="63">
        <f t="shared" si="123"/>
        <v>0</v>
      </c>
      <c r="R287" s="63">
        <f t="shared" si="124"/>
        <v>0</v>
      </c>
      <c r="S287" s="63">
        <f t="shared" si="124"/>
        <v>0</v>
      </c>
      <c r="T287" s="63">
        <f t="shared" si="124"/>
        <v>0</v>
      </c>
      <c r="U287" s="63">
        <f t="shared" si="124"/>
        <v>0</v>
      </c>
      <c r="V287" s="63">
        <f t="shared" si="124"/>
        <v>0</v>
      </c>
      <c r="W287" s="63">
        <f t="shared" si="124"/>
        <v>0</v>
      </c>
      <c r="X287" s="63">
        <f t="shared" si="124"/>
        <v>0</v>
      </c>
      <c r="Y287" s="63">
        <f t="shared" si="124"/>
        <v>0</v>
      </c>
      <c r="Z287" s="63">
        <f t="shared" si="124"/>
        <v>0</v>
      </c>
      <c r="AA287" s="63">
        <f t="shared" si="124"/>
        <v>0</v>
      </c>
      <c r="AB287" s="63">
        <f t="shared" si="124"/>
        <v>0</v>
      </c>
      <c r="AC287" s="63">
        <f t="shared" si="124"/>
        <v>7699623.5280121109</v>
      </c>
      <c r="AD287" s="63">
        <f t="shared" si="124"/>
        <v>0</v>
      </c>
      <c r="AE287" s="63">
        <f t="shared" si="124"/>
        <v>0</v>
      </c>
      <c r="AF287" s="63">
        <f>SUM(H287:AE287)</f>
        <v>7699623.5280121109</v>
      </c>
      <c r="AG287" s="58" t="str">
        <f>IF(ABS(AF287-F287)&lt;1,"ok","err")</f>
        <v>ok</v>
      </c>
    </row>
    <row r="288" spans="1:33">
      <c r="A288" s="60">
        <v>904</v>
      </c>
      <c r="B288" s="60" t="s">
        <v>1032</v>
      </c>
      <c r="C288" s="44" t="s">
        <v>1033</v>
      </c>
      <c r="D288" s="44" t="s">
        <v>662</v>
      </c>
      <c r="F288" s="79">
        <v>2477177.410444241</v>
      </c>
      <c r="H288" s="63">
        <f t="shared" si="123"/>
        <v>0</v>
      </c>
      <c r="I288" s="63">
        <f t="shared" si="123"/>
        <v>0</v>
      </c>
      <c r="J288" s="63">
        <f t="shared" si="123"/>
        <v>0</v>
      </c>
      <c r="K288" s="63">
        <f t="shared" si="123"/>
        <v>0</v>
      </c>
      <c r="L288" s="63">
        <f t="shared" si="123"/>
        <v>0</v>
      </c>
      <c r="M288" s="63">
        <f t="shared" si="123"/>
        <v>0</v>
      </c>
      <c r="N288" s="63">
        <f t="shared" si="123"/>
        <v>0</v>
      </c>
      <c r="O288" s="63">
        <f t="shared" si="123"/>
        <v>0</v>
      </c>
      <c r="P288" s="63">
        <f t="shared" si="123"/>
        <v>0</v>
      </c>
      <c r="Q288" s="63">
        <f t="shared" si="123"/>
        <v>0</v>
      </c>
      <c r="R288" s="63">
        <f t="shared" si="124"/>
        <v>0</v>
      </c>
      <c r="S288" s="63">
        <f t="shared" si="124"/>
        <v>0</v>
      </c>
      <c r="T288" s="63">
        <f t="shared" si="124"/>
        <v>0</v>
      </c>
      <c r="U288" s="63">
        <f t="shared" si="124"/>
        <v>0</v>
      </c>
      <c r="V288" s="63">
        <f t="shared" si="124"/>
        <v>0</v>
      </c>
      <c r="W288" s="63">
        <f t="shared" si="124"/>
        <v>0</v>
      </c>
      <c r="X288" s="63">
        <f t="shared" si="124"/>
        <v>0</v>
      </c>
      <c r="Y288" s="63">
        <f t="shared" si="124"/>
        <v>0</v>
      </c>
      <c r="Z288" s="63">
        <f t="shared" si="124"/>
        <v>0</v>
      </c>
      <c r="AA288" s="63">
        <f t="shared" si="124"/>
        <v>0</v>
      </c>
      <c r="AB288" s="63">
        <f t="shared" si="124"/>
        <v>0</v>
      </c>
      <c r="AC288" s="63">
        <f t="shared" si="124"/>
        <v>2477177.410444241</v>
      </c>
      <c r="AD288" s="63">
        <f t="shared" si="124"/>
        <v>0</v>
      </c>
      <c r="AE288" s="63">
        <f t="shared" si="124"/>
        <v>0</v>
      </c>
      <c r="AF288" s="63">
        <f>SUM(H288:AE288)</f>
        <v>2477177.410444241</v>
      </c>
      <c r="AG288" s="58" t="str">
        <f>IF(ABS(AF288-F288)&lt;1,"ok","err")</f>
        <v>ok</v>
      </c>
    </row>
    <row r="289" spans="1:33">
      <c r="A289" s="60">
        <v>905</v>
      </c>
      <c r="B289" s="60" t="s">
        <v>30</v>
      </c>
      <c r="C289" s="44" t="s">
        <v>1031</v>
      </c>
      <c r="D289" s="44" t="s">
        <v>662</v>
      </c>
      <c r="F289" s="79">
        <v>1288</v>
      </c>
      <c r="H289" s="63">
        <f t="shared" si="123"/>
        <v>0</v>
      </c>
      <c r="I289" s="63">
        <f t="shared" si="123"/>
        <v>0</v>
      </c>
      <c r="J289" s="63">
        <f t="shared" si="123"/>
        <v>0</v>
      </c>
      <c r="K289" s="63">
        <f t="shared" si="123"/>
        <v>0</v>
      </c>
      <c r="L289" s="63">
        <f t="shared" si="123"/>
        <v>0</v>
      </c>
      <c r="M289" s="63">
        <f t="shared" si="123"/>
        <v>0</v>
      </c>
      <c r="N289" s="63">
        <f t="shared" si="123"/>
        <v>0</v>
      </c>
      <c r="O289" s="63">
        <f t="shared" si="123"/>
        <v>0</v>
      </c>
      <c r="P289" s="63">
        <f t="shared" si="123"/>
        <v>0</v>
      </c>
      <c r="Q289" s="63">
        <f t="shared" si="123"/>
        <v>0</v>
      </c>
      <c r="R289" s="63">
        <f t="shared" si="124"/>
        <v>0</v>
      </c>
      <c r="S289" s="63">
        <f t="shared" si="124"/>
        <v>0</v>
      </c>
      <c r="T289" s="63">
        <f t="shared" si="124"/>
        <v>0</v>
      </c>
      <c r="U289" s="63">
        <f t="shared" si="124"/>
        <v>0</v>
      </c>
      <c r="V289" s="63">
        <f t="shared" si="124"/>
        <v>0</v>
      </c>
      <c r="W289" s="63">
        <f t="shared" si="124"/>
        <v>0</v>
      </c>
      <c r="X289" s="63">
        <f t="shared" si="124"/>
        <v>0</v>
      </c>
      <c r="Y289" s="63">
        <f t="shared" si="124"/>
        <v>0</v>
      </c>
      <c r="Z289" s="63">
        <f t="shared" si="124"/>
        <v>0</v>
      </c>
      <c r="AA289" s="63">
        <f t="shared" si="124"/>
        <v>0</v>
      </c>
      <c r="AB289" s="63">
        <f t="shared" si="124"/>
        <v>0</v>
      </c>
      <c r="AC289" s="63">
        <f t="shared" si="124"/>
        <v>1288</v>
      </c>
      <c r="AD289" s="63">
        <f t="shared" si="124"/>
        <v>0</v>
      </c>
      <c r="AE289" s="63">
        <f t="shared" si="124"/>
        <v>0</v>
      </c>
      <c r="AF289" s="63">
        <f>SUM(H289:AE289)</f>
        <v>1288</v>
      </c>
      <c r="AG289" s="58" t="str">
        <f>IF(ABS(AF289-F289)&lt;1,"ok","err")</f>
        <v>ok</v>
      </c>
    </row>
    <row r="290" spans="1:33" ht="15">
      <c r="A290" s="65"/>
      <c r="B290" s="60"/>
      <c r="F290" s="79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58"/>
    </row>
    <row r="291" spans="1:33">
      <c r="A291" s="60" t="s">
        <v>1034</v>
      </c>
      <c r="B291" s="60"/>
      <c r="C291" s="44" t="s">
        <v>1035</v>
      </c>
      <c r="F291" s="76">
        <f t="shared" ref="F291:M291" si="125">SUM(F285:F290)</f>
        <v>13992000.063999731</v>
      </c>
      <c r="G291" s="62">
        <f t="shared" si="125"/>
        <v>0</v>
      </c>
      <c r="H291" s="62">
        <f t="shared" si="125"/>
        <v>0</v>
      </c>
      <c r="I291" s="62">
        <f t="shared" si="125"/>
        <v>0</v>
      </c>
      <c r="J291" s="62">
        <f t="shared" si="125"/>
        <v>0</v>
      </c>
      <c r="K291" s="62">
        <f t="shared" si="125"/>
        <v>0</v>
      </c>
      <c r="L291" s="62">
        <f t="shared" si="125"/>
        <v>0</v>
      </c>
      <c r="M291" s="62">
        <f t="shared" si="125"/>
        <v>0</v>
      </c>
      <c r="N291" s="62">
        <f>SUM(N285:N290)</f>
        <v>0</v>
      </c>
      <c r="O291" s="62">
        <f>SUM(O285:O290)</f>
        <v>0</v>
      </c>
      <c r="P291" s="62">
        <f>SUM(P285:P290)</f>
        <v>0</v>
      </c>
      <c r="Q291" s="62">
        <f t="shared" ref="Q291:AB291" si="126">SUM(Q285:Q290)</f>
        <v>0</v>
      </c>
      <c r="R291" s="62">
        <f t="shared" si="126"/>
        <v>0</v>
      </c>
      <c r="S291" s="62">
        <f t="shared" si="126"/>
        <v>0</v>
      </c>
      <c r="T291" s="62">
        <f t="shared" si="126"/>
        <v>0</v>
      </c>
      <c r="U291" s="62">
        <f t="shared" si="126"/>
        <v>0</v>
      </c>
      <c r="V291" s="62">
        <f t="shared" si="126"/>
        <v>0</v>
      </c>
      <c r="W291" s="62">
        <f t="shared" si="126"/>
        <v>0</v>
      </c>
      <c r="X291" s="62">
        <f t="shared" si="126"/>
        <v>0</v>
      </c>
      <c r="Y291" s="62">
        <f t="shared" si="126"/>
        <v>0</v>
      </c>
      <c r="Z291" s="62">
        <f t="shared" si="126"/>
        <v>0</v>
      </c>
      <c r="AA291" s="62">
        <f t="shared" si="126"/>
        <v>0</v>
      </c>
      <c r="AB291" s="62">
        <f t="shared" si="126"/>
        <v>0</v>
      </c>
      <c r="AC291" s="62">
        <f>SUM(AC285:AC290)</f>
        <v>13992000.063999731</v>
      </c>
      <c r="AD291" s="62">
        <f>SUM(AD285:AD290)</f>
        <v>0</v>
      </c>
      <c r="AE291" s="62">
        <f>SUM(AE285:AE290)</f>
        <v>0</v>
      </c>
      <c r="AF291" s="63">
        <f>SUM(H291:AE291)</f>
        <v>13992000.063999731</v>
      </c>
      <c r="AG291" s="58" t="str">
        <f>IF(ABS(AF291-F291)&lt;1,"ok","err")</f>
        <v>ok</v>
      </c>
    </row>
    <row r="292" spans="1:33">
      <c r="A292" s="60"/>
      <c r="B292" s="60"/>
      <c r="F292" s="79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G292" s="58"/>
    </row>
    <row r="293" spans="1:33" ht="15">
      <c r="A293" s="65" t="s">
        <v>1036</v>
      </c>
      <c r="B293" s="60"/>
      <c r="F293" s="79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G293" s="58"/>
    </row>
    <row r="294" spans="1:33">
      <c r="A294" s="60">
        <v>907</v>
      </c>
      <c r="B294" s="60" t="s">
        <v>1157</v>
      </c>
      <c r="C294" s="44" t="s">
        <v>1037</v>
      </c>
      <c r="D294" s="44" t="s">
        <v>663</v>
      </c>
      <c r="F294" s="76">
        <v>364585.26</v>
      </c>
      <c r="H294" s="63">
        <f t="shared" ref="H294:Q304" si="127">IF(VLOOKUP($D294,$C$6:$AE$653,H$2,)=0,0,((VLOOKUP($D294,$C$6:$AE$653,H$2,)/VLOOKUP($D294,$C$6:$AE$653,4,))*$F294))</f>
        <v>0</v>
      </c>
      <c r="I294" s="63">
        <f t="shared" si="127"/>
        <v>0</v>
      </c>
      <c r="J294" s="63">
        <f t="shared" si="127"/>
        <v>0</v>
      </c>
      <c r="K294" s="63">
        <f t="shared" si="127"/>
        <v>0</v>
      </c>
      <c r="L294" s="63">
        <f t="shared" si="127"/>
        <v>0</v>
      </c>
      <c r="M294" s="63">
        <f t="shared" si="127"/>
        <v>0</v>
      </c>
      <c r="N294" s="63">
        <f t="shared" si="127"/>
        <v>0</v>
      </c>
      <c r="O294" s="63">
        <f t="shared" si="127"/>
        <v>0</v>
      </c>
      <c r="P294" s="63">
        <f t="shared" si="127"/>
        <v>0</v>
      </c>
      <c r="Q294" s="63">
        <f t="shared" si="127"/>
        <v>0</v>
      </c>
      <c r="R294" s="63">
        <f t="shared" ref="R294:AE304" si="128">IF(VLOOKUP($D294,$C$6:$AE$653,R$2,)=0,0,((VLOOKUP($D294,$C$6:$AE$653,R$2,)/VLOOKUP($D294,$C$6:$AE$653,4,))*$F294))</f>
        <v>0</v>
      </c>
      <c r="S294" s="63">
        <f t="shared" si="128"/>
        <v>0</v>
      </c>
      <c r="T294" s="63">
        <f t="shared" si="128"/>
        <v>0</v>
      </c>
      <c r="U294" s="63">
        <f t="shared" si="128"/>
        <v>0</v>
      </c>
      <c r="V294" s="63">
        <f t="shared" si="128"/>
        <v>0</v>
      </c>
      <c r="W294" s="63">
        <f t="shared" si="128"/>
        <v>0</v>
      </c>
      <c r="X294" s="63">
        <f t="shared" si="128"/>
        <v>0</v>
      </c>
      <c r="Y294" s="63">
        <f t="shared" si="128"/>
        <v>0</v>
      </c>
      <c r="Z294" s="63">
        <f t="shared" si="128"/>
        <v>0</v>
      </c>
      <c r="AA294" s="63">
        <f t="shared" si="128"/>
        <v>0</v>
      </c>
      <c r="AB294" s="63">
        <f t="shared" si="128"/>
        <v>0</v>
      </c>
      <c r="AC294" s="63">
        <f t="shared" si="128"/>
        <v>0</v>
      </c>
      <c r="AD294" s="63">
        <f t="shared" si="128"/>
        <v>364585.26</v>
      </c>
      <c r="AE294" s="63">
        <f t="shared" si="128"/>
        <v>0</v>
      </c>
      <c r="AF294" s="63">
        <f t="shared" ref="AF294:AF304" si="129">SUM(H294:AE294)</f>
        <v>364585.26</v>
      </c>
      <c r="AG294" s="58" t="str">
        <f t="shared" ref="AG294:AG304" si="130">IF(ABS(AF294-F294)&lt;1,"ok","err")</f>
        <v>ok</v>
      </c>
    </row>
    <row r="295" spans="1:33">
      <c r="A295" s="60">
        <v>908</v>
      </c>
      <c r="B295" s="60" t="s">
        <v>1039</v>
      </c>
      <c r="C295" s="44" t="s">
        <v>1040</v>
      </c>
      <c r="D295" s="44" t="s">
        <v>663</v>
      </c>
      <c r="F295" s="79">
        <v>289821.47999998368</v>
      </c>
      <c r="H295" s="63">
        <f t="shared" si="127"/>
        <v>0</v>
      </c>
      <c r="I295" s="63">
        <f t="shared" si="127"/>
        <v>0</v>
      </c>
      <c r="J295" s="63">
        <f t="shared" si="127"/>
        <v>0</v>
      </c>
      <c r="K295" s="63">
        <f t="shared" si="127"/>
        <v>0</v>
      </c>
      <c r="L295" s="63">
        <f t="shared" si="127"/>
        <v>0</v>
      </c>
      <c r="M295" s="63">
        <f t="shared" si="127"/>
        <v>0</v>
      </c>
      <c r="N295" s="63">
        <f t="shared" si="127"/>
        <v>0</v>
      </c>
      <c r="O295" s="63">
        <f t="shared" si="127"/>
        <v>0</v>
      </c>
      <c r="P295" s="63">
        <f t="shared" si="127"/>
        <v>0</v>
      </c>
      <c r="Q295" s="63">
        <f t="shared" si="127"/>
        <v>0</v>
      </c>
      <c r="R295" s="63">
        <f t="shared" si="128"/>
        <v>0</v>
      </c>
      <c r="S295" s="63">
        <f t="shared" si="128"/>
        <v>0</v>
      </c>
      <c r="T295" s="63">
        <f t="shared" si="128"/>
        <v>0</v>
      </c>
      <c r="U295" s="63">
        <f t="shared" si="128"/>
        <v>0</v>
      </c>
      <c r="V295" s="63">
        <f t="shared" si="128"/>
        <v>0</v>
      </c>
      <c r="W295" s="63">
        <f t="shared" si="128"/>
        <v>0</v>
      </c>
      <c r="X295" s="63">
        <f t="shared" si="128"/>
        <v>0</v>
      </c>
      <c r="Y295" s="63">
        <f t="shared" si="128"/>
        <v>0</v>
      </c>
      <c r="Z295" s="63">
        <f t="shared" si="128"/>
        <v>0</v>
      </c>
      <c r="AA295" s="63">
        <f t="shared" si="128"/>
        <v>0</v>
      </c>
      <c r="AB295" s="63">
        <f t="shared" si="128"/>
        <v>0</v>
      </c>
      <c r="AC295" s="63">
        <f t="shared" si="128"/>
        <v>0</v>
      </c>
      <c r="AD295" s="63">
        <f t="shared" si="128"/>
        <v>289821.47999998368</v>
      </c>
      <c r="AE295" s="63">
        <f t="shared" si="128"/>
        <v>0</v>
      </c>
      <c r="AF295" s="63">
        <f t="shared" si="129"/>
        <v>289821.47999998368</v>
      </c>
      <c r="AG295" s="58" t="str">
        <f t="shared" si="130"/>
        <v>ok</v>
      </c>
    </row>
    <row r="296" spans="1:33">
      <c r="A296" s="60">
        <v>908</v>
      </c>
      <c r="B296" s="60" t="s">
        <v>184</v>
      </c>
      <c r="C296" s="44" t="s">
        <v>32</v>
      </c>
      <c r="D296" s="44" t="s">
        <v>663</v>
      </c>
      <c r="F296" s="79"/>
      <c r="H296" s="63">
        <f t="shared" si="127"/>
        <v>0</v>
      </c>
      <c r="I296" s="63">
        <f t="shared" si="127"/>
        <v>0</v>
      </c>
      <c r="J296" s="63">
        <f t="shared" si="127"/>
        <v>0</v>
      </c>
      <c r="K296" s="63">
        <f t="shared" si="127"/>
        <v>0</v>
      </c>
      <c r="L296" s="63">
        <f t="shared" si="127"/>
        <v>0</v>
      </c>
      <c r="M296" s="63">
        <f t="shared" si="127"/>
        <v>0</v>
      </c>
      <c r="N296" s="63">
        <f t="shared" si="127"/>
        <v>0</v>
      </c>
      <c r="O296" s="63">
        <f t="shared" si="127"/>
        <v>0</v>
      </c>
      <c r="P296" s="63">
        <f t="shared" si="127"/>
        <v>0</v>
      </c>
      <c r="Q296" s="63">
        <f t="shared" si="127"/>
        <v>0</v>
      </c>
      <c r="R296" s="63">
        <f t="shared" si="128"/>
        <v>0</v>
      </c>
      <c r="S296" s="63">
        <f t="shared" si="128"/>
        <v>0</v>
      </c>
      <c r="T296" s="63">
        <f t="shared" si="128"/>
        <v>0</v>
      </c>
      <c r="U296" s="63">
        <f t="shared" si="128"/>
        <v>0</v>
      </c>
      <c r="V296" s="63">
        <f t="shared" si="128"/>
        <v>0</v>
      </c>
      <c r="W296" s="63">
        <f t="shared" si="128"/>
        <v>0</v>
      </c>
      <c r="X296" s="63">
        <f t="shared" si="128"/>
        <v>0</v>
      </c>
      <c r="Y296" s="63">
        <f t="shared" si="128"/>
        <v>0</v>
      </c>
      <c r="Z296" s="63">
        <f t="shared" si="128"/>
        <v>0</v>
      </c>
      <c r="AA296" s="63">
        <f t="shared" si="128"/>
        <v>0</v>
      </c>
      <c r="AB296" s="63">
        <f t="shared" si="128"/>
        <v>0</v>
      </c>
      <c r="AC296" s="63">
        <f t="shared" si="128"/>
        <v>0</v>
      </c>
      <c r="AD296" s="63">
        <f t="shared" si="128"/>
        <v>0</v>
      </c>
      <c r="AE296" s="63">
        <f t="shared" si="128"/>
        <v>0</v>
      </c>
      <c r="AF296" s="63">
        <f t="shared" si="129"/>
        <v>0</v>
      </c>
      <c r="AG296" s="58" t="str">
        <f t="shared" si="130"/>
        <v>ok</v>
      </c>
    </row>
    <row r="297" spans="1:33">
      <c r="A297" s="60">
        <v>909</v>
      </c>
      <c r="B297" s="60" t="s">
        <v>1041</v>
      </c>
      <c r="C297" s="44" t="s">
        <v>1042</v>
      </c>
      <c r="D297" s="44" t="s">
        <v>663</v>
      </c>
      <c r="F297" s="79">
        <v>257471.76</v>
      </c>
      <c r="H297" s="63">
        <f t="shared" si="127"/>
        <v>0</v>
      </c>
      <c r="I297" s="63">
        <f t="shared" si="127"/>
        <v>0</v>
      </c>
      <c r="J297" s="63">
        <f t="shared" si="127"/>
        <v>0</v>
      </c>
      <c r="K297" s="63">
        <f t="shared" si="127"/>
        <v>0</v>
      </c>
      <c r="L297" s="63">
        <f t="shared" si="127"/>
        <v>0</v>
      </c>
      <c r="M297" s="63">
        <f t="shared" si="127"/>
        <v>0</v>
      </c>
      <c r="N297" s="63">
        <f t="shared" si="127"/>
        <v>0</v>
      </c>
      <c r="O297" s="63">
        <f t="shared" si="127"/>
        <v>0</v>
      </c>
      <c r="P297" s="63">
        <f t="shared" si="127"/>
        <v>0</v>
      </c>
      <c r="Q297" s="63">
        <f t="shared" si="127"/>
        <v>0</v>
      </c>
      <c r="R297" s="63">
        <f t="shared" si="128"/>
        <v>0</v>
      </c>
      <c r="S297" s="63">
        <f t="shared" si="128"/>
        <v>0</v>
      </c>
      <c r="T297" s="63">
        <f t="shared" si="128"/>
        <v>0</v>
      </c>
      <c r="U297" s="63">
        <f t="shared" si="128"/>
        <v>0</v>
      </c>
      <c r="V297" s="63">
        <f t="shared" si="128"/>
        <v>0</v>
      </c>
      <c r="W297" s="63">
        <f t="shared" si="128"/>
        <v>0</v>
      </c>
      <c r="X297" s="63">
        <f t="shared" si="128"/>
        <v>0</v>
      </c>
      <c r="Y297" s="63">
        <f t="shared" si="128"/>
        <v>0</v>
      </c>
      <c r="Z297" s="63">
        <f t="shared" si="128"/>
        <v>0</v>
      </c>
      <c r="AA297" s="63">
        <f t="shared" si="128"/>
        <v>0</v>
      </c>
      <c r="AB297" s="63">
        <f t="shared" si="128"/>
        <v>0</v>
      </c>
      <c r="AC297" s="63">
        <f t="shared" si="128"/>
        <v>0</v>
      </c>
      <c r="AD297" s="63">
        <f t="shared" si="128"/>
        <v>257471.76</v>
      </c>
      <c r="AE297" s="63">
        <f t="shared" si="128"/>
        <v>0</v>
      </c>
      <c r="AF297" s="63">
        <f t="shared" si="129"/>
        <v>257471.76</v>
      </c>
      <c r="AG297" s="58" t="str">
        <f t="shared" si="130"/>
        <v>ok</v>
      </c>
    </row>
    <row r="298" spans="1:33">
      <c r="A298" s="60">
        <v>909</v>
      </c>
      <c r="B298" s="60" t="s">
        <v>33</v>
      </c>
      <c r="C298" s="44" t="s">
        <v>34</v>
      </c>
      <c r="D298" s="44" t="s">
        <v>663</v>
      </c>
      <c r="F298" s="79"/>
      <c r="H298" s="63">
        <f t="shared" si="127"/>
        <v>0</v>
      </c>
      <c r="I298" s="63">
        <f t="shared" si="127"/>
        <v>0</v>
      </c>
      <c r="J298" s="63">
        <f t="shared" si="127"/>
        <v>0</v>
      </c>
      <c r="K298" s="63">
        <f t="shared" si="127"/>
        <v>0</v>
      </c>
      <c r="L298" s="63">
        <f t="shared" si="127"/>
        <v>0</v>
      </c>
      <c r="M298" s="63">
        <f t="shared" si="127"/>
        <v>0</v>
      </c>
      <c r="N298" s="63">
        <f t="shared" si="127"/>
        <v>0</v>
      </c>
      <c r="O298" s="63">
        <f t="shared" si="127"/>
        <v>0</v>
      </c>
      <c r="P298" s="63">
        <f t="shared" si="127"/>
        <v>0</v>
      </c>
      <c r="Q298" s="63">
        <f t="shared" si="127"/>
        <v>0</v>
      </c>
      <c r="R298" s="63">
        <f t="shared" si="128"/>
        <v>0</v>
      </c>
      <c r="S298" s="63">
        <f t="shared" si="128"/>
        <v>0</v>
      </c>
      <c r="T298" s="63">
        <f t="shared" si="128"/>
        <v>0</v>
      </c>
      <c r="U298" s="63">
        <f t="shared" si="128"/>
        <v>0</v>
      </c>
      <c r="V298" s="63">
        <f t="shared" si="128"/>
        <v>0</v>
      </c>
      <c r="W298" s="63">
        <f t="shared" si="128"/>
        <v>0</v>
      </c>
      <c r="X298" s="63">
        <f t="shared" si="128"/>
        <v>0</v>
      </c>
      <c r="Y298" s="63">
        <f t="shared" si="128"/>
        <v>0</v>
      </c>
      <c r="Z298" s="63">
        <f t="shared" si="128"/>
        <v>0</v>
      </c>
      <c r="AA298" s="63">
        <f t="shared" si="128"/>
        <v>0</v>
      </c>
      <c r="AB298" s="63">
        <f t="shared" si="128"/>
        <v>0</v>
      </c>
      <c r="AC298" s="63">
        <f t="shared" si="128"/>
        <v>0</v>
      </c>
      <c r="AD298" s="63">
        <f t="shared" si="128"/>
        <v>0</v>
      </c>
      <c r="AE298" s="63">
        <f t="shared" si="128"/>
        <v>0</v>
      </c>
      <c r="AF298" s="63">
        <f t="shared" si="129"/>
        <v>0</v>
      </c>
      <c r="AG298" s="58" t="str">
        <f t="shared" si="130"/>
        <v>ok</v>
      </c>
    </row>
    <row r="299" spans="1:33">
      <c r="A299" s="60">
        <v>910</v>
      </c>
      <c r="B299" s="60" t="s">
        <v>1043</v>
      </c>
      <c r="C299" s="44" t="s">
        <v>1044</v>
      </c>
      <c r="D299" s="44" t="s">
        <v>663</v>
      </c>
      <c r="F299" s="79">
        <v>823663.43999999971</v>
      </c>
      <c r="H299" s="63">
        <f t="shared" si="127"/>
        <v>0</v>
      </c>
      <c r="I299" s="63">
        <f t="shared" si="127"/>
        <v>0</v>
      </c>
      <c r="J299" s="63">
        <f t="shared" si="127"/>
        <v>0</v>
      </c>
      <c r="K299" s="63">
        <f t="shared" si="127"/>
        <v>0</v>
      </c>
      <c r="L299" s="63">
        <f t="shared" si="127"/>
        <v>0</v>
      </c>
      <c r="M299" s="63">
        <f t="shared" si="127"/>
        <v>0</v>
      </c>
      <c r="N299" s="63">
        <f t="shared" si="127"/>
        <v>0</v>
      </c>
      <c r="O299" s="63">
        <f t="shared" si="127"/>
        <v>0</v>
      </c>
      <c r="P299" s="63">
        <f t="shared" si="127"/>
        <v>0</v>
      </c>
      <c r="Q299" s="63">
        <f t="shared" si="127"/>
        <v>0</v>
      </c>
      <c r="R299" s="63">
        <f t="shared" si="128"/>
        <v>0</v>
      </c>
      <c r="S299" s="63">
        <f t="shared" si="128"/>
        <v>0</v>
      </c>
      <c r="T299" s="63">
        <f t="shared" si="128"/>
        <v>0</v>
      </c>
      <c r="U299" s="63">
        <f t="shared" si="128"/>
        <v>0</v>
      </c>
      <c r="V299" s="63">
        <f t="shared" si="128"/>
        <v>0</v>
      </c>
      <c r="W299" s="63">
        <f t="shared" si="128"/>
        <v>0</v>
      </c>
      <c r="X299" s="63">
        <f t="shared" si="128"/>
        <v>0</v>
      </c>
      <c r="Y299" s="63">
        <f t="shared" si="128"/>
        <v>0</v>
      </c>
      <c r="Z299" s="63">
        <f t="shared" si="128"/>
        <v>0</v>
      </c>
      <c r="AA299" s="63">
        <f t="shared" si="128"/>
        <v>0</v>
      </c>
      <c r="AB299" s="63">
        <f t="shared" si="128"/>
        <v>0</v>
      </c>
      <c r="AC299" s="63">
        <f t="shared" si="128"/>
        <v>0</v>
      </c>
      <c r="AD299" s="63">
        <f t="shared" si="128"/>
        <v>823663.43999999971</v>
      </c>
      <c r="AE299" s="63">
        <f t="shared" si="128"/>
        <v>0</v>
      </c>
      <c r="AF299" s="63">
        <f t="shared" si="129"/>
        <v>823663.43999999971</v>
      </c>
      <c r="AG299" s="58" t="str">
        <f t="shared" si="130"/>
        <v>ok</v>
      </c>
    </row>
    <row r="300" spans="1:33">
      <c r="A300" s="60">
        <v>911</v>
      </c>
      <c r="B300" s="60" t="s">
        <v>149</v>
      </c>
      <c r="C300" s="44" t="s">
        <v>171</v>
      </c>
      <c r="D300" s="44" t="s">
        <v>663</v>
      </c>
      <c r="F300" s="79"/>
      <c r="H300" s="63">
        <f t="shared" si="127"/>
        <v>0</v>
      </c>
      <c r="I300" s="63">
        <f t="shared" si="127"/>
        <v>0</v>
      </c>
      <c r="J300" s="63">
        <f t="shared" si="127"/>
        <v>0</v>
      </c>
      <c r="K300" s="63">
        <f t="shared" si="127"/>
        <v>0</v>
      </c>
      <c r="L300" s="63">
        <f t="shared" si="127"/>
        <v>0</v>
      </c>
      <c r="M300" s="63">
        <f t="shared" si="127"/>
        <v>0</v>
      </c>
      <c r="N300" s="63">
        <f t="shared" si="127"/>
        <v>0</v>
      </c>
      <c r="O300" s="63">
        <f t="shared" si="127"/>
        <v>0</v>
      </c>
      <c r="P300" s="63">
        <f t="shared" si="127"/>
        <v>0</v>
      </c>
      <c r="Q300" s="63">
        <f t="shared" si="127"/>
        <v>0</v>
      </c>
      <c r="R300" s="63">
        <f t="shared" si="128"/>
        <v>0</v>
      </c>
      <c r="S300" s="63">
        <f t="shared" si="128"/>
        <v>0</v>
      </c>
      <c r="T300" s="63">
        <f t="shared" si="128"/>
        <v>0</v>
      </c>
      <c r="U300" s="63">
        <f t="shared" si="128"/>
        <v>0</v>
      </c>
      <c r="V300" s="63">
        <f t="shared" si="128"/>
        <v>0</v>
      </c>
      <c r="W300" s="63">
        <f t="shared" si="128"/>
        <v>0</v>
      </c>
      <c r="X300" s="63">
        <f t="shared" si="128"/>
        <v>0</v>
      </c>
      <c r="Y300" s="63">
        <f t="shared" si="128"/>
        <v>0</v>
      </c>
      <c r="Z300" s="63">
        <f t="shared" si="128"/>
        <v>0</v>
      </c>
      <c r="AA300" s="63">
        <f t="shared" si="128"/>
        <v>0</v>
      </c>
      <c r="AB300" s="63">
        <f t="shared" si="128"/>
        <v>0</v>
      </c>
      <c r="AC300" s="63">
        <f t="shared" si="128"/>
        <v>0</v>
      </c>
      <c r="AD300" s="63">
        <f t="shared" si="128"/>
        <v>0</v>
      </c>
      <c r="AE300" s="63">
        <f t="shared" si="128"/>
        <v>0</v>
      </c>
      <c r="AF300" s="63">
        <f t="shared" si="129"/>
        <v>0</v>
      </c>
      <c r="AG300" s="58" t="str">
        <f t="shared" si="130"/>
        <v>ok</v>
      </c>
    </row>
    <row r="301" spans="1:33">
      <c r="A301" s="60">
        <v>912</v>
      </c>
      <c r="B301" s="60" t="s">
        <v>149</v>
      </c>
      <c r="C301" s="44" t="s">
        <v>150</v>
      </c>
      <c r="D301" s="44" t="s">
        <v>663</v>
      </c>
      <c r="F301" s="79"/>
      <c r="H301" s="63">
        <f t="shared" si="127"/>
        <v>0</v>
      </c>
      <c r="I301" s="63">
        <f t="shared" si="127"/>
        <v>0</v>
      </c>
      <c r="J301" s="63">
        <f t="shared" si="127"/>
        <v>0</v>
      </c>
      <c r="K301" s="63">
        <f t="shared" si="127"/>
        <v>0</v>
      </c>
      <c r="L301" s="63">
        <f t="shared" si="127"/>
        <v>0</v>
      </c>
      <c r="M301" s="63">
        <f t="shared" si="127"/>
        <v>0</v>
      </c>
      <c r="N301" s="63">
        <f t="shared" si="127"/>
        <v>0</v>
      </c>
      <c r="O301" s="63">
        <f t="shared" si="127"/>
        <v>0</v>
      </c>
      <c r="P301" s="63">
        <f t="shared" si="127"/>
        <v>0</v>
      </c>
      <c r="Q301" s="63">
        <f t="shared" si="127"/>
        <v>0</v>
      </c>
      <c r="R301" s="63">
        <f t="shared" si="128"/>
        <v>0</v>
      </c>
      <c r="S301" s="63">
        <f t="shared" si="128"/>
        <v>0</v>
      </c>
      <c r="T301" s="63">
        <f t="shared" si="128"/>
        <v>0</v>
      </c>
      <c r="U301" s="63">
        <f t="shared" si="128"/>
        <v>0</v>
      </c>
      <c r="V301" s="63">
        <f t="shared" si="128"/>
        <v>0</v>
      </c>
      <c r="W301" s="63">
        <f t="shared" si="128"/>
        <v>0</v>
      </c>
      <c r="X301" s="63">
        <f t="shared" si="128"/>
        <v>0</v>
      </c>
      <c r="Y301" s="63">
        <f t="shared" si="128"/>
        <v>0</v>
      </c>
      <c r="Z301" s="63">
        <f t="shared" si="128"/>
        <v>0</v>
      </c>
      <c r="AA301" s="63">
        <f t="shared" si="128"/>
        <v>0</v>
      </c>
      <c r="AB301" s="63">
        <f t="shared" si="128"/>
        <v>0</v>
      </c>
      <c r="AC301" s="63">
        <f t="shared" si="128"/>
        <v>0</v>
      </c>
      <c r="AD301" s="63">
        <f t="shared" si="128"/>
        <v>0</v>
      </c>
      <c r="AE301" s="63">
        <f t="shared" si="128"/>
        <v>0</v>
      </c>
      <c r="AF301" s="63">
        <f t="shared" si="129"/>
        <v>0</v>
      </c>
      <c r="AG301" s="58" t="str">
        <f t="shared" si="130"/>
        <v>ok</v>
      </c>
    </row>
    <row r="302" spans="1:33">
      <c r="A302" s="60">
        <v>913</v>
      </c>
      <c r="B302" s="60" t="s">
        <v>159</v>
      </c>
      <c r="C302" s="44" t="s">
        <v>139</v>
      </c>
      <c r="D302" s="44" t="s">
        <v>663</v>
      </c>
      <c r="F302" s="79">
        <v>950846.51999999955</v>
      </c>
      <c r="H302" s="63">
        <f t="shared" si="127"/>
        <v>0</v>
      </c>
      <c r="I302" s="63">
        <f t="shared" si="127"/>
        <v>0</v>
      </c>
      <c r="J302" s="63">
        <f t="shared" si="127"/>
        <v>0</v>
      </c>
      <c r="K302" s="63">
        <f t="shared" si="127"/>
        <v>0</v>
      </c>
      <c r="L302" s="63">
        <f t="shared" si="127"/>
        <v>0</v>
      </c>
      <c r="M302" s="63">
        <f t="shared" si="127"/>
        <v>0</v>
      </c>
      <c r="N302" s="63">
        <f t="shared" si="127"/>
        <v>0</v>
      </c>
      <c r="O302" s="63">
        <f t="shared" si="127"/>
        <v>0</v>
      </c>
      <c r="P302" s="63">
        <f t="shared" si="127"/>
        <v>0</v>
      </c>
      <c r="Q302" s="63">
        <f t="shared" si="127"/>
        <v>0</v>
      </c>
      <c r="R302" s="63">
        <f t="shared" si="128"/>
        <v>0</v>
      </c>
      <c r="S302" s="63">
        <f t="shared" si="128"/>
        <v>0</v>
      </c>
      <c r="T302" s="63">
        <f t="shared" si="128"/>
        <v>0</v>
      </c>
      <c r="U302" s="63">
        <f t="shared" si="128"/>
        <v>0</v>
      </c>
      <c r="V302" s="63">
        <f t="shared" si="128"/>
        <v>0</v>
      </c>
      <c r="W302" s="63">
        <f t="shared" si="128"/>
        <v>0</v>
      </c>
      <c r="X302" s="63">
        <f t="shared" si="128"/>
        <v>0</v>
      </c>
      <c r="Y302" s="63">
        <f t="shared" si="128"/>
        <v>0</v>
      </c>
      <c r="Z302" s="63">
        <f t="shared" si="128"/>
        <v>0</v>
      </c>
      <c r="AA302" s="63">
        <f t="shared" si="128"/>
        <v>0</v>
      </c>
      <c r="AB302" s="63">
        <f t="shared" si="128"/>
        <v>0</v>
      </c>
      <c r="AC302" s="63">
        <f t="shared" si="128"/>
        <v>0</v>
      </c>
      <c r="AD302" s="63">
        <f t="shared" si="128"/>
        <v>950846.51999999955</v>
      </c>
      <c r="AE302" s="63">
        <f t="shared" si="128"/>
        <v>0</v>
      </c>
      <c r="AF302" s="63">
        <f t="shared" si="129"/>
        <v>950846.51999999955</v>
      </c>
      <c r="AG302" s="58" t="str">
        <f t="shared" si="130"/>
        <v>ok</v>
      </c>
    </row>
    <row r="303" spans="1:33">
      <c r="A303" s="60">
        <v>915</v>
      </c>
      <c r="B303" s="60" t="s">
        <v>160</v>
      </c>
      <c r="C303" s="44" t="s">
        <v>162</v>
      </c>
      <c r="D303" s="44" t="s">
        <v>663</v>
      </c>
      <c r="F303" s="79"/>
      <c r="H303" s="63">
        <f t="shared" si="127"/>
        <v>0</v>
      </c>
      <c r="I303" s="63">
        <f t="shared" si="127"/>
        <v>0</v>
      </c>
      <c r="J303" s="63">
        <f t="shared" si="127"/>
        <v>0</v>
      </c>
      <c r="K303" s="63">
        <f t="shared" si="127"/>
        <v>0</v>
      </c>
      <c r="L303" s="63">
        <f t="shared" si="127"/>
        <v>0</v>
      </c>
      <c r="M303" s="63">
        <f t="shared" si="127"/>
        <v>0</v>
      </c>
      <c r="N303" s="63">
        <f t="shared" si="127"/>
        <v>0</v>
      </c>
      <c r="O303" s="63">
        <f t="shared" si="127"/>
        <v>0</v>
      </c>
      <c r="P303" s="63">
        <f t="shared" si="127"/>
        <v>0</v>
      </c>
      <c r="Q303" s="63">
        <f t="shared" si="127"/>
        <v>0</v>
      </c>
      <c r="R303" s="63">
        <f t="shared" si="128"/>
        <v>0</v>
      </c>
      <c r="S303" s="63">
        <f t="shared" si="128"/>
        <v>0</v>
      </c>
      <c r="T303" s="63">
        <f t="shared" si="128"/>
        <v>0</v>
      </c>
      <c r="U303" s="63">
        <f t="shared" si="128"/>
        <v>0</v>
      </c>
      <c r="V303" s="63">
        <f t="shared" si="128"/>
        <v>0</v>
      </c>
      <c r="W303" s="63">
        <f t="shared" si="128"/>
        <v>0</v>
      </c>
      <c r="X303" s="63">
        <f t="shared" si="128"/>
        <v>0</v>
      </c>
      <c r="Y303" s="63">
        <f t="shared" si="128"/>
        <v>0</v>
      </c>
      <c r="Z303" s="63">
        <f t="shared" si="128"/>
        <v>0</v>
      </c>
      <c r="AA303" s="63">
        <f t="shared" si="128"/>
        <v>0</v>
      </c>
      <c r="AB303" s="63">
        <f t="shared" si="128"/>
        <v>0</v>
      </c>
      <c r="AC303" s="63">
        <f t="shared" si="128"/>
        <v>0</v>
      </c>
      <c r="AD303" s="63">
        <f t="shared" si="128"/>
        <v>0</v>
      </c>
      <c r="AE303" s="63">
        <f t="shared" si="128"/>
        <v>0</v>
      </c>
      <c r="AF303" s="63">
        <f t="shared" si="129"/>
        <v>0</v>
      </c>
      <c r="AG303" s="58" t="str">
        <f t="shared" si="130"/>
        <v>ok</v>
      </c>
    </row>
    <row r="304" spans="1:33">
      <c r="A304" s="60">
        <v>916</v>
      </c>
      <c r="B304" s="60" t="s">
        <v>161</v>
      </c>
      <c r="C304" s="44" t="s">
        <v>163</v>
      </c>
      <c r="D304" s="44" t="s">
        <v>663</v>
      </c>
      <c r="F304" s="79"/>
      <c r="H304" s="63">
        <f t="shared" si="127"/>
        <v>0</v>
      </c>
      <c r="I304" s="63">
        <f t="shared" si="127"/>
        <v>0</v>
      </c>
      <c r="J304" s="63">
        <f t="shared" si="127"/>
        <v>0</v>
      </c>
      <c r="K304" s="63">
        <f t="shared" si="127"/>
        <v>0</v>
      </c>
      <c r="L304" s="63">
        <f t="shared" si="127"/>
        <v>0</v>
      </c>
      <c r="M304" s="63">
        <f t="shared" si="127"/>
        <v>0</v>
      </c>
      <c r="N304" s="63">
        <f t="shared" si="127"/>
        <v>0</v>
      </c>
      <c r="O304" s="63">
        <f t="shared" si="127"/>
        <v>0</v>
      </c>
      <c r="P304" s="63">
        <f t="shared" si="127"/>
        <v>0</v>
      </c>
      <c r="Q304" s="63">
        <f t="shared" si="127"/>
        <v>0</v>
      </c>
      <c r="R304" s="63">
        <f t="shared" si="128"/>
        <v>0</v>
      </c>
      <c r="S304" s="63">
        <f t="shared" si="128"/>
        <v>0</v>
      </c>
      <c r="T304" s="63">
        <f t="shared" si="128"/>
        <v>0</v>
      </c>
      <c r="U304" s="63">
        <f t="shared" si="128"/>
        <v>0</v>
      </c>
      <c r="V304" s="63">
        <f t="shared" si="128"/>
        <v>0</v>
      </c>
      <c r="W304" s="63">
        <f t="shared" si="128"/>
        <v>0</v>
      </c>
      <c r="X304" s="63">
        <f t="shared" si="128"/>
        <v>0</v>
      </c>
      <c r="Y304" s="63">
        <f t="shared" si="128"/>
        <v>0</v>
      </c>
      <c r="Z304" s="63">
        <f t="shared" si="128"/>
        <v>0</v>
      </c>
      <c r="AA304" s="63">
        <f t="shared" si="128"/>
        <v>0</v>
      </c>
      <c r="AB304" s="63">
        <f t="shared" si="128"/>
        <v>0</v>
      </c>
      <c r="AC304" s="63">
        <f t="shared" si="128"/>
        <v>0</v>
      </c>
      <c r="AD304" s="63">
        <f t="shared" si="128"/>
        <v>0</v>
      </c>
      <c r="AE304" s="63">
        <f t="shared" si="128"/>
        <v>0</v>
      </c>
      <c r="AF304" s="63">
        <f t="shared" si="129"/>
        <v>0</v>
      </c>
      <c r="AG304" s="58" t="str">
        <f t="shared" si="130"/>
        <v>ok</v>
      </c>
    </row>
    <row r="305" spans="1:33">
      <c r="A305" s="60"/>
      <c r="B305" s="60"/>
      <c r="F305" s="79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58"/>
    </row>
    <row r="306" spans="1:33">
      <c r="A306" s="60" t="s">
        <v>1045</v>
      </c>
      <c r="B306" s="60"/>
      <c r="C306" s="44" t="s">
        <v>1046</v>
      </c>
      <c r="F306" s="76">
        <f t="shared" ref="F306:M306" si="131">SUM(F294:F305)</f>
        <v>2686388.4599999832</v>
      </c>
      <c r="G306" s="62">
        <f t="shared" si="131"/>
        <v>0</v>
      </c>
      <c r="H306" s="62">
        <f t="shared" si="131"/>
        <v>0</v>
      </c>
      <c r="I306" s="62">
        <f t="shared" si="131"/>
        <v>0</v>
      </c>
      <c r="J306" s="62">
        <f t="shared" si="131"/>
        <v>0</v>
      </c>
      <c r="K306" s="62">
        <f t="shared" si="131"/>
        <v>0</v>
      </c>
      <c r="L306" s="62">
        <f t="shared" si="131"/>
        <v>0</v>
      </c>
      <c r="M306" s="62">
        <f t="shared" si="131"/>
        <v>0</v>
      </c>
      <c r="N306" s="62">
        <f>SUM(N294:N305)</f>
        <v>0</v>
      </c>
      <c r="O306" s="62">
        <f>SUM(O294:O305)</f>
        <v>0</v>
      </c>
      <c r="P306" s="62">
        <f>SUM(P294:P305)</f>
        <v>0</v>
      </c>
      <c r="Q306" s="62">
        <f t="shared" ref="Q306:AB306" si="132">SUM(Q294:Q305)</f>
        <v>0</v>
      </c>
      <c r="R306" s="62">
        <f t="shared" si="132"/>
        <v>0</v>
      </c>
      <c r="S306" s="62">
        <f t="shared" si="132"/>
        <v>0</v>
      </c>
      <c r="T306" s="62">
        <f t="shared" si="132"/>
        <v>0</v>
      </c>
      <c r="U306" s="62">
        <f t="shared" si="132"/>
        <v>0</v>
      </c>
      <c r="V306" s="62">
        <f t="shared" si="132"/>
        <v>0</v>
      </c>
      <c r="W306" s="62">
        <f t="shared" si="132"/>
        <v>0</v>
      </c>
      <c r="X306" s="62">
        <f t="shared" si="132"/>
        <v>0</v>
      </c>
      <c r="Y306" s="62">
        <f t="shared" si="132"/>
        <v>0</v>
      </c>
      <c r="Z306" s="62">
        <f t="shared" si="132"/>
        <v>0</v>
      </c>
      <c r="AA306" s="62">
        <f t="shared" si="132"/>
        <v>0</v>
      </c>
      <c r="AB306" s="62">
        <f t="shared" si="132"/>
        <v>0</v>
      </c>
      <c r="AC306" s="62">
        <f>SUM(AC294:AC305)</f>
        <v>0</v>
      </c>
      <c r="AD306" s="62">
        <f>SUM(AD294:AD305)</f>
        <v>2686388.4599999832</v>
      </c>
      <c r="AE306" s="62">
        <f>SUM(AE294:AE305)</f>
        <v>0</v>
      </c>
      <c r="AF306" s="63">
        <f>SUM(H306:AE306)</f>
        <v>2686388.4599999832</v>
      </c>
      <c r="AG306" s="58" t="str">
        <f>IF(ABS(AF306-F306)&lt;1,"ok","err")</f>
        <v>ok</v>
      </c>
    </row>
    <row r="307" spans="1:33">
      <c r="A307" s="60"/>
      <c r="B307" s="60"/>
      <c r="F307" s="79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G307" s="58"/>
    </row>
    <row r="308" spans="1:33">
      <c r="A308" s="60" t="s">
        <v>277</v>
      </c>
      <c r="B308" s="60"/>
      <c r="C308" s="44" t="s">
        <v>18</v>
      </c>
      <c r="F308" s="79">
        <f>F279+F291+F306</f>
        <v>597552678.17552042</v>
      </c>
      <c r="G308" s="63">
        <f>G277+G291+G306</f>
        <v>0</v>
      </c>
      <c r="H308" s="63">
        <f t="shared" ref="H308:M308" si="133">H279+H291+H306</f>
        <v>22381959.218989</v>
      </c>
      <c r="I308" s="63">
        <f t="shared" si="133"/>
        <v>23446518.932840079</v>
      </c>
      <c r="J308" s="63">
        <f t="shared" si="133"/>
        <v>19272959.500648879</v>
      </c>
      <c r="K308" s="63">
        <f t="shared" si="133"/>
        <v>445243824.99904263</v>
      </c>
      <c r="L308" s="63">
        <f t="shared" si="133"/>
        <v>0</v>
      </c>
      <c r="M308" s="63">
        <f t="shared" si="133"/>
        <v>0</v>
      </c>
      <c r="N308" s="63">
        <f>N279+N291+N306</f>
        <v>16509511</v>
      </c>
      <c r="O308" s="63">
        <f>O279+O291+O306</f>
        <v>0</v>
      </c>
      <c r="P308" s="63">
        <f>P279+P291+P306</f>
        <v>0</v>
      </c>
      <c r="Q308" s="63">
        <f t="shared" ref="Q308:AB308" si="134">Q279+Q291+Q306</f>
        <v>0</v>
      </c>
      <c r="R308" s="63">
        <f t="shared" si="134"/>
        <v>4886677.3409584481</v>
      </c>
      <c r="S308" s="63">
        <f t="shared" si="134"/>
        <v>0</v>
      </c>
      <c r="T308" s="63">
        <f t="shared" si="134"/>
        <v>10886720.914084699</v>
      </c>
      <c r="U308" s="63">
        <f t="shared" si="134"/>
        <v>16210312.185397595</v>
      </c>
      <c r="V308" s="63">
        <f t="shared" si="134"/>
        <v>3716796.1793296379</v>
      </c>
      <c r="W308" s="63">
        <f t="shared" si="134"/>
        <v>5447555.4697906598</v>
      </c>
      <c r="X308" s="63">
        <f t="shared" si="134"/>
        <v>672706.189899071</v>
      </c>
      <c r="Y308" s="63">
        <f t="shared" si="134"/>
        <v>470458.6575155544</v>
      </c>
      <c r="Z308" s="63">
        <f t="shared" si="134"/>
        <v>164847.83880456683</v>
      </c>
      <c r="AA308" s="63">
        <f t="shared" si="134"/>
        <v>10683984.510086538</v>
      </c>
      <c r="AB308" s="63">
        <f t="shared" si="134"/>
        <v>879456.71413322981</v>
      </c>
      <c r="AC308" s="63">
        <f>AC279+AC291+AC306</f>
        <v>13992000.063999731</v>
      </c>
      <c r="AD308" s="63">
        <f>AD279+AD291+AD306</f>
        <v>2686388.4599999832</v>
      </c>
      <c r="AE308" s="63">
        <f>AE279+AE291+AE306</f>
        <v>0</v>
      </c>
      <c r="AF308" s="63">
        <f>AF279+AF291+AF306</f>
        <v>597552678.17552054</v>
      </c>
      <c r="AG308" s="58" t="str">
        <f>IF(ABS(AF308-F308)&lt;1,"ok","err")</f>
        <v>ok</v>
      </c>
    </row>
    <row r="309" spans="1:33">
      <c r="A309" s="60"/>
      <c r="B309" s="60"/>
      <c r="F309" s="79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G309" s="58"/>
    </row>
    <row r="310" spans="1:33">
      <c r="A310" s="60"/>
      <c r="B310" s="60"/>
      <c r="F310" s="79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G310" s="58"/>
    </row>
    <row r="311" spans="1:33">
      <c r="A311" s="60"/>
      <c r="B311" s="60"/>
      <c r="F311" s="79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G311" s="58"/>
    </row>
    <row r="312" spans="1:33">
      <c r="A312" s="60"/>
      <c r="B312" s="60"/>
      <c r="F312" s="79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G312" s="58"/>
    </row>
    <row r="313" spans="1:33">
      <c r="A313" s="60"/>
      <c r="B313" s="60"/>
      <c r="F313" s="79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G313" s="58"/>
    </row>
    <row r="314" spans="1:33" ht="15">
      <c r="A314" s="59" t="s">
        <v>1024</v>
      </c>
      <c r="B314" s="60"/>
      <c r="F314" s="79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G314" s="58"/>
    </row>
    <row r="315" spans="1:33">
      <c r="A315" s="60"/>
      <c r="B315" s="60"/>
      <c r="F315" s="79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G315" s="58"/>
    </row>
    <row r="316" spans="1:33" ht="15">
      <c r="A316" s="65" t="s">
        <v>1047</v>
      </c>
      <c r="B316" s="60"/>
      <c r="F316" s="79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G316" s="58"/>
    </row>
    <row r="317" spans="1:33">
      <c r="A317" s="60">
        <v>920</v>
      </c>
      <c r="B317" s="60" t="s">
        <v>1048</v>
      </c>
      <c r="C317" s="44" t="s">
        <v>1049</v>
      </c>
      <c r="D317" s="44" t="s">
        <v>664</v>
      </c>
      <c r="F317" s="76">
        <v>27330835.082028419</v>
      </c>
      <c r="H317" s="63">
        <f t="shared" ref="H317:Q329" si="135">IF(VLOOKUP($D317,$C$6:$AE$653,H$2,)=0,0,((VLOOKUP($D317,$C$6:$AE$653,H$2,)/VLOOKUP($D317,$C$6:$AE$653,4,))*$F317))</f>
        <v>3179338.5381462662</v>
      </c>
      <c r="I317" s="63">
        <f t="shared" si="135"/>
        <v>3330558.3527875682</v>
      </c>
      <c r="J317" s="63">
        <f t="shared" si="135"/>
        <v>2737707.7352798884</v>
      </c>
      <c r="K317" s="63">
        <f t="shared" si="135"/>
        <v>6907179.7829127796</v>
      </c>
      <c r="L317" s="63">
        <f t="shared" si="135"/>
        <v>0</v>
      </c>
      <c r="M317" s="63">
        <f t="shared" si="135"/>
        <v>0</v>
      </c>
      <c r="N317" s="63">
        <f t="shared" si="135"/>
        <v>1638278.838608051</v>
      </c>
      <c r="O317" s="63">
        <f t="shared" si="135"/>
        <v>0</v>
      </c>
      <c r="P317" s="63">
        <f t="shared" si="135"/>
        <v>0</v>
      </c>
      <c r="Q317" s="63">
        <f t="shared" si="135"/>
        <v>0</v>
      </c>
      <c r="R317" s="63">
        <f t="shared" ref="R317:AE329" si="136">IF(VLOOKUP($D317,$C$6:$AE$653,R$2,)=0,0,((VLOOKUP($D317,$C$6:$AE$653,R$2,)/VLOOKUP($D317,$C$6:$AE$653,4,))*$F317))</f>
        <v>1025945.5674434847</v>
      </c>
      <c r="S317" s="63">
        <f t="shared" si="136"/>
        <v>0</v>
      </c>
      <c r="T317" s="63">
        <f t="shared" si="136"/>
        <v>970303.73746063665</v>
      </c>
      <c r="U317" s="63">
        <f t="shared" si="136"/>
        <v>1465760.4116971965</v>
      </c>
      <c r="V317" s="63">
        <f t="shared" si="136"/>
        <v>317639.39281326148</v>
      </c>
      <c r="W317" s="63">
        <f t="shared" si="136"/>
        <v>468593.02180088632</v>
      </c>
      <c r="X317" s="63">
        <f t="shared" si="136"/>
        <v>88572.803000029235</v>
      </c>
      <c r="Y317" s="63">
        <f t="shared" si="136"/>
        <v>61943.598286252309</v>
      </c>
      <c r="Z317" s="63">
        <f t="shared" si="136"/>
        <v>22462.996606719778</v>
      </c>
      <c r="AA317" s="63">
        <f t="shared" si="136"/>
        <v>2181980.7430216302</v>
      </c>
      <c r="AB317" s="63">
        <f t="shared" si="136"/>
        <v>74949.645016968541</v>
      </c>
      <c r="AC317" s="63">
        <f t="shared" si="136"/>
        <v>2243650.2794324192</v>
      </c>
      <c r="AD317" s="63">
        <f t="shared" si="136"/>
        <v>615969.63771438028</v>
      </c>
      <c r="AE317" s="63">
        <f t="shared" si="136"/>
        <v>0</v>
      </c>
      <c r="AF317" s="63">
        <f t="shared" ref="AF317:AF328" si="137">SUM(H317:AE317)</f>
        <v>27330835.082028419</v>
      </c>
      <c r="AG317" s="58" t="str">
        <f t="shared" ref="AG317:AG328" si="138">IF(ABS(AF317-F317)&lt;1,"ok","err")</f>
        <v>ok</v>
      </c>
    </row>
    <row r="318" spans="1:33">
      <c r="A318" s="60">
        <v>921</v>
      </c>
      <c r="B318" s="60" t="s">
        <v>1050</v>
      </c>
      <c r="C318" s="44" t="s">
        <v>1051</v>
      </c>
      <c r="D318" s="44" t="s">
        <v>664</v>
      </c>
      <c r="F318" s="79">
        <v>5910352.8560832748</v>
      </c>
      <c r="H318" s="63">
        <f t="shared" si="135"/>
        <v>687538.91174531181</v>
      </c>
      <c r="I318" s="63">
        <f t="shared" si="135"/>
        <v>720240.52736295178</v>
      </c>
      <c r="J318" s="63">
        <f t="shared" si="135"/>
        <v>592035.28482642572</v>
      </c>
      <c r="K318" s="63">
        <f t="shared" si="135"/>
        <v>1493692.7333136345</v>
      </c>
      <c r="L318" s="63">
        <f t="shared" si="135"/>
        <v>0</v>
      </c>
      <c r="M318" s="63">
        <f t="shared" si="135"/>
        <v>0</v>
      </c>
      <c r="N318" s="63">
        <f t="shared" si="135"/>
        <v>354281.38158847846</v>
      </c>
      <c r="O318" s="63">
        <f t="shared" si="135"/>
        <v>0</v>
      </c>
      <c r="P318" s="63">
        <f t="shared" si="135"/>
        <v>0</v>
      </c>
      <c r="Q318" s="63">
        <f t="shared" si="135"/>
        <v>0</v>
      </c>
      <c r="R318" s="63">
        <f t="shared" si="136"/>
        <v>221862.97259218415</v>
      </c>
      <c r="S318" s="63">
        <f t="shared" si="136"/>
        <v>0</v>
      </c>
      <c r="T318" s="63">
        <f t="shared" si="136"/>
        <v>209830.30517569996</v>
      </c>
      <c r="U318" s="63">
        <f t="shared" si="136"/>
        <v>316973.89448977524</v>
      </c>
      <c r="V318" s="63">
        <f t="shared" si="136"/>
        <v>68690.213339031441</v>
      </c>
      <c r="W318" s="63">
        <f t="shared" si="136"/>
        <v>101334.26572694436</v>
      </c>
      <c r="X318" s="63">
        <f t="shared" si="136"/>
        <v>19154.062347943142</v>
      </c>
      <c r="Y318" s="63">
        <f t="shared" si="136"/>
        <v>13395.438593384348</v>
      </c>
      <c r="Z318" s="63">
        <f t="shared" si="136"/>
        <v>4857.6721403589754</v>
      </c>
      <c r="AA318" s="63">
        <f t="shared" si="136"/>
        <v>471858.10743545974</v>
      </c>
      <c r="AB318" s="63">
        <f t="shared" si="136"/>
        <v>16208.024641726057</v>
      </c>
      <c r="AC318" s="63">
        <f t="shared" si="136"/>
        <v>485194.27954893134</v>
      </c>
      <c r="AD318" s="63">
        <f t="shared" si="136"/>
        <v>133204.78121503387</v>
      </c>
      <c r="AE318" s="63">
        <f t="shared" si="136"/>
        <v>0</v>
      </c>
      <c r="AF318" s="63">
        <f t="shared" si="137"/>
        <v>5910352.8560832758</v>
      </c>
      <c r="AG318" s="58" t="str">
        <f t="shared" si="138"/>
        <v>ok</v>
      </c>
    </row>
    <row r="319" spans="1:33">
      <c r="A319" s="60">
        <v>922</v>
      </c>
      <c r="B319" s="60" t="s">
        <v>278</v>
      </c>
      <c r="C319" s="44" t="s">
        <v>279</v>
      </c>
      <c r="D319" s="44" t="s">
        <v>664</v>
      </c>
      <c r="F319" s="79">
        <v>-4320827.16</v>
      </c>
      <c r="H319" s="63">
        <f t="shared" si="135"/>
        <v>-502632.7320488714</v>
      </c>
      <c r="I319" s="63">
        <f t="shared" si="135"/>
        <v>-526539.60061952646</v>
      </c>
      <c r="J319" s="63">
        <f t="shared" si="135"/>
        <v>-432813.77620685217</v>
      </c>
      <c r="K319" s="63">
        <f t="shared" si="135"/>
        <v>-1091980.1724110893</v>
      </c>
      <c r="L319" s="63">
        <f t="shared" si="135"/>
        <v>0</v>
      </c>
      <c r="M319" s="63">
        <f t="shared" si="135"/>
        <v>0</v>
      </c>
      <c r="N319" s="63">
        <f t="shared" si="135"/>
        <v>-259001.22262146263</v>
      </c>
      <c r="O319" s="63">
        <f t="shared" si="135"/>
        <v>0</v>
      </c>
      <c r="P319" s="63">
        <f t="shared" si="135"/>
        <v>0</v>
      </c>
      <c r="Q319" s="63">
        <f t="shared" si="135"/>
        <v>0</v>
      </c>
      <c r="R319" s="63">
        <f t="shared" si="136"/>
        <v>-162195.3174568869</v>
      </c>
      <c r="S319" s="63">
        <f t="shared" si="136"/>
        <v>0</v>
      </c>
      <c r="T319" s="63">
        <f t="shared" si="136"/>
        <v>-153398.70624832265</v>
      </c>
      <c r="U319" s="63">
        <f t="shared" si="136"/>
        <v>-231727.1820603291</v>
      </c>
      <c r="V319" s="63">
        <f t="shared" si="136"/>
        <v>-50216.720836895423</v>
      </c>
      <c r="W319" s="63">
        <f t="shared" si="136"/>
        <v>-74081.507188015035</v>
      </c>
      <c r="X319" s="63">
        <f t="shared" si="136"/>
        <v>-14002.783730948197</v>
      </c>
      <c r="Y319" s="63">
        <f t="shared" si="136"/>
        <v>-9792.8797660252239</v>
      </c>
      <c r="Z319" s="63">
        <f t="shared" si="136"/>
        <v>-3551.2535764823483</v>
      </c>
      <c r="AA319" s="63">
        <f t="shared" si="136"/>
        <v>-344956.95534909808</v>
      </c>
      <c r="AB319" s="63">
        <f t="shared" si="136"/>
        <v>-11849.051112039475</v>
      </c>
      <c r="AC319" s="63">
        <f t="shared" si="136"/>
        <v>-354706.50771618111</v>
      </c>
      <c r="AD319" s="63">
        <f t="shared" si="136"/>
        <v>-97380.791050974571</v>
      </c>
      <c r="AE319" s="63">
        <f t="shared" si="136"/>
        <v>0</v>
      </c>
      <c r="AF319" s="63">
        <f>SUM(H319:AE319)</f>
        <v>-4320827.16</v>
      </c>
      <c r="AG319" s="58" t="str">
        <f t="shared" si="138"/>
        <v>ok</v>
      </c>
    </row>
    <row r="320" spans="1:33">
      <c r="A320" s="60">
        <v>923</v>
      </c>
      <c r="B320" s="60" t="s">
        <v>1052</v>
      </c>
      <c r="C320" s="44" t="s">
        <v>1053</v>
      </c>
      <c r="D320" s="44" t="s">
        <v>664</v>
      </c>
      <c r="F320" s="79">
        <v>15873533.059545619</v>
      </c>
      <c r="H320" s="63">
        <f t="shared" si="135"/>
        <v>1846534.7012370415</v>
      </c>
      <c r="I320" s="63">
        <f t="shared" si="135"/>
        <v>1934361.9747090279</v>
      </c>
      <c r="J320" s="63">
        <f t="shared" si="135"/>
        <v>1590039.0205023261</v>
      </c>
      <c r="K320" s="63">
        <f t="shared" si="135"/>
        <v>4011635.4404548206</v>
      </c>
      <c r="L320" s="63">
        <f t="shared" si="135"/>
        <v>0</v>
      </c>
      <c r="M320" s="63">
        <f t="shared" si="135"/>
        <v>0</v>
      </c>
      <c r="N320" s="63">
        <f t="shared" si="135"/>
        <v>951499.40451321402</v>
      </c>
      <c r="O320" s="63">
        <f t="shared" si="135"/>
        <v>0</v>
      </c>
      <c r="P320" s="63">
        <f t="shared" si="135"/>
        <v>0</v>
      </c>
      <c r="Q320" s="63">
        <f t="shared" si="135"/>
        <v>0</v>
      </c>
      <c r="R320" s="63">
        <f t="shared" si="136"/>
        <v>595861.07900585188</v>
      </c>
      <c r="S320" s="63">
        <f t="shared" si="136"/>
        <v>0</v>
      </c>
      <c r="T320" s="63">
        <f t="shared" si="136"/>
        <v>563544.74380879349</v>
      </c>
      <c r="U320" s="63">
        <f t="shared" si="136"/>
        <v>851302.06532722793</v>
      </c>
      <c r="V320" s="63">
        <f t="shared" si="136"/>
        <v>184482.44950081105</v>
      </c>
      <c r="W320" s="63">
        <f t="shared" si="136"/>
        <v>272155.12444842228</v>
      </c>
      <c r="X320" s="63">
        <f t="shared" si="136"/>
        <v>51442.384119542927</v>
      </c>
      <c r="Y320" s="63">
        <f t="shared" si="136"/>
        <v>35976.352433906832</v>
      </c>
      <c r="Z320" s="63">
        <f t="shared" si="136"/>
        <v>13046.330936579785</v>
      </c>
      <c r="AA320" s="63">
        <f t="shared" si="136"/>
        <v>1267277.1745061215</v>
      </c>
      <c r="AB320" s="63">
        <f t="shared" si="136"/>
        <v>43530.161607113296</v>
      </c>
      <c r="AC320" s="63">
        <f t="shared" si="136"/>
        <v>1303094.3539682745</v>
      </c>
      <c r="AD320" s="63">
        <f t="shared" si="136"/>
        <v>357750.29846654384</v>
      </c>
      <c r="AE320" s="63">
        <f t="shared" si="136"/>
        <v>0</v>
      </c>
      <c r="AF320" s="63">
        <f t="shared" si="137"/>
        <v>15873533.059545616</v>
      </c>
      <c r="AG320" s="58" t="str">
        <f t="shared" si="138"/>
        <v>ok</v>
      </c>
    </row>
    <row r="321" spans="1:33">
      <c r="A321" s="60">
        <v>924</v>
      </c>
      <c r="B321" s="60" t="s">
        <v>1054</v>
      </c>
      <c r="C321" s="44" t="s">
        <v>1055</v>
      </c>
      <c r="D321" s="44" t="s">
        <v>968</v>
      </c>
      <c r="F321" s="79">
        <v>4610557.8865446681</v>
      </c>
      <c r="H321" s="63">
        <f t="shared" si="135"/>
        <v>891485.99720293563</v>
      </c>
      <c r="I321" s="63">
        <f t="shared" si="135"/>
        <v>933888.00807244994</v>
      </c>
      <c r="J321" s="63">
        <f t="shared" si="135"/>
        <v>767652.79354591982</v>
      </c>
      <c r="K321" s="63">
        <f t="shared" si="135"/>
        <v>0</v>
      </c>
      <c r="L321" s="63">
        <f t="shared" si="135"/>
        <v>0</v>
      </c>
      <c r="M321" s="63">
        <f t="shared" si="135"/>
        <v>0</v>
      </c>
      <c r="N321" s="63">
        <f t="shared" si="135"/>
        <v>491106.04908541584</v>
      </c>
      <c r="O321" s="63">
        <f t="shared" si="135"/>
        <v>0</v>
      </c>
      <c r="P321" s="63">
        <f t="shared" si="135"/>
        <v>0</v>
      </c>
      <c r="Q321" s="63">
        <f t="shared" si="135"/>
        <v>0</v>
      </c>
      <c r="R321" s="63">
        <f t="shared" si="136"/>
        <v>171024.25213284703</v>
      </c>
      <c r="S321" s="63">
        <f t="shared" si="136"/>
        <v>0</v>
      </c>
      <c r="T321" s="63">
        <f t="shared" si="136"/>
        <v>292469.0627119214</v>
      </c>
      <c r="U321" s="63">
        <f t="shared" si="136"/>
        <v>465426.98005243874</v>
      </c>
      <c r="V321" s="63">
        <f t="shared" si="136"/>
        <v>80400.844442781861</v>
      </c>
      <c r="W321" s="63">
        <f t="shared" si="136"/>
        <v>122181.63092638491</v>
      </c>
      <c r="X321" s="63">
        <f t="shared" si="136"/>
        <v>111138.22443663614</v>
      </c>
      <c r="Y321" s="63">
        <f t="shared" si="136"/>
        <v>77724.778888933492</v>
      </c>
      <c r="Z321" s="63">
        <f t="shared" si="136"/>
        <v>38599.578466549108</v>
      </c>
      <c r="AA321" s="63">
        <f t="shared" si="136"/>
        <v>44774.432860433313</v>
      </c>
      <c r="AB321" s="63">
        <f t="shared" si="136"/>
        <v>122685.25371902071</v>
      </c>
      <c r="AC321" s="63">
        <f t="shared" si="136"/>
        <v>0</v>
      </c>
      <c r="AD321" s="63">
        <f t="shared" si="136"/>
        <v>0</v>
      </c>
      <c r="AE321" s="63">
        <f t="shared" si="136"/>
        <v>0</v>
      </c>
      <c r="AF321" s="63">
        <f t="shared" si="137"/>
        <v>4610557.8865446681</v>
      </c>
      <c r="AG321" s="58" t="str">
        <f t="shared" si="138"/>
        <v>ok</v>
      </c>
    </row>
    <row r="322" spans="1:33">
      <c r="A322" s="60">
        <v>925</v>
      </c>
      <c r="B322" s="60" t="s">
        <v>1369</v>
      </c>
      <c r="C322" s="44" t="s">
        <v>1056</v>
      </c>
      <c r="D322" s="44" t="s">
        <v>664</v>
      </c>
      <c r="F322" s="79">
        <v>2835056.0199999954</v>
      </c>
      <c r="H322" s="63">
        <f t="shared" si="135"/>
        <v>329796.10155111999</v>
      </c>
      <c r="I322" s="63">
        <f t="shared" si="135"/>
        <v>345482.29059566959</v>
      </c>
      <c r="J322" s="63">
        <f t="shared" si="135"/>
        <v>283985.27789622743</v>
      </c>
      <c r="K322" s="63">
        <f t="shared" si="135"/>
        <v>716488.96076525585</v>
      </c>
      <c r="L322" s="63">
        <f t="shared" si="135"/>
        <v>0</v>
      </c>
      <c r="M322" s="63">
        <f t="shared" si="135"/>
        <v>0</v>
      </c>
      <c r="N322" s="63">
        <f t="shared" si="135"/>
        <v>169940.37210697791</v>
      </c>
      <c r="O322" s="63">
        <f t="shared" si="135"/>
        <v>0</v>
      </c>
      <c r="P322" s="63">
        <f t="shared" si="135"/>
        <v>0</v>
      </c>
      <c r="Q322" s="63">
        <f t="shared" si="135"/>
        <v>0</v>
      </c>
      <c r="R322" s="63">
        <f t="shared" si="136"/>
        <v>106422.40342980012</v>
      </c>
      <c r="S322" s="63">
        <f t="shared" si="136"/>
        <v>0</v>
      </c>
      <c r="T322" s="63">
        <f t="shared" si="136"/>
        <v>100650.61838981729</v>
      </c>
      <c r="U322" s="63">
        <f t="shared" si="136"/>
        <v>152044.85580436199</v>
      </c>
      <c r="V322" s="63">
        <f t="shared" si="136"/>
        <v>32949.065408415823</v>
      </c>
      <c r="W322" s="63">
        <f t="shared" si="136"/>
        <v>48607.642737566697</v>
      </c>
      <c r="X322" s="63">
        <f t="shared" si="136"/>
        <v>9187.7492070714252</v>
      </c>
      <c r="Y322" s="63">
        <f t="shared" si="136"/>
        <v>6425.4740367365112</v>
      </c>
      <c r="Z322" s="63">
        <f t="shared" si="136"/>
        <v>2330.1100594250097</v>
      </c>
      <c r="AA322" s="63">
        <f t="shared" si="136"/>
        <v>226339.13755146135</v>
      </c>
      <c r="AB322" s="63">
        <f t="shared" si="136"/>
        <v>7774.6048250805643</v>
      </c>
      <c r="AC322" s="63">
        <f t="shared" si="136"/>
        <v>232736.18286410096</v>
      </c>
      <c r="AD322" s="63">
        <f t="shared" si="136"/>
        <v>63895.172770906924</v>
      </c>
      <c r="AE322" s="63">
        <f t="shared" si="136"/>
        <v>0</v>
      </c>
      <c r="AF322" s="63">
        <f t="shared" si="137"/>
        <v>2835056.0199999949</v>
      </c>
      <c r="AG322" s="58" t="str">
        <f t="shared" si="138"/>
        <v>ok</v>
      </c>
    </row>
    <row r="323" spans="1:33">
      <c r="A323" s="60">
        <v>926</v>
      </c>
      <c r="B323" s="60" t="s">
        <v>1057</v>
      </c>
      <c r="C323" s="44" t="s">
        <v>1058</v>
      </c>
      <c r="D323" s="44" t="s">
        <v>664</v>
      </c>
      <c r="F323" s="79">
        <v>29197096.379999936</v>
      </c>
      <c r="H323" s="63">
        <f t="shared" si="135"/>
        <v>3396436.7881296091</v>
      </c>
      <c r="I323" s="63">
        <f t="shared" si="135"/>
        <v>3557982.5107318079</v>
      </c>
      <c r="J323" s="63">
        <f t="shared" si="135"/>
        <v>2924649.6262311004</v>
      </c>
      <c r="K323" s="63">
        <f t="shared" si="135"/>
        <v>7378830.2929792553</v>
      </c>
      <c r="L323" s="63">
        <f t="shared" si="135"/>
        <v>0</v>
      </c>
      <c r="M323" s="63">
        <f t="shared" si="135"/>
        <v>0</v>
      </c>
      <c r="N323" s="63">
        <f t="shared" si="135"/>
        <v>1750147.2239904788</v>
      </c>
      <c r="O323" s="63">
        <f t="shared" si="135"/>
        <v>0</v>
      </c>
      <c r="P323" s="63">
        <f t="shared" si="135"/>
        <v>0</v>
      </c>
      <c r="Q323" s="63">
        <f t="shared" si="135"/>
        <v>0</v>
      </c>
      <c r="R323" s="63">
        <f t="shared" si="136"/>
        <v>1096001.3304890937</v>
      </c>
      <c r="S323" s="63">
        <f t="shared" si="136"/>
        <v>0</v>
      </c>
      <c r="T323" s="63">
        <f t="shared" si="136"/>
        <v>1036560.0485855987</v>
      </c>
      <c r="U323" s="63">
        <f t="shared" si="136"/>
        <v>1565848.5326872508</v>
      </c>
      <c r="V323" s="63">
        <f t="shared" si="136"/>
        <v>339329.11080904858</v>
      </c>
      <c r="W323" s="63">
        <f t="shared" si="136"/>
        <v>500590.47151150869</v>
      </c>
      <c r="X323" s="63">
        <f t="shared" si="136"/>
        <v>94620.916560983111</v>
      </c>
      <c r="Y323" s="63">
        <f t="shared" si="136"/>
        <v>66173.360742897581</v>
      </c>
      <c r="Z323" s="63">
        <f t="shared" si="136"/>
        <v>23996.861967136541</v>
      </c>
      <c r="AA323" s="63">
        <f t="shared" si="136"/>
        <v>2330975.3200771287</v>
      </c>
      <c r="AB323" s="63">
        <f t="shared" si="136"/>
        <v>80067.513584542903</v>
      </c>
      <c r="AC323" s="63">
        <f t="shared" si="136"/>
        <v>2396855.9048778359</v>
      </c>
      <c r="AD323" s="63">
        <f t="shared" si="136"/>
        <v>658030.5660446597</v>
      </c>
      <c r="AE323" s="63">
        <f t="shared" si="136"/>
        <v>0</v>
      </c>
      <c r="AF323" s="63">
        <f t="shared" si="137"/>
        <v>29197096.379999928</v>
      </c>
      <c r="AG323" s="58" t="str">
        <f t="shared" si="138"/>
        <v>ok</v>
      </c>
    </row>
    <row r="324" spans="1:33">
      <c r="A324" s="60">
        <v>927</v>
      </c>
      <c r="B324" s="60" t="s">
        <v>598</v>
      </c>
      <c r="C324" s="44" t="s">
        <v>597</v>
      </c>
      <c r="D324" s="44" t="s">
        <v>968</v>
      </c>
      <c r="F324" s="79">
        <v>0</v>
      </c>
      <c r="H324" s="63">
        <f t="shared" si="135"/>
        <v>0</v>
      </c>
      <c r="I324" s="63">
        <f t="shared" si="135"/>
        <v>0</v>
      </c>
      <c r="J324" s="63">
        <f t="shared" si="135"/>
        <v>0</v>
      </c>
      <c r="K324" s="63">
        <f t="shared" si="135"/>
        <v>0</v>
      </c>
      <c r="L324" s="63">
        <f t="shared" si="135"/>
        <v>0</v>
      </c>
      <c r="M324" s="63">
        <f t="shared" si="135"/>
        <v>0</v>
      </c>
      <c r="N324" s="63">
        <f t="shared" si="135"/>
        <v>0</v>
      </c>
      <c r="O324" s="63">
        <f t="shared" si="135"/>
        <v>0</v>
      </c>
      <c r="P324" s="63">
        <f t="shared" si="135"/>
        <v>0</v>
      </c>
      <c r="Q324" s="63">
        <f t="shared" si="135"/>
        <v>0</v>
      </c>
      <c r="R324" s="63">
        <f t="shared" si="136"/>
        <v>0</v>
      </c>
      <c r="S324" s="63">
        <f t="shared" si="136"/>
        <v>0</v>
      </c>
      <c r="T324" s="63">
        <f t="shared" si="136"/>
        <v>0</v>
      </c>
      <c r="U324" s="63">
        <f t="shared" si="136"/>
        <v>0</v>
      </c>
      <c r="V324" s="63">
        <f t="shared" si="136"/>
        <v>0</v>
      </c>
      <c r="W324" s="63">
        <f t="shared" si="136"/>
        <v>0</v>
      </c>
      <c r="X324" s="63">
        <f t="shared" si="136"/>
        <v>0</v>
      </c>
      <c r="Y324" s="63">
        <f t="shared" si="136"/>
        <v>0</v>
      </c>
      <c r="Z324" s="63">
        <f t="shared" si="136"/>
        <v>0</v>
      </c>
      <c r="AA324" s="63">
        <f t="shared" si="136"/>
        <v>0</v>
      </c>
      <c r="AB324" s="63">
        <f t="shared" si="136"/>
        <v>0</v>
      </c>
      <c r="AC324" s="63">
        <f t="shared" si="136"/>
        <v>0</v>
      </c>
      <c r="AD324" s="63">
        <f t="shared" si="136"/>
        <v>0</v>
      </c>
      <c r="AE324" s="63">
        <f t="shared" si="136"/>
        <v>0</v>
      </c>
      <c r="AF324" s="63">
        <f>SUM(H324:AE324)</f>
        <v>0</v>
      </c>
      <c r="AG324" s="58" t="str">
        <f t="shared" si="138"/>
        <v>ok</v>
      </c>
    </row>
    <row r="325" spans="1:33">
      <c r="A325" s="60">
        <v>928</v>
      </c>
      <c r="B325" s="60" t="s">
        <v>887</v>
      </c>
      <c r="C325" s="44" t="s">
        <v>1059</v>
      </c>
      <c r="D325" s="44" t="s">
        <v>968</v>
      </c>
      <c r="F325" s="79">
        <v>1404079.9999999988</v>
      </c>
      <c r="H325" s="63">
        <f t="shared" si="135"/>
        <v>271489.41402637563</v>
      </c>
      <c r="I325" s="63">
        <f t="shared" si="135"/>
        <v>284402.34493120504</v>
      </c>
      <c r="J325" s="63">
        <f t="shared" si="135"/>
        <v>233777.76852287477</v>
      </c>
      <c r="K325" s="63">
        <f t="shared" si="135"/>
        <v>0</v>
      </c>
      <c r="L325" s="63">
        <f t="shared" si="135"/>
        <v>0</v>
      </c>
      <c r="M325" s="63">
        <f t="shared" si="135"/>
        <v>0</v>
      </c>
      <c r="N325" s="63">
        <f t="shared" si="135"/>
        <v>149559.3805279446</v>
      </c>
      <c r="O325" s="63">
        <f t="shared" si="135"/>
        <v>0</v>
      </c>
      <c r="P325" s="63">
        <f t="shared" si="135"/>
        <v>0</v>
      </c>
      <c r="Q325" s="63">
        <f t="shared" si="135"/>
        <v>0</v>
      </c>
      <c r="R325" s="63">
        <f t="shared" si="136"/>
        <v>52083.009875113348</v>
      </c>
      <c r="S325" s="63">
        <f t="shared" si="136"/>
        <v>0</v>
      </c>
      <c r="T325" s="63">
        <f t="shared" si="136"/>
        <v>89067.304147939314</v>
      </c>
      <c r="U325" s="63">
        <f t="shared" si="136"/>
        <v>141739.18433150474</v>
      </c>
      <c r="V325" s="63">
        <f t="shared" si="136"/>
        <v>24484.936626579187</v>
      </c>
      <c r="W325" s="63">
        <f t="shared" si="136"/>
        <v>37208.682457230083</v>
      </c>
      <c r="X325" s="63">
        <f t="shared" si="136"/>
        <v>33845.569670081648</v>
      </c>
      <c r="Y325" s="63">
        <f t="shared" si="136"/>
        <v>23669.978824224519</v>
      </c>
      <c r="Z325" s="63">
        <f t="shared" si="136"/>
        <v>11754.954056965436</v>
      </c>
      <c r="AA325" s="63">
        <f t="shared" si="136"/>
        <v>13635.418367513883</v>
      </c>
      <c r="AB325" s="63">
        <f t="shared" si="136"/>
        <v>37362.053634446558</v>
      </c>
      <c r="AC325" s="63">
        <f t="shared" si="136"/>
        <v>0</v>
      </c>
      <c r="AD325" s="63">
        <f t="shared" si="136"/>
        <v>0</v>
      </c>
      <c r="AE325" s="63">
        <f t="shared" si="136"/>
        <v>0</v>
      </c>
      <c r="AF325" s="63">
        <f t="shared" si="137"/>
        <v>1404079.9999999986</v>
      </c>
      <c r="AG325" s="58" t="str">
        <f t="shared" si="138"/>
        <v>ok</v>
      </c>
    </row>
    <row r="326" spans="1:33">
      <c r="A326" s="60">
        <v>929</v>
      </c>
      <c r="B326" s="60" t="s">
        <v>1158</v>
      </c>
      <c r="C326" s="44" t="s">
        <v>1159</v>
      </c>
      <c r="D326" s="44" t="s">
        <v>664</v>
      </c>
      <c r="F326" s="79">
        <v>-229428</v>
      </c>
      <c r="H326" s="63">
        <f t="shared" si="135"/>
        <v>-26688.876499403523</v>
      </c>
      <c r="I326" s="63">
        <f t="shared" si="135"/>
        <v>-27958.287387486409</v>
      </c>
      <c r="J326" s="63">
        <f t="shared" si="135"/>
        <v>-22981.617956591832</v>
      </c>
      <c r="K326" s="63">
        <f t="shared" si="135"/>
        <v>-57982.145019642812</v>
      </c>
      <c r="L326" s="63">
        <f t="shared" si="135"/>
        <v>0</v>
      </c>
      <c r="M326" s="63">
        <f t="shared" si="135"/>
        <v>0</v>
      </c>
      <c r="N326" s="63">
        <f t="shared" si="135"/>
        <v>-13752.490044891527</v>
      </c>
      <c r="O326" s="63">
        <f t="shared" si="135"/>
        <v>0</v>
      </c>
      <c r="P326" s="63">
        <f t="shared" si="135"/>
        <v>0</v>
      </c>
      <c r="Q326" s="63">
        <f t="shared" si="135"/>
        <v>0</v>
      </c>
      <c r="R326" s="63">
        <f t="shared" si="136"/>
        <v>-8612.2739733701001</v>
      </c>
      <c r="S326" s="63">
        <f t="shared" si="136"/>
        <v>0</v>
      </c>
      <c r="T326" s="63">
        <f t="shared" si="136"/>
        <v>-8145.1900466993375</v>
      </c>
      <c r="U326" s="63">
        <f t="shared" si="136"/>
        <v>-12304.288497792442</v>
      </c>
      <c r="V326" s="63">
        <f t="shared" si="136"/>
        <v>-2666.4158045533213</v>
      </c>
      <c r="W326" s="63">
        <f t="shared" si="136"/>
        <v>-3933.5922039362281</v>
      </c>
      <c r="X326" s="63">
        <f t="shared" si="136"/>
        <v>-743.5221421409467</v>
      </c>
      <c r="Y326" s="63">
        <f t="shared" si="136"/>
        <v>-519.98396042290085</v>
      </c>
      <c r="Z326" s="63">
        <f t="shared" si="136"/>
        <v>-188.56505372114728</v>
      </c>
      <c r="AA326" s="63">
        <f t="shared" si="136"/>
        <v>-18316.581853700638</v>
      </c>
      <c r="AB326" s="63">
        <f t="shared" si="136"/>
        <v>-629.16288892541411</v>
      </c>
      <c r="AC326" s="63">
        <f t="shared" si="136"/>
        <v>-18834.265208680088</v>
      </c>
      <c r="AD326" s="63">
        <f t="shared" si="136"/>
        <v>-5170.7414580413333</v>
      </c>
      <c r="AE326" s="63">
        <f t="shared" si="136"/>
        <v>0</v>
      </c>
      <c r="AF326" s="63">
        <f t="shared" si="137"/>
        <v>-229427.99999999991</v>
      </c>
      <c r="AG326" s="58" t="str">
        <f t="shared" si="138"/>
        <v>ok</v>
      </c>
    </row>
    <row r="327" spans="1:33">
      <c r="A327" s="60">
        <v>930</v>
      </c>
      <c r="B327" s="60" t="s">
        <v>1060</v>
      </c>
      <c r="C327" s="44" t="s">
        <v>1061</v>
      </c>
      <c r="D327" s="44" t="s">
        <v>664</v>
      </c>
      <c r="F327" s="79">
        <f>34017+3682668</f>
        <v>3716685</v>
      </c>
      <c r="H327" s="63">
        <f t="shared" si="135"/>
        <v>432354.14575459657</v>
      </c>
      <c r="I327" s="63">
        <f t="shared" si="135"/>
        <v>452918.3332407549</v>
      </c>
      <c r="J327" s="63">
        <f t="shared" si="135"/>
        <v>372297.34267393476</v>
      </c>
      <c r="K327" s="63">
        <f t="shared" si="135"/>
        <v>939298.46689301718</v>
      </c>
      <c r="L327" s="63">
        <f t="shared" si="135"/>
        <v>0</v>
      </c>
      <c r="M327" s="63">
        <f t="shared" si="135"/>
        <v>0</v>
      </c>
      <c r="N327" s="63">
        <f t="shared" si="135"/>
        <v>222787.42552128626</v>
      </c>
      <c r="O327" s="63">
        <f t="shared" si="135"/>
        <v>0</v>
      </c>
      <c r="P327" s="63">
        <f t="shared" si="135"/>
        <v>0</v>
      </c>
      <c r="Q327" s="63">
        <f t="shared" si="135"/>
        <v>0</v>
      </c>
      <c r="R327" s="63">
        <f t="shared" si="136"/>
        <v>139517.01402058618</v>
      </c>
      <c r="S327" s="63">
        <f t="shared" si="136"/>
        <v>0</v>
      </c>
      <c r="T327" s="63">
        <f t="shared" si="136"/>
        <v>131950.35335145111</v>
      </c>
      <c r="U327" s="63">
        <f t="shared" si="136"/>
        <v>199326.86723249865</v>
      </c>
      <c r="V327" s="63">
        <f t="shared" si="136"/>
        <v>43195.371203803639</v>
      </c>
      <c r="W327" s="63">
        <f t="shared" si="136"/>
        <v>63723.360446356681</v>
      </c>
      <c r="X327" s="63">
        <f t="shared" si="136"/>
        <v>12044.90120152346</v>
      </c>
      <c r="Y327" s="63">
        <f t="shared" si="136"/>
        <v>8423.6300100440621</v>
      </c>
      <c r="Z327" s="63">
        <f t="shared" si="136"/>
        <v>3054.7139263280083</v>
      </c>
      <c r="AA327" s="63">
        <f t="shared" si="136"/>
        <v>296724.74600711925</v>
      </c>
      <c r="AB327" s="63">
        <f t="shared" si="136"/>
        <v>10192.30552428541</v>
      </c>
      <c r="AC327" s="63">
        <f t="shared" si="136"/>
        <v>305111.10669631936</v>
      </c>
      <c r="AD327" s="63">
        <f t="shared" si="136"/>
        <v>83764.916296094423</v>
      </c>
      <c r="AE327" s="63">
        <f t="shared" si="136"/>
        <v>0</v>
      </c>
      <c r="AF327" s="63">
        <f t="shared" si="137"/>
        <v>3716685</v>
      </c>
      <c r="AG327" s="58" t="str">
        <f t="shared" si="138"/>
        <v>ok</v>
      </c>
    </row>
    <row r="328" spans="1:33">
      <c r="A328" s="60">
        <v>931</v>
      </c>
      <c r="B328" s="60" t="s">
        <v>1062</v>
      </c>
      <c r="C328" s="44" t="s">
        <v>1063</v>
      </c>
      <c r="D328" s="44" t="s">
        <v>958</v>
      </c>
      <c r="F328" s="79">
        <v>1123824.78</v>
      </c>
      <c r="H328" s="63">
        <f t="shared" si="135"/>
        <v>216717.3194121402</v>
      </c>
      <c r="I328" s="63">
        <f t="shared" si="135"/>
        <v>227025.10906016288</v>
      </c>
      <c r="J328" s="63">
        <f t="shared" si="135"/>
        <v>186613.87411410143</v>
      </c>
      <c r="K328" s="63">
        <f t="shared" si="135"/>
        <v>0</v>
      </c>
      <c r="L328" s="63">
        <f t="shared" si="135"/>
        <v>0</v>
      </c>
      <c r="M328" s="63">
        <f t="shared" si="135"/>
        <v>0</v>
      </c>
      <c r="N328" s="63">
        <f t="shared" si="135"/>
        <v>120907.46423681639</v>
      </c>
      <c r="O328" s="63">
        <f t="shared" si="135"/>
        <v>0</v>
      </c>
      <c r="P328" s="63">
        <f t="shared" si="135"/>
        <v>0</v>
      </c>
      <c r="Q328" s="63">
        <f t="shared" si="135"/>
        <v>0</v>
      </c>
      <c r="R328" s="63">
        <f t="shared" si="136"/>
        <v>41742.612339004932</v>
      </c>
      <c r="S328" s="63">
        <f t="shared" si="136"/>
        <v>0</v>
      </c>
      <c r="T328" s="63">
        <f t="shared" si="136"/>
        <v>71384.160747287926</v>
      </c>
      <c r="U328" s="63">
        <f t="shared" si="136"/>
        <v>113598.7309294092</v>
      </c>
      <c r="V328" s="63">
        <f t="shared" si="136"/>
        <v>19623.774052212906</v>
      </c>
      <c r="W328" s="63">
        <f t="shared" si="136"/>
        <v>29821.38726585851</v>
      </c>
      <c r="X328" s="63">
        <f t="shared" si="136"/>
        <v>27125.976350419711</v>
      </c>
      <c r="Y328" s="63">
        <f t="shared" si="136"/>
        <v>18970.615417604258</v>
      </c>
      <c r="Z328" s="63">
        <f t="shared" si="136"/>
        <v>9421.1623222102353</v>
      </c>
      <c r="AA328" s="63">
        <f t="shared" si="136"/>
        <v>10928.28514250763</v>
      </c>
      <c r="AB328" s="63">
        <f t="shared" si="136"/>
        <v>29944.30861026383</v>
      </c>
      <c r="AC328" s="63">
        <f t="shared" si="136"/>
        <v>0</v>
      </c>
      <c r="AD328" s="63">
        <f t="shared" si="136"/>
        <v>0</v>
      </c>
      <c r="AE328" s="63">
        <f t="shared" si="136"/>
        <v>0</v>
      </c>
      <c r="AF328" s="63">
        <f t="shared" si="137"/>
        <v>1123824.78</v>
      </c>
      <c r="AG328" s="58" t="str">
        <f t="shared" si="138"/>
        <v>ok</v>
      </c>
    </row>
    <row r="329" spans="1:33">
      <c r="A329" s="60">
        <v>935</v>
      </c>
      <c r="B329" s="60" t="s">
        <v>1064</v>
      </c>
      <c r="C329" s="44" t="s">
        <v>282</v>
      </c>
      <c r="D329" s="44" t="s">
        <v>958</v>
      </c>
      <c r="F329" s="79">
        <v>617458.73851252708</v>
      </c>
      <c r="H329" s="63">
        <f t="shared" si="135"/>
        <v>119070.16559826744</v>
      </c>
      <c r="I329" s="63">
        <f t="shared" si="135"/>
        <v>124733.53492966853</v>
      </c>
      <c r="J329" s="63">
        <f t="shared" si="135"/>
        <v>102530.54510813385</v>
      </c>
      <c r="K329" s="63">
        <f t="shared" si="135"/>
        <v>0</v>
      </c>
      <c r="L329" s="63">
        <f t="shared" si="135"/>
        <v>0</v>
      </c>
      <c r="M329" s="63">
        <f t="shared" si="135"/>
        <v>0</v>
      </c>
      <c r="N329" s="63">
        <f t="shared" si="135"/>
        <v>66429.724342270798</v>
      </c>
      <c r="O329" s="63">
        <f t="shared" si="135"/>
        <v>0</v>
      </c>
      <c r="P329" s="63">
        <f t="shared" si="135"/>
        <v>0</v>
      </c>
      <c r="Q329" s="63">
        <f t="shared" si="135"/>
        <v>0</v>
      </c>
      <c r="R329" s="63">
        <f t="shared" si="136"/>
        <v>22934.483396121086</v>
      </c>
      <c r="S329" s="63">
        <f t="shared" si="136"/>
        <v>0</v>
      </c>
      <c r="T329" s="63">
        <f t="shared" si="136"/>
        <v>39220.325649694118</v>
      </c>
      <c r="U329" s="63">
        <f t="shared" si="136"/>
        <v>62414.115033392474</v>
      </c>
      <c r="V329" s="63">
        <f t="shared" si="136"/>
        <v>10781.814911693122</v>
      </c>
      <c r="W329" s="63">
        <f t="shared" si="136"/>
        <v>16384.650427329547</v>
      </c>
      <c r="X329" s="63">
        <f t="shared" si="136"/>
        <v>14903.721146147711</v>
      </c>
      <c r="Y329" s="63">
        <f t="shared" si="136"/>
        <v>10422.952468231055</v>
      </c>
      <c r="Z329" s="63">
        <f t="shared" si="136"/>
        <v>5176.233080386145</v>
      </c>
      <c r="AA329" s="63">
        <f t="shared" si="136"/>
        <v>6004.2857910625116</v>
      </c>
      <c r="AB329" s="63">
        <f t="shared" si="136"/>
        <v>16452.186630128683</v>
      </c>
      <c r="AC329" s="63">
        <f t="shared" si="136"/>
        <v>0</v>
      </c>
      <c r="AD329" s="63">
        <f t="shared" si="136"/>
        <v>0</v>
      </c>
      <c r="AE329" s="63">
        <f t="shared" si="136"/>
        <v>0</v>
      </c>
      <c r="AF329" s="63"/>
      <c r="AG329" s="58"/>
    </row>
    <row r="330" spans="1:33">
      <c r="A330" s="60"/>
      <c r="B330" s="60"/>
      <c r="F330" s="79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58"/>
    </row>
    <row r="331" spans="1:33">
      <c r="A331" s="60" t="s">
        <v>1065</v>
      </c>
      <c r="B331" s="60"/>
      <c r="C331" s="44" t="s">
        <v>1066</v>
      </c>
      <c r="F331" s="76">
        <f t="shared" ref="F331:M331" si="139">SUM(F317:F330)</f>
        <v>88069224.642714441</v>
      </c>
      <c r="G331" s="62">
        <f t="shared" si="139"/>
        <v>0</v>
      </c>
      <c r="H331" s="62">
        <f t="shared" si="139"/>
        <v>10841440.474255389</v>
      </c>
      <c r="I331" s="62">
        <f t="shared" si="139"/>
        <v>11357095.098414253</v>
      </c>
      <c r="J331" s="62">
        <f t="shared" si="139"/>
        <v>9335493.8745374903</v>
      </c>
      <c r="K331" s="62">
        <f t="shared" si="139"/>
        <v>20297163.359888032</v>
      </c>
      <c r="L331" s="62">
        <f t="shared" si="139"/>
        <v>0</v>
      </c>
      <c r="M331" s="62">
        <f t="shared" si="139"/>
        <v>0</v>
      </c>
      <c r="N331" s="62">
        <f>SUM(N317:N330)</f>
        <v>5642183.5518545788</v>
      </c>
      <c r="O331" s="62">
        <f>SUM(O317:O330)</f>
        <v>0</v>
      </c>
      <c r="P331" s="62">
        <f>SUM(P317:P330)</f>
        <v>0</v>
      </c>
      <c r="Q331" s="62">
        <f t="shared" ref="Q331:AB331" si="140">SUM(Q317:Q330)</f>
        <v>0</v>
      </c>
      <c r="R331" s="62">
        <f t="shared" si="140"/>
        <v>3302587.1332938303</v>
      </c>
      <c r="S331" s="62">
        <f t="shared" si="140"/>
        <v>0</v>
      </c>
      <c r="T331" s="62">
        <f t="shared" si="140"/>
        <v>3343436.7637338173</v>
      </c>
      <c r="U331" s="62">
        <f t="shared" si="140"/>
        <v>5090404.1670269342</v>
      </c>
      <c r="V331" s="62">
        <f t="shared" si="140"/>
        <v>1068693.8364661904</v>
      </c>
      <c r="W331" s="62">
        <f t="shared" si="140"/>
        <v>1582585.1383565369</v>
      </c>
      <c r="X331" s="62">
        <f t="shared" si="140"/>
        <v>447290.00216728932</v>
      </c>
      <c r="Y331" s="62">
        <f t="shared" si="140"/>
        <v>312813.3159757668</v>
      </c>
      <c r="Z331" s="62">
        <f t="shared" si="140"/>
        <v>130960.79493245554</v>
      </c>
      <c r="AA331" s="62">
        <f t="shared" si="140"/>
        <v>6487224.1135576386</v>
      </c>
      <c r="AB331" s="62">
        <f t="shared" si="140"/>
        <v>426687.84379261173</v>
      </c>
      <c r="AC331" s="62">
        <f>SUM(AC317:AC330)</f>
        <v>6593101.3344630199</v>
      </c>
      <c r="AD331" s="62">
        <f>SUM(AD317:AD330)</f>
        <v>1810063.8399986033</v>
      </c>
      <c r="AE331" s="62">
        <f>SUM(AE317:AE330)</f>
        <v>0</v>
      </c>
      <c r="AF331" s="63">
        <f>SUM(H331:AE331)</f>
        <v>88069224.642714441</v>
      </c>
      <c r="AG331" s="58" t="str">
        <f>IF(ABS(AF331-F331)&lt;1,"ok","err")</f>
        <v>ok</v>
      </c>
    </row>
    <row r="332" spans="1:33">
      <c r="A332" s="60"/>
      <c r="B332" s="60"/>
      <c r="F332" s="79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58"/>
    </row>
    <row r="333" spans="1:33">
      <c r="A333" s="60" t="s">
        <v>1067</v>
      </c>
      <c r="B333" s="60"/>
      <c r="C333" s="44" t="s">
        <v>1068</v>
      </c>
      <c r="F333" s="76">
        <f>F279+F291+F306+F331</f>
        <v>685621902.81823492</v>
      </c>
      <c r="G333" s="62"/>
      <c r="H333" s="62">
        <f t="shared" ref="H333:M333" si="141">H279+H291+H306+H331</f>
        <v>33223399.69324439</v>
      </c>
      <c r="I333" s="62">
        <f t="shared" si="141"/>
        <v>34803614.031254336</v>
      </c>
      <c r="J333" s="62">
        <f t="shared" si="141"/>
        <v>28608453.375186369</v>
      </c>
      <c r="K333" s="62">
        <f t="shared" si="141"/>
        <v>465540988.35893065</v>
      </c>
      <c r="L333" s="62">
        <f t="shared" si="141"/>
        <v>0</v>
      </c>
      <c r="M333" s="62">
        <f t="shared" si="141"/>
        <v>0</v>
      </c>
      <c r="N333" s="62">
        <f>N279+N291+N306+N331</f>
        <v>22151694.551854581</v>
      </c>
      <c r="O333" s="62">
        <f>O279+O291+O306+O331</f>
        <v>0</v>
      </c>
      <c r="P333" s="62">
        <f>P279+P291+P306+P331</f>
        <v>0</v>
      </c>
      <c r="Q333" s="62">
        <f t="shared" ref="Q333:AB333" si="142">Q279+Q291+Q306+Q331</f>
        <v>0</v>
      </c>
      <c r="R333" s="62">
        <f t="shared" si="142"/>
        <v>8189264.474252278</v>
      </c>
      <c r="S333" s="62">
        <f t="shared" si="142"/>
        <v>0</v>
      </c>
      <c r="T333" s="62">
        <f t="shared" si="142"/>
        <v>14230157.677818516</v>
      </c>
      <c r="U333" s="62">
        <f t="shared" si="142"/>
        <v>21300716.352424528</v>
      </c>
      <c r="V333" s="62">
        <f t="shared" si="142"/>
        <v>4785490.0157958288</v>
      </c>
      <c r="W333" s="62">
        <f t="shared" si="142"/>
        <v>7030140.6081471965</v>
      </c>
      <c r="X333" s="62">
        <f t="shared" si="142"/>
        <v>1119996.1920663603</v>
      </c>
      <c r="Y333" s="62">
        <f t="shared" si="142"/>
        <v>783271.9734913212</v>
      </c>
      <c r="Z333" s="62">
        <f t="shared" si="142"/>
        <v>295808.63373702235</v>
      </c>
      <c r="AA333" s="62">
        <f t="shared" si="142"/>
        <v>17171208.623644177</v>
      </c>
      <c r="AB333" s="62">
        <f t="shared" si="142"/>
        <v>1306144.5579258415</v>
      </c>
      <c r="AC333" s="62">
        <f>AC279+AC291+AC306+AC331</f>
        <v>20585101.39846275</v>
      </c>
      <c r="AD333" s="62">
        <f>AD279+AD291+AD306+AD331</f>
        <v>4496452.299998587</v>
      </c>
      <c r="AE333" s="62">
        <f>AE279+AE291+AE306+AE331</f>
        <v>0</v>
      </c>
      <c r="AF333" s="63">
        <f>SUM(H333:AE333)</f>
        <v>685621902.81823468</v>
      </c>
      <c r="AG333" s="58" t="str">
        <f>IF(ABS(AF333-F333)&lt;1,"ok","err")</f>
        <v>ok</v>
      </c>
    </row>
    <row r="334" spans="1:33">
      <c r="A334" s="60"/>
      <c r="B334" s="60"/>
      <c r="F334" s="79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58"/>
    </row>
    <row r="335" spans="1:33">
      <c r="A335" s="60" t="s">
        <v>19</v>
      </c>
      <c r="B335" s="60"/>
      <c r="C335" s="44" t="s">
        <v>977</v>
      </c>
      <c r="F335" s="80">
        <f>F333-F213-F214-F215-F216</f>
        <v>631684225.19623494</v>
      </c>
      <c r="G335" s="64">
        <f>G333-G213</f>
        <v>0</v>
      </c>
      <c r="H335" s="64">
        <f t="shared" ref="H335:M335" si="143">H333-H213-H214-H215-H216</f>
        <v>27648046.881705813</v>
      </c>
      <c r="I335" s="64">
        <f t="shared" si="143"/>
        <v>28963079.072987746</v>
      </c>
      <c r="J335" s="64">
        <f t="shared" si="143"/>
        <v>23807553.333895631</v>
      </c>
      <c r="K335" s="64">
        <f t="shared" si="143"/>
        <v>427820098.54802656</v>
      </c>
      <c r="L335" s="64">
        <f t="shared" si="143"/>
        <v>0</v>
      </c>
      <c r="M335" s="64">
        <f t="shared" si="143"/>
        <v>0</v>
      </c>
      <c r="N335" s="64">
        <f>N333-N213-N214-N215-N216</f>
        <v>22151694.551854581</v>
      </c>
      <c r="O335" s="64">
        <f>O333-O213-O214-O215-O216</f>
        <v>0</v>
      </c>
      <c r="P335" s="64">
        <f>P333-P213-P214-P215-P216</f>
        <v>0</v>
      </c>
      <c r="Q335" s="64">
        <f t="shared" ref="Q335:AB335" si="144">Q333-Q213-Q214-Q215-Q216</f>
        <v>0</v>
      </c>
      <c r="R335" s="64">
        <f t="shared" si="144"/>
        <v>8189264.474252278</v>
      </c>
      <c r="S335" s="64">
        <f t="shared" si="144"/>
        <v>0</v>
      </c>
      <c r="T335" s="64">
        <f t="shared" si="144"/>
        <v>14230157.677818516</v>
      </c>
      <c r="U335" s="64">
        <f t="shared" si="144"/>
        <v>21300716.352424528</v>
      </c>
      <c r="V335" s="64">
        <f t="shared" si="144"/>
        <v>4785490.0157958288</v>
      </c>
      <c r="W335" s="64">
        <f t="shared" si="144"/>
        <v>7030140.6081471965</v>
      </c>
      <c r="X335" s="64">
        <f t="shared" si="144"/>
        <v>1119996.1920663603</v>
      </c>
      <c r="Y335" s="64">
        <f t="shared" si="144"/>
        <v>783271.9734913212</v>
      </c>
      <c r="Z335" s="64">
        <f t="shared" si="144"/>
        <v>295808.63373702235</v>
      </c>
      <c r="AA335" s="64">
        <f t="shared" si="144"/>
        <v>17171208.623644177</v>
      </c>
      <c r="AB335" s="64">
        <f t="shared" si="144"/>
        <v>1306144.5579258415</v>
      </c>
      <c r="AC335" s="64">
        <f>AC333-AC213-AC214-AC215-AC216</f>
        <v>20585101.39846275</v>
      </c>
      <c r="AD335" s="64">
        <f>AD333-AD213-AD214-AD215-AD216</f>
        <v>4496452.299998587</v>
      </c>
      <c r="AE335" s="64">
        <f>AE333-AE213-AE214-AE215-AE216</f>
        <v>0</v>
      </c>
      <c r="AF335" s="63">
        <f>SUM(H335:AE335)</f>
        <v>631684225.19623458</v>
      </c>
      <c r="AG335" s="58" t="str">
        <f>IF(ABS(AF335-F335)&lt;1,"ok","err")</f>
        <v>ok</v>
      </c>
    </row>
    <row r="336" spans="1:33">
      <c r="A336" s="60"/>
      <c r="B336" s="60"/>
      <c r="W336" s="44"/>
      <c r="AG336" s="58"/>
    </row>
    <row r="337" spans="1:33">
      <c r="A337" s="60"/>
      <c r="B337" s="60"/>
      <c r="W337" s="44"/>
      <c r="AA337" s="64">
        <f>R335+T335+U335+V335+W335+X335+Y335+Z335+AA335</f>
        <v>74906054.551377222</v>
      </c>
      <c r="AG337" s="58"/>
    </row>
    <row r="338" spans="1:33">
      <c r="A338" s="60"/>
      <c r="B338" s="60"/>
      <c r="W338" s="44"/>
      <c r="AG338" s="58"/>
    </row>
    <row r="339" spans="1:33">
      <c r="A339" s="60"/>
      <c r="B339" s="60"/>
      <c r="H339" s="64"/>
      <c r="W339" s="44"/>
      <c r="AG339" s="58"/>
    </row>
    <row r="340" spans="1:33">
      <c r="A340" s="60"/>
      <c r="B340" s="60"/>
      <c r="W340" s="44"/>
      <c r="AG340" s="58"/>
    </row>
    <row r="341" spans="1:33">
      <c r="A341" s="60"/>
      <c r="B341" s="60"/>
      <c r="W341" s="44"/>
      <c r="AG341" s="58"/>
    </row>
    <row r="342" spans="1:33">
      <c r="A342" s="60"/>
      <c r="B342" s="60"/>
      <c r="W342" s="44"/>
      <c r="AG342" s="58"/>
    </row>
    <row r="343" spans="1:33">
      <c r="A343" s="60"/>
      <c r="B343" s="60"/>
      <c r="W343" s="44"/>
      <c r="AG343" s="58"/>
    </row>
    <row r="344" spans="1:33">
      <c r="A344" s="60"/>
      <c r="B344" s="60"/>
      <c r="W344" s="44"/>
      <c r="AG344" s="58"/>
    </row>
    <row r="345" spans="1:33">
      <c r="A345" s="60"/>
      <c r="B345" s="60"/>
      <c r="W345" s="44"/>
      <c r="AG345" s="58"/>
    </row>
    <row r="346" spans="1:33">
      <c r="A346" s="60"/>
      <c r="B346" s="60"/>
      <c r="W346" s="44"/>
      <c r="AG346" s="58"/>
    </row>
    <row r="347" spans="1:33">
      <c r="A347" s="60"/>
      <c r="B347" s="60"/>
      <c r="W347" s="44"/>
      <c r="AG347" s="58"/>
    </row>
    <row r="348" spans="1:33">
      <c r="A348" s="60"/>
      <c r="B348" s="60"/>
      <c r="W348" s="44"/>
      <c r="AG348" s="58"/>
    </row>
    <row r="349" spans="1:33">
      <c r="A349" s="60"/>
      <c r="B349" s="60"/>
      <c r="AG349" s="58"/>
    </row>
    <row r="350" spans="1:33">
      <c r="A350" s="60"/>
      <c r="B350" s="60"/>
      <c r="AG350" s="58"/>
    </row>
    <row r="351" spans="1:33">
      <c r="A351" s="60"/>
      <c r="B351" s="60"/>
      <c r="AG351" s="58"/>
    </row>
    <row r="352" spans="1:33">
      <c r="A352" s="60"/>
      <c r="B352" s="60"/>
      <c r="AG352" s="58"/>
    </row>
    <row r="353" spans="1:33">
      <c r="A353" s="60"/>
      <c r="B353" s="60"/>
      <c r="AG353" s="58"/>
    </row>
    <row r="354" spans="1:33">
      <c r="A354" s="60"/>
      <c r="B354" s="60"/>
      <c r="AG354" s="58"/>
    </row>
    <row r="355" spans="1:33">
      <c r="A355" s="60"/>
      <c r="B355" s="60"/>
      <c r="AG355" s="58"/>
    </row>
    <row r="356" spans="1:33">
      <c r="A356" s="60"/>
      <c r="B356" s="60"/>
      <c r="AG356" s="58"/>
    </row>
    <row r="357" spans="1:33">
      <c r="A357" s="60"/>
      <c r="B357" s="60"/>
      <c r="AG357" s="58"/>
    </row>
    <row r="358" spans="1:33">
      <c r="A358" s="60"/>
      <c r="B358" s="60"/>
      <c r="AG358" s="58"/>
    </row>
    <row r="359" spans="1:33">
      <c r="A359" s="60"/>
      <c r="B359" s="60"/>
      <c r="AG359" s="58"/>
    </row>
    <row r="360" spans="1:33">
      <c r="A360" s="60"/>
      <c r="B360" s="60"/>
      <c r="AG360" s="58"/>
    </row>
    <row r="361" spans="1:33" ht="15">
      <c r="A361" s="59" t="s">
        <v>1069</v>
      </c>
      <c r="B361" s="60"/>
      <c r="W361" s="44"/>
      <c r="AG361" s="58"/>
    </row>
    <row r="362" spans="1:33" ht="15">
      <c r="A362" s="59"/>
      <c r="B362" s="60"/>
      <c r="W362" s="44"/>
      <c r="AG362" s="58"/>
    </row>
    <row r="363" spans="1:33" ht="15">
      <c r="A363" s="65" t="s">
        <v>217</v>
      </c>
      <c r="B363" s="60"/>
      <c r="W363" s="44"/>
      <c r="AG363" s="58"/>
    </row>
    <row r="364" spans="1:33">
      <c r="A364" s="60">
        <v>500</v>
      </c>
      <c r="B364" s="60" t="s">
        <v>209</v>
      </c>
      <c r="C364" s="44" t="s">
        <v>283</v>
      </c>
      <c r="D364" s="44" t="s">
        <v>643</v>
      </c>
      <c r="F364" s="76">
        <v>3138068</v>
      </c>
      <c r="H364" s="63">
        <f t="shared" ref="H364:Q370" si="145">IF(VLOOKUP($D364,$C$6:$AE$653,H$2,)=0,0,((VLOOKUP($D364,$C$6:$AE$653,H$2,)/VLOOKUP($D364,$C$6:$AE$653,4,))*$F364))</f>
        <v>912471.84662882134</v>
      </c>
      <c r="I364" s="63">
        <f t="shared" si="145"/>
        <v>955872.01363119064</v>
      </c>
      <c r="J364" s="63">
        <f t="shared" si="145"/>
        <v>785723.57198468409</v>
      </c>
      <c r="K364" s="63">
        <f t="shared" si="145"/>
        <v>484000.56775530416</v>
      </c>
      <c r="L364" s="63">
        <f t="shared" si="145"/>
        <v>0</v>
      </c>
      <c r="M364" s="63">
        <f t="shared" si="145"/>
        <v>0</v>
      </c>
      <c r="N364" s="63">
        <f t="shared" si="145"/>
        <v>0</v>
      </c>
      <c r="O364" s="63">
        <f t="shared" si="145"/>
        <v>0</v>
      </c>
      <c r="P364" s="63">
        <f t="shared" si="145"/>
        <v>0</v>
      </c>
      <c r="Q364" s="63">
        <f t="shared" si="145"/>
        <v>0</v>
      </c>
      <c r="R364" s="63">
        <f t="shared" ref="R364:AE370" si="146">IF(VLOOKUP($D364,$C$6:$AE$653,R$2,)=0,0,((VLOOKUP($D364,$C$6:$AE$653,R$2,)/VLOOKUP($D364,$C$6:$AE$653,4,))*$F364))</f>
        <v>0</v>
      </c>
      <c r="S364" s="63">
        <f t="shared" si="146"/>
        <v>0</v>
      </c>
      <c r="T364" s="63">
        <f t="shared" si="146"/>
        <v>0</v>
      </c>
      <c r="U364" s="63">
        <f t="shared" si="146"/>
        <v>0</v>
      </c>
      <c r="V364" s="63">
        <f t="shared" si="146"/>
        <v>0</v>
      </c>
      <c r="W364" s="63">
        <f t="shared" si="146"/>
        <v>0</v>
      </c>
      <c r="X364" s="63">
        <f t="shared" si="146"/>
        <v>0</v>
      </c>
      <c r="Y364" s="63">
        <f t="shared" si="146"/>
        <v>0</v>
      </c>
      <c r="Z364" s="63">
        <f t="shared" si="146"/>
        <v>0</v>
      </c>
      <c r="AA364" s="63">
        <f t="shared" si="146"/>
        <v>0</v>
      </c>
      <c r="AB364" s="63">
        <f t="shared" si="146"/>
        <v>0</v>
      </c>
      <c r="AC364" s="63">
        <f t="shared" si="146"/>
        <v>0</v>
      </c>
      <c r="AD364" s="63">
        <f t="shared" si="146"/>
        <v>0</v>
      </c>
      <c r="AE364" s="63">
        <f t="shared" si="146"/>
        <v>0</v>
      </c>
      <c r="AF364" s="63">
        <f t="shared" ref="AF364:AF383" si="147">SUM(H364:AE364)</f>
        <v>3138068.0000000005</v>
      </c>
      <c r="AG364" s="58" t="str">
        <f t="shared" ref="AG364:AG370" si="148">IF(ABS(AF364-F364)&lt;1,"ok","err")</f>
        <v>ok</v>
      </c>
    </row>
    <row r="365" spans="1:33">
      <c r="A365" s="275">
        <v>501</v>
      </c>
      <c r="B365" s="60" t="s">
        <v>211</v>
      </c>
      <c r="C365" s="44" t="s">
        <v>284</v>
      </c>
      <c r="D365" s="44" t="s">
        <v>930</v>
      </c>
      <c r="F365" s="79">
        <v>2187724</v>
      </c>
      <c r="H365" s="63">
        <f t="shared" si="145"/>
        <v>0</v>
      </c>
      <c r="I365" s="63">
        <f t="shared" si="145"/>
        <v>0</v>
      </c>
      <c r="J365" s="63">
        <f t="shared" si="145"/>
        <v>0</v>
      </c>
      <c r="K365" s="63">
        <f t="shared" si="145"/>
        <v>2187724</v>
      </c>
      <c r="L365" s="63">
        <f t="shared" si="145"/>
        <v>0</v>
      </c>
      <c r="M365" s="63">
        <f t="shared" si="145"/>
        <v>0</v>
      </c>
      <c r="N365" s="63">
        <f t="shared" si="145"/>
        <v>0</v>
      </c>
      <c r="O365" s="63">
        <f t="shared" si="145"/>
        <v>0</v>
      </c>
      <c r="P365" s="63">
        <f t="shared" si="145"/>
        <v>0</v>
      </c>
      <c r="Q365" s="63">
        <f t="shared" si="145"/>
        <v>0</v>
      </c>
      <c r="R365" s="63">
        <f t="shared" si="146"/>
        <v>0</v>
      </c>
      <c r="S365" s="63">
        <f t="shared" si="146"/>
        <v>0</v>
      </c>
      <c r="T365" s="63">
        <f t="shared" si="146"/>
        <v>0</v>
      </c>
      <c r="U365" s="63">
        <f t="shared" si="146"/>
        <v>0</v>
      </c>
      <c r="V365" s="63">
        <f t="shared" si="146"/>
        <v>0</v>
      </c>
      <c r="W365" s="63">
        <f t="shared" si="146"/>
        <v>0</v>
      </c>
      <c r="X365" s="63">
        <f t="shared" si="146"/>
        <v>0</v>
      </c>
      <c r="Y365" s="63">
        <f t="shared" si="146"/>
        <v>0</v>
      </c>
      <c r="Z365" s="63">
        <f t="shared" si="146"/>
        <v>0</v>
      </c>
      <c r="AA365" s="63">
        <f t="shared" si="146"/>
        <v>0</v>
      </c>
      <c r="AB365" s="63">
        <f t="shared" si="146"/>
        <v>0</v>
      </c>
      <c r="AC365" s="63">
        <f t="shared" si="146"/>
        <v>0</v>
      </c>
      <c r="AD365" s="63">
        <f t="shared" si="146"/>
        <v>0</v>
      </c>
      <c r="AE365" s="63">
        <f t="shared" si="146"/>
        <v>0</v>
      </c>
      <c r="AF365" s="63">
        <f t="shared" si="147"/>
        <v>2187724</v>
      </c>
      <c r="AG365" s="58" t="str">
        <f t="shared" si="148"/>
        <v>ok</v>
      </c>
    </row>
    <row r="366" spans="1:33">
      <c r="A366" s="60">
        <v>502</v>
      </c>
      <c r="B366" s="60" t="s">
        <v>213</v>
      </c>
      <c r="C366" s="44" t="s">
        <v>285</v>
      </c>
      <c r="D366" s="44" t="s">
        <v>646</v>
      </c>
      <c r="F366" s="79">
        <v>8374877</v>
      </c>
      <c r="H366" s="63">
        <f t="shared" si="145"/>
        <v>2879293.6413887963</v>
      </c>
      <c r="I366" s="63">
        <f t="shared" si="145"/>
        <v>3016242.3322956031</v>
      </c>
      <c r="J366" s="63">
        <f t="shared" si="145"/>
        <v>2479341.0263156006</v>
      </c>
      <c r="K366" s="63">
        <f t="shared" si="145"/>
        <v>0</v>
      </c>
      <c r="L366" s="63">
        <f t="shared" si="145"/>
        <v>0</v>
      </c>
      <c r="M366" s="63">
        <f t="shared" si="145"/>
        <v>0</v>
      </c>
      <c r="N366" s="63">
        <f t="shared" si="145"/>
        <v>0</v>
      </c>
      <c r="O366" s="63">
        <f t="shared" si="145"/>
        <v>0</v>
      </c>
      <c r="P366" s="63">
        <f t="shared" si="145"/>
        <v>0</v>
      </c>
      <c r="Q366" s="63">
        <f t="shared" si="145"/>
        <v>0</v>
      </c>
      <c r="R366" s="63">
        <f t="shared" si="146"/>
        <v>0</v>
      </c>
      <c r="S366" s="63">
        <f t="shared" si="146"/>
        <v>0</v>
      </c>
      <c r="T366" s="63">
        <f t="shared" si="146"/>
        <v>0</v>
      </c>
      <c r="U366" s="63">
        <f t="shared" si="146"/>
        <v>0</v>
      </c>
      <c r="V366" s="63">
        <f t="shared" si="146"/>
        <v>0</v>
      </c>
      <c r="W366" s="63">
        <f t="shared" si="146"/>
        <v>0</v>
      </c>
      <c r="X366" s="63">
        <f t="shared" si="146"/>
        <v>0</v>
      </c>
      <c r="Y366" s="63">
        <f t="shared" si="146"/>
        <v>0</v>
      </c>
      <c r="Z366" s="63">
        <f t="shared" si="146"/>
        <v>0</v>
      </c>
      <c r="AA366" s="63">
        <f t="shared" si="146"/>
        <v>0</v>
      </c>
      <c r="AB366" s="63">
        <f t="shared" si="146"/>
        <v>0</v>
      </c>
      <c r="AC366" s="63">
        <f t="shared" si="146"/>
        <v>0</v>
      </c>
      <c r="AD366" s="63">
        <f t="shared" si="146"/>
        <v>0</v>
      </c>
      <c r="AE366" s="63">
        <f t="shared" si="146"/>
        <v>0</v>
      </c>
      <c r="AF366" s="63">
        <f t="shared" si="147"/>
        <v>8374877</v>
      </c>
      <c r="AG366" s="58" t="str">
        <f t="shared" si="148"/>
        <v>ok</v>
      </c>
    </row>
    <row r="367" spans="1:33">
      <c r="A367" s="60">
        <v>504</v>
      </c>
      <c r="B367" s="60" t="s">
        <v>1290</v>
      </c>
      <c r="C367" s="44" t="s">
        <v>1289</v>
      </c>
      <c r="D367" s="44" t="s">
        <v>646</v>
      </c>
      <c r="F367" s="79">
        <v>0</v>
      </c>
      <c r="H367" s="63">
        <f t="shared" si="145"/>
        <v>0</v>
      </c>
      <c r="I367" s="63">
        <f t="shared" si="145"/>
        <v>0</v>
      </c>
      <c r="J367" s="63">
        <f t="shared" si="145"/>
        <v>0</v>
      </c>
      <c r="K367" s="63">
        <f t="shared" si="145"/>
        <v>0</v>
      </c>
      <c r="L367" s="63">
        <f t="shared" si="145"/>
        <v>0</v>
      </c>
      <c r="M367" s="63">
        <f t="shared" si="145"/>
        <v>0</v>
      </c>
      <c r="N367" s="63">
        <f t="shared" si="145"/>
        <v>0</v>
      </c>
      <c r="O367" s="63">
        <f t="shared" si="145"/>
        <v>0</v>
      </c>
      <c r="P367" s="63">
        <f t="shared" si="145"/>
        <v>0</v>
      </c>
      <c r="Q367" s="63">
        <f t="shared" si="145"/>
        <v>0</v>
      </c>
      <c r="R367" s="63">
        <f t="shared" si="146"/>
        <v>0</v>
      </c>
      <c r="S367" s="63">
        <f t="shared" si="146"/>
        <v>0</v>
      </c>
      <c r="T367" s="63">
        <f t="shared" si="146"/>
        <v>0</v>
      </c>
      <c r="U367" s="63">
        <f t="shared" si="146"/>
        <v>0</v>
      </c>
      <c r="V367" s="63">
        <f t="shared" si="146"/>
        <v>0</v>
      </c>
      <c r="W367" s="63">
        <f t="shared" si="146"/>
        <v>0</v>
      </c>
      <c r="X367" s="63">
        <f t="shared" si="146"/>
        <v>0</v>
      </c>
      <c r="Y367" s="63">
        <f t="shared" si="146"/>
        <v>0</v>
      </c>
      <c r="Z367" s="63">
        <f t="shared" si="146"/>
        <v>0</v>
      </c>
      <c r="AA367" s="63">
        <f t="shared" si="146"/>
        <v>0</v>
      </c>
      <c r="AB367" s="63">
        <f t="shared" si="146"/>
        <v>0</v>
      </c>
      <c r="AC367" s="63">
        <f t="shared" si="146"/>
        <v>0</v>
      </c>
      <c r="AD367" s="63">
        <f t="shared" si="146"/>
        <v>0</v>
      </c>
      <c r="AE367" s="63">
        <f t="shared" si="146"/>
        <v>0</v>
      </c>
      <c r="AF367" s="63">
        <f>SUM(H367:AE367)</f>
        <v>0</v>
      </c>
      <c r="AG367" s="58" t="str">
        <f>IF(ABS(AF367-F367)&lt;1,"ok","err")</f>
        <v>ok</v>
      </c>
    </row>
    <row r="368" spans="1:33">
      <c r="A368" s="60">
        <v>505</v>
      </c>
      <c r="B368" s="60" t="s">
        <v>215</v>
      </c>
      <c r="C368" s="44" t="s">
        <v>286</v>
      </c>
      <c r="D368" s="44" t="s">
        <v>646</v>
      </c>
      <c r="F368" s="79">
        <v>2130001</v>
      </c>
      <c r="H368" s="63">
        <f t="shared" si="145"/>
        <v>732297.12334303872</v>
      </c>
      <c r="I368" s="63">
        <f t="shared" si="145"/>
        <v>767127.58695225813</v>
      </c>
      <c r="J368" s="63">
        <f t="shared" si="145"/>
        <v>630576.28970470314</v>
      </c>
      <c r="K368" s="63">
        <f t="shared" si="145"/>
        <v>0</v>
      </c>
      <c r="L368" s="63">
        <f t="shared" si="145"/>
        <v>0</v>
      </c>
      <c r="M368" s="63">
        <f t="shared" si="145"/>
        <v>0</v>
      </c>
      <c r="N368" s="63">
        <f t="shared" si="145"/>
        <v>0</v>
      </c>
      <c r="O368" s="63">
        <f t="shared" si="145"/>
        <v>0</v>
      </c>
      <c r="P368" s="63">
        <f t="shared" si="145"/>
        <v>0</v>
      </c>
      <c r="Q368" s="63">
        <f t="shared" si="145"/>
        <v>0</v>
      </c>
      <c r="R368" s="63">
        <f t="shared" si="146"/>
        <v>0</v>
      </c>
      <c r="S368" s="63">
        <f t="shared" si="146"/>
        <v>0</v>
      </c>
      <c r="T368" s="63">
        <f t="shared" si="146"/>
        <v>0</v>
      </c>
      <c r="U368" s="63">
        <f t="shared" si="146"/>
        <v>0</v>
      </c>
      <c r="V368" s="63">
        <f t="shared" si="146"/>
        <v>0</v>
      </c>
      <c r="W368" s="63">
        <f t="shared" si="146"/>
        <v>0</v>
      </c>
      <c r="X368" s="63">
        <f t="shared" si="146"/>
        <v>0</v>
      </c>
      <c r="Y368" s="63">
        <f t="shared" si="146"/>
        <v>0</v>
      </c>
      <c r="Z368" s="63">
        <f t="shared" si="146"/>
        <v>0</v>
      </c>
      <c r="AA368" s="63">
        <f t="shared" si="146"/>
        <v>0</v>
      </c>
      <c r="AB368" s="63">
        <f t="shared" si="146"/>
        <v>0</v>
      </c>
      <c r="AC368" s="63">
        <f t="shared" si="146"/>
        <v>0</v>
      </c>
      <c r="AD368" s="63">
        <f t="shared" si="146"/>
        <v>0</v>
      </c>
      <c r="AE368" s="63">
        <f t="shared" si="146"/>
        <v>0</v>
      </c>
      <c r="AF368" s="63">
        <f t="shared" si="147"/>
        <v>2130001</v>
      </c>
      <c r="AG368" s="58" t="str">
        <f t="shared" si="148"/>
        <v>ok</v>
      </c>
    </row>
    <row r="369" spans="1:33">
      <c r="A369" s="60">
        <v>506</v>
      </c>
      <c r="B369" s="60" t="s">
        <v>218</v>
      </c>
      <c r="C369" s="44" t="s">
        <v>287</v>
      </c>
      <c r="D369" s="44" t="s">
        <v>646</v>
      </c>
      <c r="F369" s="79">
        <v>1491734</v>
      </c>
      <c r="H369" s="63">
        <f t="shared" si="145"/>
        <v>512860.09583704633</v>
      </c>
      <c r="I369" s="63">
        <f t="shared" si="145"/>
        <v>537253.41152170347</v>
      </c>
      <c r="J369" s="63">
        <f t="shared" si="145"/>
        <v>441620.49264125025</v>
      </c>
      <c r="K369" s="63">
        <f t="shared" si="145"/>
        <v>0</v>
      </c>
      <c r="L369" s="63">
        <f t="shared" si="145"/>
        <v>0</v>
      </c>
      <c r="M369" s="63">
        <f t="shared" si="145"/>
        <v>0</v>
      </c>
      <c r="N369" s="63">
        <f t="shared" si="145"/>
        <v>0</v>
      </c>
      <c r="O369" s="63">
        <f t="shared" si="145"/>
        <v>0</v>
      </c>
      <c r="P369" s="63">
        <f t="shared" si="145"/>
        <v>0</v>
      </c>
      <c r="Q369" s="63">
        <f t="shared" si="145"/>
        <v>0</v>
      </c>
      <c r="R369" s="63">
        <f t="shared" si="146"/>
        <v>0</v>
      </c>
      <c r="S369" s="63">
        <f t="shared" si="146"/>
        <v>0</v>
      </c>
      <c r="T369" s="63">
        <f t="shared" si="146"/>
        <v>0</v>
      </c>
      <c r="U369" s="63">
        <f t="shared" si="146"/>
        <v>0</v>
      </c>
      <c r="V369" s="63">
        <f t="shared" si="146"/>
        <v>0</v>
      </c>
      <c r="W369" s="63">
        <f t="shared" si="146"/>
        <v>0</v>
      </c>
      <c r="X369" s="63">
        <f t="shared" si="146"/>
        <v>0</v>
      </c>
      <c r="Y369" s="63">
        <f t="shared" si="146"/>
        <v>0</v>
      </c>
      <c r="Z369" s="63">
        <f t="shared" si="146"/>
        <v>0</v>
      </c>
      <c r="AA369" s="63">
        <f t="shared" si="146"/>
        <v>0</v>
      </c>
      <c r="AB369" s="63">
        <f t="shared" si="146"/>
        <v>0</v>
      </c>
      <c r="AC369" s="63">
        <f t="shared" si="146"/>
        <v>0</v>
      </c>
      <c r="AD369" s="63">
        <f t="shared" si="146"/>
        <v>0</v>
      </c>
      <c r="AE369" s="63">
        <f t="shared" si="146"/>
        <v>0</v>
      </c>
      <c r="AF369" s="63">
        <f t="shared" si="147"/>
        <v>1491734</v>
      </c>
      <c r="AG369" s="58" t="str">
        <f t="shared" si="148"/>
        <v>ok</v>
      </c>
    </row>
    <row r="370" spans="1:33">
      <c r="A370" s="60">
        <v>507</v>
      </c>
      <c r="B370" s="60" t="s">
        <v>1004</v>
      </c>
      <c r="C370" s="44" t="s">
        <v>358</v>
      </c>
      <c r="D370" s="44" t="s">
        <v>646</v>
      </c>
      <c r="F370" s="79"/>
      <c r="H370" s="63">
        <f t="shared" si="145"/>
        <v>0</v>
      </c>
      <c r="I370" s="63">
        <f t="shared" si="145"/>
        <v>0</v>
      </c>
      <c r="J370" s="63">
        <f t="shared" si="145"/>
        <v>0</v>
      </c>
      <c r="K370" s="63">
        <f t="shared" si="145"/>
        <v>0</v>
      </c>
      <c r="L370" s="63">
        <f t="shared" si="145"/>
        <v>0</v>
      </c>
      <c r="M370" s="63">
        <f t="shared" si="145"/>
        <v>0</v>
      </c>
      <c r="N370" s="63">
        <f t="shared" si="145"/>
        <v>0</v>
      </c>
      <c r="O370" s="63">
        <f t="shared" si="145"/>
        <v>0</v>
      </c>
      <c r="P370" s="63">
        <f t="shared" si="145"/>
        <v>0</v>
      </c>
      <c r="Q370" s="63">
        <f t="shared" si="145"/>
        <v>0</v>
      </c>
      <c r="R370" s="63">
        <f t="shared" si="146"/>
        <v>0</v>
      </c>
      <c r="S370" s="63">
        <f t="shared" si="146"/>
        <v>0</v>
      </c>
      <c r="T370" s="63">
        <f t="shared" si="146"/>
        <v>0</v>
      </c>
      <c r="U370" s="63">
        <f t="shared" si="146"/>
        <v>0</v>
      </c>
      <c r="V370" s="63">
        <f t="shared" si="146"/>
        <v>0</v>
      </c>
      <c r="W370" s="63">
        <f t="shared" si="146"/>
        <v>0</v>
      </c>
      <c r="X370" s="63">
        <f t="shared" si="146"/>
        <v>0</v>
      </c>
      <c r="Y370" s="63">
        <f t="shared" si="146"/>
        <v>0</v>
      </c>
      <c r="Z370" s="63">
        <f t="shared" si="146"/>
        <v>0</v>
      </c>
      <c r="AA370" s="63">
        <f t="shared" si="146"/>
        <v>0</v>
      </c>
      <c r="AB370" s="63">
        <f t="shared" si="146"/>
        <v>0</v>
      </c>
      <c r="AC370" s="63">
        <f t="shared" si="146"/>
        <v>0</v>
      </c>
      <c r="AD370" s="63">
        <f t="shared" si="146"/>
        <v>0</v>
      </c>
      <c r="AE370" s="63">
        <f t="shared" si="146"/>
        <v>0</v>
      </c>
      <c r="AF370" s="63">
        <f t="shared" si="147"/>
        <v>0</v>
      </c>
      <c r="AG370" s="58" t="str">
        <f t="shared" si="148"/>
        <v>ok</v>
      </c>
    </row>
    <row r="371" spans="1:33">
      <c r="A371" s="60"/>
      <c r="B371" s="60"/>
      <c r="F371" s="76"/>
      <c r="W371" s="44"/>
      <c r="AF371" s="63"/>
      <c r="AG371" s="58"/>
    </row>
    <row r="372" spans="1:33">
      <c r="A372" s="60"/>
      <c r="B372" s="60" t="s">
        <v>220</v>
      </c>
      <c r="C372" s="44" t="s">
        <v>651</v>
      </c>
      <c r="F372" s="76">
        <f>SUM(F364:F371)</f>
        <v>17322404</v>
      </c>
      <c r="H372" s="62">
        <f t="shared" ref="H372:M372" si="149">SUM(H364:H371)</f>
        <v>5036922.7071977025</v>
      </c>
      <c r="I372" s="62">
        <f t="shared" si="149"/>
        <v>5276495.3444007561</v>
      </c>
      <c r="J372" s="62">
        <f t="shared" si="149"/>
        <v>4337261.3806462381</v>
      </c>
      <c r="K372" s="62">
        <f t="shared" si="149"/>
        <v>2671724.5677553043</v>
      </c>
      <c r="L372" s="62">
        <f t="shared" si="149"/>
        <v>0</v>
      </c>
      <c r="M372" s="62">
        <f t="shared" si="149"/>
        <v>0</v>
      </c>
      <c r="N372" s="62">
        <f>SUM(N364:N371)</f>
        <v>0</v>
      </c>
      <c r="O372" s="62">
        <f>SUM(O364:O371)</f>
        <v>0</v>
      </c>
      <c r="P372" s="62">
        <f>SUM(P364:P371)</f>
        <v>0</v>
      </c>
      <c r="Q372" s="62">
        <f t="shared" ref="Q372:AB372" si="150">SUM(Q364:Q371)</f>
        <v>0</v>
      </c>
      <c r="R372" s="62">
        <f t="shared" si="150"/>
        <v>0</v>
      </c>
      <c r="S372" s="62">
        <f t="shared" si="150"/>
        <v>0</v>
      </c>
      <c r="T372" s="62">
        <f t="shared" si="150"/>
        <v>0</v>
      </c>
      <c r="U372" s="62">
        <f t="shared" si="150"/>
        <v>0</v>
      </c>
      <c r="V372" s="62">
        <f t="shared" si="150"/>
        <v>0</v>
      </c>
      <c r="W372" s="62">
        <f t="shared" si="150"/>
        <v>0</v>
      </c>
      <c r="X372" s="62">
        <f t="shared" si="150"/>
        <v>0</v>
      </c>
      <c r="Y372" s="62">
        <f t="shared" si="150"/>
        <v>0</v>
      </c>
      <c r="Z372" s="62">
        <f t="shared" si="150"/>
        <v>0</v>
      </c>
      <c r="AA372" s="62">
        <f t="shared" si="150"/>
        <v>0</v>
      </c>
      <c r="AB372" s="62">
        <f t="shared" si="150"/>
        <v>0</v>
      </c>
      <c r="AC372" s="62">
        <f>SUM(AC364:AC371)</f>
        <v>0</v>
      </c>
      <c r="AD372" s="62">
        <f>SUM(AD364:AD371)</f>
        <v>0</v>
      </c>
      <c r="AE372" s="62">
        <f>SUM(AE364:AE371)</f>
        <v>0</v>
      </c>
      <c r="AF372" s="63">
        <f t="shared" si="147"/>
        <v>17322404</v>
      </c>
      <c r="AG372" s="58" t="str">
        <f>IF(ABS(AF372-F372)&lt;1,"ok","err")</f>
        <v>ok</v>
      </c>
    </row>
    <row r="373" spans="1:33">
      <c r="A373" s="60"/>
      <c r="B373" s="60"/>
      <c r="F373" s="76"/>
      <c r="W373" s="44"/>
      <c r="AF373" s="63"/>
      <c r="AG373" s="58"/>
    </row>
    <row r="374" spans="1:33" ht="15">
      <c r="A374" s="65" t="s">
        <v>221</v>
      </c>
      <c r="B374" s="60"/>
      <c r="F374" s="76"/>
      <c r="W374" s="44"/>
      <c r="AF374" s="63"/>
      <c r="AG374" s="58"/>
    </row>
    <row r="375" spans="1:33">
      <c r="A375" s="60">
        <v>510</v>
      </c>
      <c r="B375" s="60" t="s">
        <v>224</v>
      </c>
      <c r="C375" s="44" t="s">
        <v>288</v>
      </c>
      <c r="D375" s="44" t="s">
        <v>648</v>
      </c>
      <c r="F375" s="76">
        <v>3390539</v>
      </c>
      <c r="H375" s="63">
        <f t="shared" ref="H375:Q379" si="151">IF(VLOOKUP($D375,$C$6:$AE$653,H$2,)=0,0,((VLOOKUP($D375,$C$6:$AE$653,H$2,)/VLOOKUP($D375,$C$6:$AE$653,4,))*$F375))</f>
        <v>0</v>
      </c>
      <c r="I375" s="63">
        <f t="shared" si="151"/>
        <v>0</v>
      </c>
      <c r="J375" s="63">
        <f t="shared" si="151"/>
        <v>0</v>
      </c>
      <c r="K375" s="63">
        <f t="shared" si="151"/>
        <v>3390539</v>
      </c>
      <c r="L375" s="63">
        <f t="shared" si="151"/>
        <v>0</v>
      </c>
      <c r="M375" s="63">
        <f t="shared" si="151"/>
        <v>0</v>
      </c>
      <c r="N375" s="63">
        <f t="shared" si="151"/>
        <v>0</v>
      </c>
      <c r="O375" s="63">
        <f t="shared" si="151"/>
        <v>0</v>
      </c>
      <c r="P375" s="63">
        <f t="shared" si="151"/>
        <v>0</v>
      </c>
      <c r="Q375" s="63">
        <f t="shared" si="151"/>
        <v>0</v>
      </c>
      <c r="R375" s="63">
        <f t="shared" ref="R375:AE379" si="152">IF(VLOOKUP($D375,$C$6:$AE$653,R$2,)=0,0,((VLOOKUP($D375,$C$6:$AE$653,R$2,)/VLOOKUP($D375,$C$6:$AE$653,4,))*$F375))</f>
        <v>0</v>
      </c>
      <c r="S375" s="63">
        <f t="shared" si="152"/>
        <v>0</v>
      </c>
      <c r="T375" s="63">
        <f t="shared" si="152"/>
        <v>0</v>
      </c>
      <c r="U375" s="63">
        <f t="shared" si="152"/>
        <v>0</v>
      </c>
      <c r="V375" s="63">
        <f t="shared" si="152"/>
        <v>0</v>
      </c>
      <c r="W375" s="63">
        <f t="shared" si="152"/>
        <v>0</v>
      </c>
      <c r="X375" s="63">
        <f t="shared" si="152"/>
        <v>0</v>
      </c>
      <c r="Y375" s="63">
        <f t="shared" si="152"/>
        <v>0</v>
      </c>
      <c r="Z375" s="63">
        <f t="shared" si="152"/>
        <v>0</v>
      </c>
      <c r="AA375" s="63">
        <f t="shared" si="152"/>
        <v>0</v>
      </c>
      <c r="AB375" s="63">
        <f t="shared" si="152"/>
        <v>0</v>
      </c>
      <c r="AC375" s="63">
        <f t="shared" si="152"/>
        <v>0</v>
      </c>
      <c r="AD375" s="63">
        <f t="shared" si="152"/>
        <v>0</v>
      </c>
      <c r="AE375" s="63">
        <f t="shared" si="152"/>
        <v>0</v>
      </c>
      <c r="AF375" s="63">
        <f t="shared" si="147"/>
        <v>3390539</v>
      </c>
      <c r="AG375" s="58" t="str">
        <f>IF(ABS(AF375-F375)&lt;1,"ok","err")</f>
        <v>ok</v>
      </c>
    </row>
    <row r="376" spans="1:33">
      <c r="A376" s="60">
        <v>511</v>
      </c>
      <c r="B376" s="60" t="s">
        <v>223</v>
      </c>
      <c r="C376" s="44" t="s">
        <v>289</v>
      </c>
      <c r="D376" s="44" t="s">
        <v>646</v>
      </c>
      <c r="F376" s="79">
        <v>0</v>
      </c>
      <c r="H376" s="63">
        <f t="shared" si="151"/>
        <v>0</v>
      </c>
      <c r="I376" s="63">
        <f t="shared" si="151"/>
        <v>0</v>
      </c>
      <c r="J376" s="63">
        <f t="shared" si="151"/>
        <v>0</v>
      </c>
      <c r="K376" s="63">
        <f t="shared" si="151"/>
        <v>0</v>
      </c>
      <c r="L376" s="63">
        <f t="shared" si="151"/>
        <v>0</v>
      </c>
      <c r="M376" s="63">
        <f t="shared" si="151"/>
        <v>0</v>
      </c>
      <c r="N376" s="63">
        <f t="shared" si="151"/>
        <v>0</v>
      </c>
      <c r="O376" s="63">
        <f t="shared" si="151"/>
        <v>0</v>
      </c>
      <c r="P376" s="63">
        <f t="shared" si="151"/>
        <v>0</v>
      </c>
      <c r="Q376" s="63">
        <f t="shared" si="151"/>
        <v>0</v>
      </c>
      <c r="R376" s="63">
        <f t="shared" si="152"/>
        <v>0</v>
      </c>
      <c r="S376" s="63">
        <f t="shared" si="152"/>
        <v>0</v>
      </c>
      <c r="T376" s="63">
        <f t="shared" si="152"/>
        <v>0</v>
      </c>
      <c r="U376" s="63">
        <f t="shared" si="152"/>
        <v>0</v>
      </c>
      <c r="V376" s="63">
        <f t="shared" si="152"/>
        <v>0</v>
      </c>
      <c r="W376" s="63">
        <f t="shared" si="152"/>
        <v>0</v>
      </c>
      <c r="X376" s="63">
        <f t="shared" si="152"/>
        <v>0</v>
      </c>
      <c r="Y376" s="63">
        <f t="shared" si="152"/>
        <v>0</v>
      </c>
      <c r="Z376" s="63">
        <f t="shared" si="152"/>
        <v>0</v>
      </c>
      <c r="AA376" s="63">
        <f t="shared" si="152"/>
        <v>0</v>
      </c>
      <c r="AB376" s="63">
        <f t="shared" si="152"/>
        <v>0</v>
      </c>
      <c r="AC376" s="63">
        <f t="shared" si="152"/>
        <v>0</v>
      </c>
      <c r="AD376" s="63">
        <f t="shared" si="152"/>
        <v>0</v>
      </c>
      <c r="AE376" s="63">
        <f t="shared" si="152"/>
        <v>0</v>
      </c>
      <c r="AF376" s="63">
        <f t="shared" si="147"/>
        <v>0</v>
      </c>
      <c r="AG376" s="58" t="str">
        <f>IF(ABS(AF376-F376)&lt;1,"ok","err")</f>
        <v>ok</v>
      </c>
    </row>
    <row r="377" spans="1:33">
      <c r="A377" s="60">
        <v>512</v>
      </c>
      <c r="B377" s="60" t="s">
        <v>226</v>
      </c>
      <c r="C377" s="44" t="s">
        <v>290</v>
      </c>
      <c r="D377" s="44" t="s">
        <v>930</v>
      </c>
      <c r="F377" s="79">
        <v>4117208</v>
      </c>
      <c r="H377" s="63">
        <f t="shared" si="151"/>
        <v>0</v>
      </c>
      <c r="I377" s="63">
        <f t="shared" si="151"/>
        <v>0</v>
      </c>
      <c r="J377" s="63">
        <f t="shared" si="151"/>
        <v>0</v>
      </c>
      <c r="K377" s="63">
        <f t="shared" si="151"/>
        <v>4117208</v>
      </c>
      <c r="L377" s="63">
        <f t="shared" si="151"/>
        <v>0</v>
      </c>
      <c r="M377" s="63">
        <f t="shared" si="151"/>
        <v>0</v>
      </c>
      <c r="N377" s="63">
        <f t="shared" si="151"/>
        <v>0</v>
      </c>
      <c r="O377" s="63">
        <f t="shared" si="151"/>
        <v>0</v>
      </c>
      <c r="P377" s="63">
        <f t="shared" si="151"/>
        <v>0</v>
      </c>
      <c r="Q377" s="63">
        <f t="shared" si="151"/>
        <v>0</v>
      </c>
      <c r="R377" s="63">
        <f t="shared" si="152"/>
        <v>0</v>
      </c>
      <c r="S377" s="63">
        <f t="shared" si="152"/>
        <v>0</v>
      </c>
      <c r="T377" s="63">
        <f t="shared" si="152"/>
        <v>0</v>
      </c>
      <c r="U377" s="63">
        <f t="shared" si="152"/>
        <v>0</v>
      </c>
      <c r="V377" s="63">
        <f t="shared" si="152"/>
        <v>0</v>
      </c>
      <c r="W377" s="63">
        <f t="shared" si="152"/>
        <v>0</v>
      </c>
      <c r="X377" s="63">
        <f t="shared" si="152"/>
        <v>0</v>
      </c>
      <c r="Y377" s="63">
        <f t="shared" si="152"/>
        <v>0</v>
      </c>
      <c r="Z377" s="63">
        <f t="shared" si="152"/>
        <v>0</v>
      </c>
      <c r="AA377" s="63">
        <f t="shared" si="152"/>
        <v>0</v>
      </c>
      <c r="AB377" s="63">
        <f t="shared" si="152"/>
        <v>0</v>
      </c>
      <c r="AC377" s="63">
        <f t="shared" si="152"/>
        <v>0</v>
      </c>
      <c r="AD377" s="63">
        <f t="shared" si="152"/>
        <v>0</v>
      </c>
      <c r="AE377" s="63">
        <f t="shared" si="152"/>
        <v>0</v>
      </c>
      <c r="AF377" s="63">
        <f t="shared" si="147"/>
        <v>4117208</v>
      </c>
      <c r="AG377" s="58" t="str">
        <f>IF(ABS(AF377-F377)&lt;1,"ok","err")</f>
        <v>ok</v>
      </c>
    </row>
    <row r="378" spans="1:33">
      <c r="A378" s="60">
        <v>513</v>
      </c>
      <c r="B378" s="60" t="s">
        <v>227</v>
      </c>
      <c r="C378" s="44" t="s">
        <v>291</v>
      </c>
      <c r="D378" s="44" t="s">
        <v>930</v>
      </c>
      <c r="F378" s="79">
        <v>2830954</v>
      </c>
      <c r="H378" s="63">
        <f t="shared" si="151"/>
        <v>0</v>
      </c>
      <c r="I378" s="63">
        <f t="shared" si="151"/>
        <v>0</v>
      </c>
      <c r="J378" s="63">
        <f t="shared" si="151"/>
        <v>0</v>
      </c>
      <c r="K378" s="63">
        <f t="shared" si="151"/>
        <v>2830954</v>
      </c>
      <c r="L378" s="63">
        <f t="shared" si="151"/>
        <v>0</v>
      </c>
      <c r="M378" s="63">
        <f t="shared" si="151"/>
        <v>0</v>
      </c>
      <c r="N378" s="63">
        <f t="shared" si="151"/>
        <v>0</v>
      </c>
      <c r="O378" s="63">
        <f t="shared" si="151"/>
        <v>0</v>
      </c>
      <c r="P378" s="63">
        <f t="shared" si="151"/>
        <v>0</v>
      </c>
      <c r="Q378" s="63">
        <f t="shared" si="151"/>
        <v>0</v>
      </c>
      <c r="R378" s="63">
        <f t="shared" si="152"/>
        <v>0</v>
      </c>
      <c r="S378" s="63">
        <f t="shared" si="152"/>
        <v>0</v>
      </c>
      <c r="T378" s="63">
        <f t="shared" si="152"/>
        <v>0</v>
      </c>
      <c r="U378" s="63">
        <f t="shared" si="152"/>
        <v>0</v>
      </c>
      <c r="V378" s="63">
        <f t="shared" si="152"/>
        <v>0</v>
      </c>
      <c r="W378" s="63">
        <f t="shared" si="152"/>
        <v>0</v>
      </c>
      <c r="X378" s="63">
        <f t="shared" si="152"/>
        <v>0</v>
      </c>
      <c r="Y378" s="63">
        <f t="shared" si="152"/>
        <v>0</v>
      </c>
      <c r="Z378" s="63">
        <f t="shared" si="152"/>
        <v>0</v>
      </c>
      <c r="AA378" s="63">
        <f t="shared" si="152"/>
        <v>0</v>
      </c>
      <c r="AB378" s="63">
        <f t="shared" si="152"/>
        <v>0</v>
      </c>
      <c r="AC378" s="63">
        <f t="shared" si="152"/>
        <v>0</v>
      </c>
      <c r="AD378" s="63">
        <f t="shared" si="152"/>
        <v>0</v>
      </c>
      <c r="AE378" s="63">
        <f t="shared" si="152"/>
        <v>0</v>
      </c>
      <c r="AF378" s="63">
        <f t="shared" si="147"/>
        <v>2830954</v>
      </c>
      <c r="AG378" s="58" t="str">
        <f>IF(ABS(AF378-F378)&lt;1,"ok","err")</f>
        <v>ok</v>
      </c>
    </row>
    <row r="379" spans="1:33">
      <c r="A379" s="60">
        <v>514</v>
      </c>
      <c r="B379" s="60" t="s">
        <v>230</v>
      </c>
      <c r="C379" s="44" t="s">
        <v>292</v>
      </c>
      <c r="D379" s="44" t="s">
        <v>930</v>
      </c>
      <c r="F379" s="79">
        <v>57828</v>
      </c>
      <c r="H379" s="63">
        <f t="shared" si="151"/>
        <v>0</v>
      </c>
      <c r="I379" s="63">
        <f t="shared" si="151"/>
        <v>0</v>
      </c>
      <c r="J379" s="63">
        <f t="shared" si="151"/>
        <v>0</v>
      </c>
      <c r="K379" s="63">
        <f t="shared" si="151"/>
        <v>57828</v>
      </c>
      <c r="L379" s="63">
        <f t="shared" si="151"/>
        <v>0</v>
      </c>
      <c r="M379" s="63">
        <f t="shared" si="151"/>
        <v>0</v>
      </c>
      <c r="N379" s="63">
        <f t="shared" si="151"/>
        <v>0</v>
      </c>
      <c r="O379" s="63">
        <f t="shared" si="151"/>
        <v>0</v>
      </c>
      <c r="P379" s="63">
        <f t="shared" si="151"/>
        <v>0</v>
      </c>
      <c r="Q379" s="63">
        <f t="shared" si="151"/>
        <v>0</v>
      </c>
      <c r="R379" s="63">
        <f t="shared" si="152"/>
        <v>0</v>
      </c>
      <c r="S379" s="63">
        <f t="shared" si="152"/>
        <v>0</v>
      </c>
      <c r="T379" s="63">
        <f t="shared" si="152"/>
        <v>0</v>
      </c>
      <c r="U379" s="63">
        <f t="shared" si="152"/>
        <v>0</v>
      </c>
      <c r="V379" s="63">
        <f t="shared" si="152"/>
        <v>0</v>
      </c>
      <c r="W379" s="63">
        <f t="shared" si="152"/>
        <v>0</v>
      </c>
      <c r="X379" s="63">
        <f t="shared" si="152"/>
        <v>0</v>
      </c>
      <c r="Y379" s="63">
        <f t="shared" si="152"/>
        <v>0</v>
      </c>
      <c r="Z379" s="63">
        <f t="shared" si="152"/>
        <v>0</v>
      </c>
      <c r="AA379" s="63">
        <f t="shared" si="152"/>
        <v>0</v>
      </c>
      <c r="AB379" s="63">
        <f t="shared" si="152"/>
        <v>0</v>
      </c>
      <c r="AC379" s="63">
        <f t="shared" si="152"/>
        <v>0</v>
      </c>
      <c r="AD379" s="63">
        <f t="shared" si="152"/>
        <v>0</v>
      </c>
      <c r="AE379" s="63">
        <f t="shared" si="152"/>
        <v>0</v>
      </c>
      <c r="AF379" s="63">
        <f t="shared" si="147"/>
        <v>57828</v>
      </c>
      <c r="AG379" s="58" t="str">
        <f>IF(ABS(AF379-F379)&lt;1,"ok","err")</f>
        <v>ok</v>
      </c>
    </row>
    <row r="380" spans="1:33">
      <c r="A380" s="60"/>
      <c r="B380" s="60"/>
      <c r="F380" s="76"/>
      <c r="W380" s="44"/>
      <c r="AF380" s="63"/>
      <c r="AG380" s="58"/>
    </row>
    <row r="381" spans="1:33">
      <c r="A381" s="60"/>
      <c r="B381" s="60" t="s">
        <v>232</v>
      </c>
      <c r="C381" s="44" t="s">
        <v>87</v>
      </c>
      <c r="F381" s="76">
        <f>SUM(F375:F380)</f>
        <v>10396529</v>
      </c>
      <c r="H381" s="62">
        <f t="shared" ref="H381:M381" si="153">SUM(H375:H380)</f>
        <v>0</v>
      </c>
      <c r="I381" s="62">
        <f t="shared" si="153"/>
        <v>0</v>
      </c>
      <c r="J381" s="62">
        <f t="shared" si="153"/>
        <v>0</v>
      </c>
      <c r="K381" s="62">
        <f t="shared" si="153"/>
        <v>10396529</v>
      </c>
      <c r="L381" s="62">
        <f t="shared" si="153"/>
        <v>0</v>
      </c>
      <c r="M381" s="62">
        <f t="shared" si="153"/>
        <v>0</v>
      </c>
      <c r="N381" s="62">
        <f>SUM(N375:N380)</f>
        <v>0</v>
      </c>
      <c r="O381" s="62">
        <f>SUM(O375:O380)</f>
        <v>0</v>
      </c>
      <c r="P381" s="62">
        <f>SUM(P375:P380)</f>
        <v>0</v>
      </c>
      <c r="Q381" s="62">
        <f t="shared" ref="Q381:AB381" si="154">SUM(Q375:Q380)</f>
        <v>0</v>
      </c>
      <c r="R381" s="62">
        <f t="shared" si="154"/>
        <v>0</v>
      </c>
      <c r="S381" s="62">
        <f t="shared" si="154"/>
        <v>0</v>
      </c>
      <c r="T381" s="62">
        <f t="shared" si="154"/>
        <v>0</v>
      </c>
      <c r="U381" s="62">
        <f t="shared" si="154"/>
        <v>0</v>
      </c>
      <c r="V381" s="62">
        <f t="shared" si="154"/>
        <v>0</v>
      </c>
      <c r="W381" s="62">
        <f t="shared" si="154"/>
        <v>0</v>
      </c>
      <c r="X381" s="62">
        <f t="shared" si="154"/>
        <v>0</v>
      </c>
      <c r="Y381" s="62">
        <f t="shared" si="154"/>
        <v>0</v>
      </c>
      <c r="Z381" s="62">
        <f t="shared" si="154"/>
        <v>0</v>
      </c>
      <c r="AA381" s="62">
        <f t="shared" si="154"/>
        <v>0</v>
      </c>
      <c r="AB381" s="62">
        <f t="shared" si="154"/>
        <v>0</v>
      </c>
      <c r="AC381" s="62">
        <f>SUM(AC375:AC380)</f>
        <v>0</v>
      </c>
      <c r="AD381" s="62">
        <f>SUM(AD375:AD380)</f>
        <v>0</v>
      </c>
      <c r="AE381" s="62">
        <f>SUM(AE375:AE380)</f>
        <v>0</v>
      </c>
      <c r="AF381" s="63">
        <f t="shared" si="147"/>
        <v>10396529</v>
      </c>
      <c r="AG381" s="58" t="str">
        <f>IF(ABS(AF381-F381)&lt;1,"ok","err")</f>
        <v>ok</v>
      </c>
    </row>
    <row r="382" spans="1:33">
      <c r="A382" s="60"/>
      <c r="B382" s="60"/>
      <c r="F382" s="76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3"/>
      <c r="AG382" s="58"/>
    </row>
    <row r="383" spans="1:33">
      <c r="A383" s="60"/>
      <c r="B383" s="60" t="s">
        <v>233</v>
      </c>
      <c r="F383" s="76">
        <f>F372+F381</f>
        <v>27718933</v>
      </c>
      <c r="H383" s="62">
        <f t="shared" ref="H383:M383" si="155">H372+H381</f>
        <v>5036922.7071977025</v>
      </c>
      <c r="I383" s="62">
        <f t="shared" si="155"/>
        <v>5276495.3444007561</v>
      </c>
      <c r="J383" s="62">
        <f t="shared" si="155"/>
        <v>4337261.3806462381</v>
      </c>
      <c r="K383" s="62">
        <f t="shared" si="155"/>
        <v>13068253.567755304</v>
      </c>
      <c r="L383" s="62">
        <f t="shared" si="155"/>
        <v>0</v>
      </c>
      <c r="M383" s="62">
        <f t="shared" si="155"/>
        <v>0</v>
      </c>
      <c r="N383" s="62">
        <f>N372+N381</f>
        <v>0</v>
      </c>
      <c r="O383" s="62">
        <f>O372+O381</f>
        <v>0</v>
      </c>
      <c r="P383" s="62">
        <f>P372+P381</f>
        <v>0</v>
      </c>
      <c r="Q383" s="62">
        <f t="shared" ref="Q383:AB383" si="156">Q372+Q381</f>
        <v>0</v>
      </c>
      <c r="R383" s="62">
        <f t="shared" si="156"/>
        <v>0</v>
      </c>
      <c r="S383" s="62">
        <f t="shared" si="156"/>
        <v>0</v>
      </c>
      <c r="T383" s="62">
        <f t="shared" si="156"/>
        <v>0</v>
      </c>
      <c r="U383" s="62">
        <f t="shared" si="156"/>
        <v>0</v>
      </c>
      <c r="V383" s="62">
        <f t="shared" si="156"/>
        <v>0</v>
      </c>
      <c r="W383" s="62">
        <f t="shared" si="156"/>
        <v>0</v>
      </c>
      <c r="X383" s="62">
        <f t="shared" si="156"/>
        <v>0</v>
      </c>
      <c r="Y383" s="62">
        <f t="shared" si="156"/>
        <v>0</v>
      </c>
      <c r="Z383" s="62">
        <f t="shared" si="156"/>
        <v>0</v>
      </c>
      <c r="AA383" s="62">
        <f t="shared" si="156"/>
        <v>0</v>
      </c>
      <c r="AB383" s="62">
        <f t="shared" si="156"/>
        <v>0</v>
      </c>
      <c r="AC383" s="62">
        <f>AC372+AC381</f>
        <v>0</v>
      </c>
      <c r="AD383" s="62">
        <f>AD372+AD381</f>
        <v>0</v>
      </c>
      <c r="AE383" s="62">
        <f>AE372+AE381</f>
        <v>0</v>
      </c>
      <c r="AF383" s="63">
        <f t="shared" si="147"/>
        <v>27718933</v>
      </c>
      <c r="AG383" s="58" t="str">
        <f>IF(ABS(AF383-F383)&lt;1,"ok","err")</f>
        <v>ok</v>
      </c>
    </row>
    <row r="384" spans="1:33">
      <c r="A384" s="60"/>
      <c r="B384" s="60"/>
      <c r="F384" s="76"/>
      <c r="W384" s="44"/>
      <c r="AF384" s="63"/>
      <c r="AG384" s="58"/>
    </row>
    <row r="385" spans="1:33" ht="15">
      <c r="A385" s="65" t="s">
        <v>320</v>
      </c>
      <c r="B385" s="60"/>
      <c r="W385" s="44"/>
      <c r="AG385" s="58"/>
    </row>
    <row r="386" spans="1:33">
      <c r="A386" s="70">
        <v>535</v>
      </c>
      <c r="B386" s="60" t="s">
        <v>209</v>
      </c>
      <c r="C386" s="44" t="s">
        <v>599</v>
      </c>
      <c r="D386" s="44" t="s">
        <v>650</v>
      </c>
      <c r="F386" s="76">
        <v>95870</v>
      </c>
      <c r="H386" s="63">
        <f t="shared" ref="H386:Q391" si="157">IF(VLOOKUP($D386,$C$6:$AE$653,H$2,)=0,0,((VLOOKUP($D386,$C$6:$AE$653,H$2,)/VLOOKUP($D386,$C$6:$AE$653,4,))*$F386))</f>
        <v>32960.231105477011</v>
      </c>
      <c r="I386" s="63">
        <f t="shared" si="157"/>
        <v>34527.928278490472</v>
      </c>
      <c r="J386" s="63">
        <f t="shared" si="157"/>
        <v>28381.840616032525</v>
      </c>
      <c r="K386" s="63">
        <f t="shared" si="157"/>
        <v>0</v>
      </c>
      <c r="L386" s="63">
        <f t="shared" si="157"/>
        <v>0</v>
      </c>
      <c r="M386" s="63">
        <f t="shared" si="157"/>
        <v>0</v>
      </c>
      <c r="N386" s="63">
        <f t="shared" si="157"/>
        <v>0</v>
      </c>
      <c r="O386" s="63">
        <f t="shared" si="157"/>
        <v>0</v>
      </c>
      <c r="P386" s="63">
        <f t="shared" si="157"/>
        <v>0</v>
      </c>
      <c r="Q386" s="63">
        <f t="shared" si="157"/>
        <v>0</v>
      </c>
      <c r="R386" s="63">
        <f t="shared" ref="R386:AE391" si="158">IF(VLOOKUP($D386,$C$6:$AE$653,R$2,)=0,0,((VLOOKUP($D386,$C$6:$AE$653,R$2,)/VLOOKUP($D386,$C$6:$AE$653,4,))*$F386))</f>
        <v>0</v>
      </c>
      <c r="S386" s="63">
        <f t="shared" si="158"/>
        <v>0</v>
      </c>
      <c r="T386" s="63">
        <f t="shared" si="158"/>
        <v>0</v>
      </c>
      <c r="U386" s="63">
        <f t="shared" si="158"/>
        <v>0</v>
      </c>
      <c r="V386" s="63">
        <f t="shared" si="158"/>
        <v>0</v>
      </c>
      <c r="W386" s="63">
        <f t="shared" si="158"/>
        <v>0</v>
      </c>
      <c r="X386" s="63">
        <f t="shared" si="158"/>
        <v>0</v>
      </c>
      <c r="Y386" s="63">
        <f t="shared" si="158"/>
        <v>0</v>
      </c>
      <c r="Z386" s="63">
        <f t="shared" si="158"/>
        <v>0</v>
      </c>
      <c r="AA386" s="63">
        <f t="shared" si="158"/>
        <v>0</v>
      </c>
      <c r="AB386" s="63">
        <f t="shared" si="158"/>
        <v>0</v>
      </c>
      <c r="AC386" s="63">
        <f t="shared" si="158"/>
        <v>0</v>
      </c>
      <c r="AD386" s="63">
        <f t="shared" si="158"/>
        <v>0</v>
      </c>
      <c r="AE386" s="63">
        <f t="shared" si="158"/>
        <v>0</v>
      </c>
      <c r="AF386" s="63">
        <f t="shared" ref="AF386:AF391" si="159">SUM(H386:AE386)</f>
        <v>95870.000000000015</v>
      </c>
      <c r="AG386" s="58" t="str">
        <f t="shared" ref="AG386:AG391" si="160">IF(ABS(AF386-F386)&lt;1,"ok","err")</f>
        <v>ok</v>
      </c>
    </row>
    <row r="387" spans="1:33">
      <c r="A387" s="276">
        <v>536</v>
      </c>
      <c r="B387" s="60" t="s">
        <v>327</v>
      </c>
      <c r="C387" s="44" t="s">
        <v>600</v>
      </c>
      <c r="D387" s="44" t="s">
        <v>646</v>
      </c>
      <c r="F387" s="79">
        <v>0</v>
      </c>
      <c r="H387" s="63">
        <f t="shared" si="157"/>
        <v>0</v>
      </c>
      <c r="I387" s="63">
        <f t="shared" si="157"/>
        <v>0</v>
      </c>
      <c r="J387" s="63">
        <f t="shared" si="157"/>
        <v>0</v>
      </c>
      <c r="K387" s="63">
        <f t="shared" si="157"/>
        <v>0</v>
      </c>
      <c r="L387" s="63">
        <f t="shared" si="157"/>
        <v>0</v>
      </c>
      <c r="M387" s="63">
        <f t="shared" si="157"/>
        <v>0</v>
      </c>
      <c r="N387" s="63">
        <f t="shared" si="157"/>
        <v>0</v>
      </c>
      <c r="O387" s="63">
        <f t="shared" si="157"/>
        <v>0</v>
      </c>
      <c r="P387" s="63">
        <f t="shared" si="157"/>
        <v>0</v>
      </c>
      <c r="Q387" s="63">
        <f t="shared" si="157"/>
        <v>0</v>
      </c>
      <c r="R387" s="63">
        <f t="shared" si="158"/>
        <v>0</v>
      </c>
      <c r="S387" s="63">
        <f t="shared" si="158"/>
        <v>0</v>
      </c>
      <c r="T387" s="63">
        <f t="shared" si="158"/>
        <v>0</v>
      </c>
      <c r="U387" s="63">
        <f t="shared" si="158"/>
        <v>0</v>
      </c>
      <c r="V387" s="63">
        <f t="shared" si="158"/>
        <v>0</v>
      </c>
      <c r="W387" s="63">
        <f t="shared" si="158"/>
        <v>0</v>
      </c>
      <c r="X387" s="63">
        <f t="shared" si="158"/>
        <v>0</v>
      </c>
      <c r="Y387" s="63">
        <f t="shared" si="158"/>
        <v>0</v>
      </c>
      <c r="Z387" s="63">
        <f t="shared" si="158"/>
        <v>0</v>
      </c>
      <c r="AA387" s="63">
        <f t="shared" si="158"/>
        <v>0</v>
      </c>
      <c r="AB387" s="63">
        <f t="shared" si="158"/>
        <v>0</v>
      </c>
      <c r="AC387" s="63">
        <f t="shared" si="158"/>
        <v>0</v>
      </c>
      <c r="AD387" s="63">
        <f t="shared" si="158"/>
        <v>0</v>
      </c>
      <c r="AE387" s="63">
        <f t="shared" si="158"/>
        <v>0</v>
      </c>
      <c r="AF387" s="63">
        <f t="shared" si="159"/>
        <v>0</v>
      </c>
      <c r="AG387" s="58" t="str">
        <f t="shared" si="160"/>
        <v>ok</v>
      </c>
    </row>
    <row r="388" spans="1:33">
      <c r="A388" s="60">
        <v>537</v>
      </c>
      <c r="B388" s="60" t="s">
        <v>326</v>
      </c>
      <c r="C388" s="44" t="s">
        <v>601</v>
      </c>
      <c r="D388" s="44" t="s">
        <v>646</v>
      </c>
      <c r="F388" s="79"/>
      <c r="H388" s="63">
        <f t="shared" si="157"/>
        <v>0</v>
      </c>
      <c r="I388" s="63">
        <f t="shared" si="157"/>
        <v>0</v>
      </c>
      <c r="J388" s="63">
        <f t="shared" si="157"/>
        <v>0</v>
      </c>
      <c r="K388" s="63">
        <f t="shared" si="157"/>
        <v>0</v>
      </c>
      <c r="L388" s="63">
        <f t="shared" si="157"/>
        <v>0</v>
      </c>
      <c r="M388" s="63">
        <f t="shared" si="157"/>
        <v>0</v>
      </c>
      <c r="N388" s="63">
        <f t="shared" si="157"/>
        <v>0</v>
      </c>
      <c r="O388" s="63">
        <f t="shared" si="157"/>
        <v>0</v>
      </c>
      <c r="P388" s="63">
        <f t="shared" si="157"/>
        <v>0</v>
      </c>
      <c r="Q388" s="63">
        <f t="shared" si="157"/>
        <v>0</v>
      </c>
      <c r="R388" s="63">
        <f t="shared" si="158"/>
        <v>0</v>
      </c>
      <c r="S388" s="63">
        <f t="shared" si="158"/>
        <v>0</v>
      </c>
      <c r="T388" s="63">
        <f t="shared" si="158"/>
        <v>0</v>
      </c>
      <c r="U388" s="63">
        <f t="shared" si="158"/>
        <v>0</v>
      </c>
      <c r="V388" s="63">
        <f t="shared" si="158"/>
        <v>0</v>
      </c>
      <c r="W388" s="63">
        <f t="shared" si="158"/>
        <v>0</v>
      </c>
      <c r="X388" s="63">
        <f t="shared" si="158"/>
        <v>0</v>
      </c>
      <c r="Y388" s="63">
        <f t="shared" si="158"/>
        <v>0</v>
      </c>
      <c r="Z388" s="63">
        <f t="shared" si="158"/>
        <v>0</v>
      </c>
      <c r="AA388" s="63">
        <f t="shared" si="158"/>
        <v>0</v>
      </c>
      <c r="AB388" s="63">
        <f t="shared" si="158"/>
        <v>0</v>
      </c>
      <c r="AC388" s="63">
        <f t="shared" si="158"/>
        <v>0</v>
      </c>
      <c r="AD388" s="63">
        <f t="shared" si="158"/>
        <v>0</v>
      </c>
      <c r="AE388" s="63">
        <f t="shared" si="158"/>
        <v>0</v>
      </c>
      <c r="AF388" s="63">
        <f t="shared" si="159"/>
        <v>0</v>
      </c>
      <c r="AG388" s="58" t="str">
        <f t="shared" si="160"/>
        <v>ok</v>
      </c>
    </row>
    <row r="389" spans="1:33">
      <c r="A389" s="275">
        <v>538</v>
      </c>
      <c r="B389" s="60" t="s">
        <v>215</v>
      </c>
      <c r="C389" s="44" t="s">
        <v>602</v>
      </c>
      <c r="D389" s="44" t="s">
        <v>646</v>
      </c>
      <c r="F389" s="79">
        <v>180161</v>
      </c>
      <c r="H389" s="63">
        <f t="shared" si="157"/>
        <v>61939.586900947557</v>
      </c>
      <c r="I389" s="63">
        <f t="shared" si="157"/>
        <v>64885.63770294276</v>
      </c>
      <c r="J389" s="63">
        <f t="shared" si="157"/>
        <v>53335.775396109682</v>
      </c>
      <c r="K389" s="63">
        <f t="shared" si="157"/>
        <v>0</v>
      </c>
      <c r="L389" s="63">
        <f t="shared" si="157"/>
        <v>0</v>
      </c>
      <c r="M389" s="63">
        <f t="shared" si="157"/>
        <v>0</v>
      </c>
      <c r="N389" s="63">
        <f t="shared" si="157"/>
        <v>0</v>
      </c>
      <c r="O389" s="63">
        <f t="shared" si="157"/>
        <v>0</v>
      </c>
      <c r="P389" s="63">
        <f t="shared" si="157"/>
        <v>0</v>
      </c>
      <c r="Q389" s="63">
        <f t="shared" si="157"/>
        <v>0</v>
      </c>
      <c r="R389" s="63">
        <f t="shared" si="158"/>
        <v>0</v>
      </c>
      <c r="S389" s="63">
        <f t="shared" si="158"/>
        <v>0</v>
      </c>
      <c r="T389" s="63">
        <f t="shared" si="158"/>
        <v>0</v>
      </c>
      <c r="U389" s="63">
        <f t="shared" si="158"/>
        <v>0</v>
      </c>
      <c r="V389" s="63">
        <f t="shared" si="158"/>
        <v>0</v>
      </c>
      <c r="W389" s="63">
        <f t="shared" si="158"/>
        <v>0</v>
      </c>
      <c r="X389" s="63">
        <f t="shared" si="158"/>
        <v>0</v>
      </c>
      <c r="Y389" s="63">
        <f t="shared" si="158"/>
        <v>0</v>
      </c>
      <c r="Z389" s="63">
        <f t="shared" si="158"/>
        <v>0</v>
      </c>
      <c r="AA389" s="63">
        <f t="shared" si="158"/>
        <v>0</v>
      </c>
      <c r="AB389" s="63">
        <f t="shared" si="158"/>
        <v>0</v>
      </c>
      <c r="AC389" s="63">
        <f t="shared" si="158"/>
        <v>0</v>
      </c>
      <c r="AD389" s="63">
        <f t="shared" si="158"/>
        <v>0</v>
      </c>
      <c r="AE389" s="63">
        <f t="shared" si="158"/>
        <v>0</v>
      </c>
      <c r="AF389" s="63">
        <f t="shared" si="159"/>
        <v>180161</v>
      </c>
      <c r="AG389" s="58" t="str">
        <f t="shared" si="160"/>
        <v>ok</v>
      </c>
    </row>
    <row r="390" spans="1:33">
      <c r="A390" s="60">
        <v>539</v>
      </c>
      <c r="B390" s="60" t="s">
        <v>328</v>
      </c>
      <c r="C390" s="44" t="s">
        <v>603</v>
      </c>
      <c r="D390" s="44" t="s">
        <v>646</v>
      </c>
      <c r="F390" s="79">
        <v>60427</v>
      </c>
      <c r="H390" s="63">
        <f t="shared" si="157"/>
        <v>20774.881454163544</v>
      </c>
      <c r="I390" s="63">
        <f t="shared" si="157"/>
        <v>21763.003255286781</v>
      </c>
      <c r="J390" s="63">
        <f t="shared" si="157"/>
        <v>17889.115290549675</v>
      </c>
      <c r="K390" s="63">
        <f t="shared" si="157"/>
        <v>0</v>
      </c>
      <c r="L390" s="63">
        <f t="shared" si="157"/>
        <v>0</v>
      </c>
      <c r="M390" s="63">
        <f t="shared" si="157"/>
        <v>0</v>
      </c>
      <c r="N390" s="63">
        <f t="shared" si="157"/>
        <v>0</v>
      </c>
      <c r="O390" s="63">
        <f t="shared" si="157"/>
        <v>0</v>
      </c>
      <c r="P390" s="63">
        <f t="shared" si="157"/>
        <v>0</v>
      </c>
      <c r="Q390" s="63">
        <f t="shared" si="157"/>
        <v>0</v>
      </c>
      <c r="R390" s="63">
        <f t="shared" si="158"/>
        <v>0</v>
      </c>
      <c r="S390" s="63">
        <f t="shared" si="158"/>
        <v>0</v>
      </c>
      <c r="T390" s="63">
        <f t="shared" si="158"/>
        <v>0</v>
      </c>
      <c r="U390" s="63">
        <f t="shared" si="158"/>
        <v>0</v>
      </c>
      <c r="V390" s="63">
        <f t="shared" si="158"/>
        <v>0</v>
      </c>
      <c r="W390" s="63">
        <f t="shared" si="158"/>
        <v>0</v>
      </c>
      <c r="X390" s="63">
        <f t="shared" si="158"/>
        <v>0</v>
      </c>
      <c r="Y390" s="63">
        <f t="shared" si="158"/>
        <v>0</v>
      </c>
      <c r="Z390" s="63">
        <f t="shared" si="158"/>
        <v>0</v>
      </c>
      <c r="AA390" s="63">
        <f t="shared" si="158"/>
        <v>0</v>
      </c>
      <c r="AB390" s="63">
        <f t="shared" si="158"/>
        <v>0</v>
      </c>
      <c r="AC390" s="63">
        <f t="shared" si="158"/>
        <v>0</v>
      </c>
      <c r="AD390" s="63">
        <f t="shared" si="158"/>
        <v>0</v>
      </c>
      <c r="AE390" s="63">
        <f t="shared" si="158"/>
        <v>0</v>
      </c>
      <c r="AF390" s="63">
        <f t="shared" si="159"/>
        <v>60427</v>
      </c>
      <c r="AG390" s="58" t="str">
        <f t="shared" si="160"/>
        <v>ok</v>
      </c>
    </row>
    <row r="391" spans="1:33">
      <c r="A391" s="275">
        <v>540</v>
      </c>
      <c r="B391" s="60" t="s">
        <v>1004</v>
      </c>
      <c r="D391" s="44" t="s">
        <v>646</v>
      </c>
      <c r="F391" s="79">
        <v>0</v>
      </c>
      <c r="H391" s="63">
        <f t="shared" si="157"/>
        <v>0</v>
      </c>
      <c r="I391" s="63">
        <f t="shared" si="157"/>
        <v>0</v>
      </c>
      <c r="J391" s="63">
        <f t="shared" si="157"/>
        <v>0</v>
      </c>
      <c r="K391" s="63">
        <f t="shared" si="157"/>
        <v>0</v>
      </c>
      <c r="L391" s="63">
        <f t="shared" si="157"/>
        <v>0</v>
      </c>
      <c r="M391" s="63">
        <f t="shared" si="157"/>
        <v>0</v>
      </c>
      <c r="N391" s="63">
        <f t="shared" si="157"/>
        <v>0</v>
      </c>
      <c r="O391" s="63">
        <f t="shared" si="157"/>
        <v>0</v>
      </c>
      <c r="P391" s="63">
        <f t="shared" si="157"/>
        <v>0</v>
      </c>
      <c r="Q391" s="63">
        <f t="shared" si="157"/>
        <v>0</v>
      </c>
      <c r="R391" s="63">
        <f t="shared" si="158"/>
        <v>0</v>
      </c>
      <c r="S391" s="63">
        <f t="shared" si="158"/>
        <v>0</v>
      </c>
      <c r="T391" s="63">
        <f t="shared" si="158"/>
        <v>0</v>
      </c>
      <c r="U391" s="63">
        <f t="shared" si="158"/>
        <v>0</v>
      </c>
      <c r="V391" s="63">
        <f t="shared" si="158"/>
        <v>0</v>
      </c>
      <c r="W391" s="63">
        <f t="shared" si="158"/>
        <v>0</v>
      </c>
      <c r="X391" s="63">
        <f t="shared" si="158"/>
        <v>0</v>
      </c>
      <c r="Y391" s="63">
        <f t="shared" si="158"/>
        <v>0</v>
      </c>
      <c r="Z391" s="63">
        <f t="shared" si="158"/>
        <v>0</v>
      </c>
      <c r="AA391" s="63">
        <f t="shared" si="158"/>
        <v>0</v>
      </c>
      <c r="AB391" s="63">
        <f t="shared" si="158"/>
        <v>0</v>
      </c>
      <c r="AC391" s="63">
        <f t="shared" si="158"/>
        <v>0</v>
      </c>
      <c r="AD391" s="63">
        <f t="shared" si="158"/>
        <v>0</v>
      </c>
      <c r="AE391" s="63">
        <f t="shared" si="158"/>
        <v>0</v>
      </c>
      <c r="AF391" s="63">
        <f t="shared" si="159"/>
        <v>0</v>
      </c>
      <c r="AG391" s="58" t="str">
        <f t="shared" si="160"/>
        <v>ok</v>
      </c>
    </row>
    <row r="392" spans="1:33">
      <c r="A392" s="60"/>
      <c r="B392" s="60"/>
      <c r="F392" s="76"/>
      <c r="W392" s="44"/>
      <c r="AF392" s="63"/>
      <c r="AG392" s="58"/>
    </row>
    <row r="393" spans="1:33">
      <c r="A393" s="60"/>
      <c r="B393" s="60" t="s">
        <v>323</v>
      </c>
      <c r="C393" s="44" t="s">
        <v>652</v>
      </c>
      <c r="F393" s="76">
        <f>SUM(F386:F392)</f>
        <v>336458</v>
      </c>
      <c r="H393" s="62">
        <f t="shared" ref="H393:M393" si="161">SUM(H386:H392)</f>
        <v>115674.6994605881</v>
      </c>
      <c r="I393" s="62">
        <f t="shared" si="161"/>
        <v>121176.56923672001</v>
      </c>
      <c r="J393" s="62">
        <f t="shared" si="161"/>
        <v>99606.731302691886</v>
      </c>
      <c r="K393" s="62">
        <f t="shared" si="161"/>
        <v>0</v>
      </c>
      <c r="L393" s="62">
        <f t="shared" si="161"/>
        <v>0</v>
      </c>
      <c r="M393" s="62">
        <f t="shared" si="161"/>
        <v>0</v>
      </c>
      <c r="N393" s="62">
        <f>SUM(N386:N392)</f>
        <v>0</v>
      </c>
      <c r="O393" s="62">
        <f>SUM(O386:O392)</f>
        <v>0</v>
      </c>
      <c r="P393" s="62">
        <f>SUM(P386:P392)</f>
        <v>0</v>
      </c>
      <c r="Q393" s="62">
        <f t="shared" ref="Q393:AB393" si="162">SUM(Q386:Q392)</f>
        <v>0</v>
      </c>
      <c r="R393" s="62">
        <f t="shared" si="162"/>
        <v>0</v>
      </c>
      <c r="S393" s="62">
        <f t="shared" si="162"/>
        <v>0</v>
      </c>
      <c r="T393" s="62">
        <f t="shared" si="162"/>
        <v>0</v>
      </c>
      <c r="U393" s="62">
        <f t="shared" si="162"/>
        <v>0</v>
      </c>
      <c r="V393" s="62">
        <f t="shared" si="162"/>
        <v>0</v>
      </c>
      <c r="W393" s="62">
        <f t="shared" si="162"/>
        <v>0</v>
      </c>
      <c r="X393" s="62">
        <f t="shared" si="162"/>
        <v>0</v>
      </c>
      <c r="Y393" s="62">
        <f t="shared" si="162"/>
        <v>0</v>
      </c>
      <c r="Z393" s="62">
        <f t="shared" si="162"/>
        <v>0</v>
      </c>
      <c r="AA393" s="62">
        <f t="shared" si="162"/>
        <v>0</v>
      </c>
      <c r="AB393" s="62">
        <f t="shared" si="162"/>
        <v>0</v>
      </c>
      <c r="AC393" s="62">
        <f>SUM(AC386:AC392)</f>
        <v>0</v>
      </c>
      <c r="AD393" s="62">
        <f>SUM(AD386:AD392)</f>
        <v>0</v>
      </c>
      <c r="AE393" s="62">
        <f>SUM(AE386:AE392)</f>
        <v>0</v>
      </c>
      <c r="AF393" s="63">
        <f>SUM(H393:AE393)</f>
        <v>336458</v>
      </c>
      <c r="AG393" s="58" t="str">
        <f>IF(ABS(AF393-F393)&lt;1,"ok","err")</f>
        <v>ok</v>
      </c>
    </row>
    <row r="394" spans="1:33">
      <c r="A394" s="60"/>
      <c r="B394" s="60"/>
      <c r="F394" s="76"/>
      <c r="W394" s="44"/>
      <c r="AG394" s="58"/>
    </row>
    <row r="395" spans="1:33" ht="15">
      <c r="A395" s="65" t="s">
        <v>321</v>
      </c>
      <c r="B395" s="60"/>
      <c r="F395" s="76"/>
      <c r="W395" s="44"/>
      <c r="AG395" s="58"/>
    </row>
    <row r="396" spans="1:33">
      <c r="A396" s="70">
        <v>541</v>
      </c>
      <c r="B396" s="60" t="s">
        <v>224</v>
      </c>
      <c r="C396" s="44" t="s">
        <v>604</v>
      </c>
      <c r="D396" s="44" t="s">
        <v>657</v>
      </c>
      <c r="F396" s="76">
        <v>0</v>
      </c>
      <c r="H396" s="63">
        <f t="shared" ref="H396:Q400" si="163">IF(VLOOKUP($D396,$C$6:$AE$653,H$2,)=0,0,((VLOOKUP($D396,$C$6:$AE$653,H$2,)/VLOOKUP($D396,$C$6:$AE$653,4,))*$F396))</f>
        <v>0</v>
      </c>
      <c r="I396" s="63">
        <f t="shared" si="163"/>
        <v>0</v>
      </c>
      <c r="J396" s="63">
        <f t="shared" si="163"/>
        <v>0</v>
      </c>
      <c r="K396" s="63">
        <f t="shared" si="163"/>
        <v>0</v>
      </c>
      <c r="L396" s="63">
        <f t="shared" si="163"/>
        <v>0</v>
      </c>
      <c r="M396" s="63">
        <f t="shared" si="163"/>
        <v>0</v>
      </c>
      <c r="N396" s="63">
        <f t="shared" si="163"/>
        <v>0</v>
      </c>
      <c r="O396" s="63">
        <f t="shared" si="163"/>
        <v>0</v>
      </c>
      <c r="P396" s="63">
        <f t="shared" si="163"/>
        <v>0</v>
      </c>
      <c r="Q396" s="63">
        <f t="shared" si="163"/>
        <v>0</v>
      </c>
      <c r="R396" s="63">
        <f t="shared" ref="R396:AE400" si="164">IF(VLOOKUP($D396,$C$6:$AE$653,R$2,)=0,0,((VLOOKUP($D396,$C$6:$AE$653,R$2,)/VLOOKUP($D396,$C$6:$AE$653,4,))*$F396))</f>
        <v>0</v>
      </c>
      <c r="S396" s="63">
        <f t="shared" si="164"/>
        <v>0</v>
      </c>
      <c r="T396" s="63">
        <f t="shared" si="164"/>
        <v>0</v>
      </c>
      <c r="U396" s="63">
        <f t="shared" si="164"/>
        <v>0</v>
      </c>
      <c r="V396" s="63">
        <f t="shared" si="164"/>
        <v>0</v>
      </c>
      <c r="W396" s="63">
        <f t="shared" si="164"/>
        <v>0</v>
      </c>
      <c r="X396" s="63">
        <f t="shared" si="164"/>
        <v>0</v>
      </c>
      <c r="Y396" s="63">
        <f t="shared" si="164"/>
        <v>0</v>
      </c>
      <c r="Z396" s="63">
        <f t="shared" si="164"/>
        <v>0</v>
      </c>
      <c r="AA396" s="63">
        <f t="shared" si="164"/>
        <v>0</v>
      </c>
      <c r="AB396" s="63">
        <f t="shared" si="164"/>
        <v>0</v>
      </c>
      <c r="AC396" s="63">
        <f t="shared" si="164"/>
        <v>0</v>
      </c>
      <c r="AD396" s="63">
        <f t="shared" si="164"/>
        <v>0</v>
      </c>
      <c r="AE396" s="63">
        <f t="shared" si="164"/>
        <v>0</v>
      </c>
      <c r="AF396" s="63">
        <f>SUM(H396:AE396)</f>
        <v>0</v>
      </c>
      <c r="AG396" s="58" t="str">
        <f>IF(ABS(AF396-F396)&lt;1,"ok","err")</f>
        <v>ok</v>
      </c>
    </row>
    <row r="397" spans="1:33">
      <c r="A397" s="70">
        <v>542</v>
      </c>
      <c r="B397" s="60" t="s">
        <v>223</v>
      </c>
      <c r="C397" s="44" t="s">
        <v>605</v>
      </c>
      <c r="D397" s="44" t="s">
        <v>646</v>
      </c>
      <c r="F397" s="79">
        <v>46873</v>
      </c>
      <c r="H397" s="63">
        <f t="shared" si="163"/>
        <v>16114.998566882481</v>
      </c>
      <c r="I397" s="63">
        <f t="shared" si="163"/>
        <v>16881.480986728737</v>
      </c>
      <c r="J397" s="63">
        <f t="shared" si="163"/>
        <v>13876.520446388782</v>
      </c>
      <c r="K397" s="63">
        <f t="shared" si="163"/>
        <v>0</v>
      </c>
      <c r="L397" s="63">
        <f t="shared" si="163"/>
        <v>0</v>
      </c>
      <c r="M397" s="63">
        <f t="shared" si="163"/>
        <v>0</v>
      </c>
      <c r="N397" s="63">
        <f t="shared" si="163"/>
        <v>0</v>
      </c>
      <c r="O397" s="63">
        <f t="shared" si="163"/>
        <v>0</v>
      </c>
      <c r="P397" s="63">
        <f t="shared" si="163"/>
        <v>0</v>
      </c>
      <c r="Q397" s="63">
        <f t="shared" si="163"/>
        <v>0</v>
      </c>
      <c r="R397" s="63">
        <f t="shared" si="164"/>
        <v>0</v>
      </c>
      <c r="S397" s="63">
        <f t="shared" si="164"/>
        <v>0</v>
      </c>
      <c r="T397" s="63">
        <f t="shared" si="164"/>
        <v>0</v>
      </c>
      <c r="U397" s="63">
        <f t="shared" si="164"/>
        <v>0</v>
      </c>
      <c r="V397" s="63">
        <f t="shared" si="164"/>
        <v>0</v>
      </c>
      <c r="W397" s="63">
        <f t="shared" si="164"/>
        <v>0</v>
      </c>
      <c r="X397" s="63">
        <f t="shared" si="164"/>
        <v>0</v>
      </c>
      <c r="Y397" s="63">
        <f t="shared" si="164"/>
        <v>0</v>
      </c>
      <c r="Z397" s="63">
        <f t="shared" si="164"/>
        <v>0</v>
      </c>
      <c r="AA397" s="63">
        <f t="shared" si="164"/>
        <v>0</v>
      </c>
      <c r="AB397" s="63">
        <f t="shared" si="164"/>
        <v>0</v>
      </c>
      <c r="AC397" s="63">
        <f t="shared" si="164"/>
        <v>0</v>
      </c>
      <c r="AD397" s="63">
        <f t="shared" si="164"/>
        <v>0</v>
      </c>
      <c r="AE397" s="63">
        <f t="shared" si="164"/>
        <v>0</v>
      </c>
      <c r="AF397" s="63">
        <f>SUM(H397:AE397)</f>
        <v>46873</v>
      </c>
      <c r="AG397" s="58" t="str">
        <f>IF(ABS(AF397-F397)&lt;1,"ok","err")</f>
        <v>ok</v>
      </c>
    </row>
    <row r="398" spans="1:33">
      <c r="A398" s="70">
        <v>543</v>
      </c>
      <c r="B398" s="60" t="s">
        <v>322</v>
      </c>
      <c r="C398" s="44" t="s">
        <v>606</v>
      </c>
      <c r="D398" s="44" t="s">
        <v>646</v>
      </c>
      <c r="F398" s="79">
        <v>46873</v>
      </c>
      <c r="H398" s="63">
        <f t="shared" si="163"/>
        <v>16114.998566882481</v>
      </c>
      <c r="I398" s="63">
        <f t="shared" si="163"/>
        <v>16881.480986728737</v>
      </c>
      <c r="J398" s="63">
        <f t="shared" si="163"/>
        <v>13876.520446388782</v>
      </c>
      <c r="K398" s="63">
        <f t="shared" si="163"/>
        <v>0</v>
      </c>
      <c r="L398" s="63">
        <f t="shared" si="163"/>
        <v>0</v>
      </c>
      <c r="M398" s="63">
        <f t="shared" si="163"/>
        <v>0</v>
      </c>
      <c r="N398" s="63">
        <f t="shared" si="163"/>
        <v>0</v>
      </c>
      <c r="O398" s="63">
        <f t="shared" si="163"/>
        <v>0</v>
      </c>
      <c r="P398" s="63">
        <f t="shared" si="163"/>
        <v>0</v>
      </c>
      <c r="Q398" s="63">
        <f t="shared" si="163"/>
        <v>0</v>
      </c>
      <c r="R398" s="63">
        <f t="shared" si="164"/>
        <v>0</v>
      </c>
      <c r="S398" s="63">
        <f t="shared" si="164"/>
        <v>0</v>
      </c>
      <c r="T398" s="63">
        <f t="shared" si="164"/>
        <v>0</v>
      </c>
      <c r="U398" s="63">
        <f t="shared" si="164"/>
        <v>0</v>
      </c>
      <c r="V398" s="63">
        <f t="shared" si="164"/>
        <v>0</v>
      </c>
      <c r="W398" s="63">
        <f t="shared" si="164"/>
        <v>0</v>
      </c>
      <c r="X398" s="63">
        <f t="shared" si="164"/>
        <v>0</v>
      </c>
      <c r="Y398" s="63">
        <f t="shared" si="164"/>
        <v>0</v>
      </c>
      <c r="Z398" s="63">
        <f t="shared" si="164"/>
        <v>0</v>
      </c>
      <c r="AA398" s="63">
        <f t="shared" si="164"/>
        <v>0</v>
      </c>
      <c r="AB398" s="63">
        <f t="shared" si="164"/>
        <v>0</v>
      </c>
      <c r="AC398" s="63">
        <f t="shared" si="164"/>
        <v>0</v>
      </c>
      <c r="AD398" s="63">
        <f t="shared" si="164"/>
        <v>0</v>
      </c>
      <c r="AE398" s="63">
        <f t="shared" si="164"/>
        <v>0</v>
      </c>
      <c r="AF398" s="63">
        <f>SUM(H398:AE398)</f>
        <v>46873</v>
      </c>
      <c r="AG398" s="58" t="str">
        <f>IF(ABS(AF398-F398)&lt;1,"ok","err")</f>
        <v>ok</v>
      </c>
    </row>
    <row r="399" spans="1:33">
      <c r="A399" s="60">
        <v>544</v>
      </c>
      <c r="B399" s="60" t="s">
        <v>227</v>
      </c>
      <c r="C399" s="44" t="s">
        <v>607</v>
      </c>
      <c r="D399" s="44" t="s">
        <v>930</v>
      </c>
      <c r="F399" s="79">
        <v>151040</v>
      </c>
      <c r="H399" s="63">
        <f t="shared" si="163"/>
        <v>0</v>
      </c>
      <c r="I399" s="63">
        <f t="shared" si="163"/>
        <v>0</v>
      </c>
      <c r="J399" s="63">
        <f t="shared" si="163"/>
        <v>0</v>
      </c>
      <c r="K399" s="63">
        <f t="shared" si="163"/>
        <v>151040</v>
      </c>
      <c r="L399" s="63">
        <f t="shared" si="163"/>
        <v>0</v>
      </c>
      <c r="M399" s="63">
        <f t="shared" si="163"/>
        <v>0</v>
      </c>
      <c r="N399" s="63">
        <f t="shared" si="163"/>
        <v>0</v>
      </c>
      <c r="O399" s="63">
        <f t="shared" si="163"/>
        <v>0</v>
      </c>
      <c r="P399" s="63">
        <f t="shared" si="163"/>
        <v>0</v>
      </c>
      <c r="Q399" s="63">
        <f t="shared" si="163"/>
        <v>0</v>
      </c>
      <c r="R399" s="63">
        <f t="shared" si="164"/>
        <v>0</v>
      </c>
      <c r="S399" s="63">
        <f t="shared" si="164"/>
        <v>0</v>
      </c>
      <c r="T399" s="63">
        <f t="shared" si="164"/>
        <v>0</v>
      </c>
      <c r="U399" s="63">
        <f t="shared" si="164"/>
        <v>0</v>
      </c>
      <c r="V399" s="63">
        <f t="shared" si="164"/>
        <v>0</v>
      </c>
      <c r="W399" s="63">
        <f t="shared" si="164"/>
        <v>0</v>
      </c>
      <c r="X399" s="63">
        <f t="shared" si="164"/>
        <v>0</v>
      </c>
      <c r="Y399" s="63">
        <f t="shared" si="164"/>
        <v>0</v>
      </c>
      <c r="Z399" s="63">
        <f t="shared" si="164"/>
        <v>0</v>
      </c>
      <c r="AA399" s="63">
        <f t="shared" si="164"/>
        <v>0</v>
      </c>
      <c r="AB399" s="63">
        <f t="shared" si="164"/>
        <v>0</v>
      </c>
      <c r="AC399" s="63">
        <f t="shared" si="164"/>
        <v>0</v>
      </c>
      <c r="AD399" s="63">
        <f t="shared" si="164"/>
        <v>0</v>
      </c>
      <c r="AE399" s="63">
        <f t="shared" si="164"/>
        <v>0</v>
      </c>
      <c r="AF399" s="63">
        <f>SUM(H399:AE399)</f>
        <v>151040</v>
      </c>
      <c r="AG399" s="58" t="str">
        <f>IF(ABS(AF399-F399)&lt;1,"ok","err")</f>
        <v>ok</v>
      </c>
    </row>
    <row r="400" spans="1:33">
      <c r="A400" s="60">
        <v>545</v>
      </c>
      <c r="B400" s="60" t="s">
        <v>329</v>
      </c>
      <c r="C400" s="44" t="s">
        <v>608</v>
      </c>
      <c r="D400" s="44" t="s">
        <v>930</v>
      </c>
      <c r="F400" s="79">
        <v>0</v>
      </c>
      <c r="H400" s="63">
        <f t="shared" si="163"/>
        <v>0</v>
      </c>
      <c r="I400" s="63">
        <f t="shared" si="163"/>
        <v>0</v>
      </c>
      <c r="J400" s="63">
        <f t="shared" si="163"/>
        <v>0</v>
      </c>
      <c r="K400" s="63">
        <f t="shared" si="163"/>
        <v>0</v>
      </c>
      <c r="L400" s="63">
        <f t="shared" si="163"/>
        <v>0</v>
      </c>
      <c r="M400" s="63">
        <f t="shared" si="163"/>
        <v>0</v>
      </c>
      <c r="N400" s="63">
        <f t="shared" si="163"/>
        <v>0</v>
      </c>
      <c r="O400" s="63">
        <f t="shared" si="163"/>
        <v>0</v>
      </c>
      <c r="P400" s="63">
        <f t="shared" si="163"/>
        <v>0</v>
      </c>
      <c r="Q400" s="63">
        <f t="shared" si="163"/>
        <v>0</v>
      </c>
      <c r="R400" s="63">
        <f t="shared" si="164"/>
        <v>0</v>
      </c>
      <c r="S400" s="63">
        <f t="shared" si="164"/>
        <v>0</v>
      </c>
      <c r="T400" s="63">
        <f t="shared" si="164"/>
        <v>0</v>
      </c>
      <c r="U400" s="63">
        <f t="shared" si="164"/>
        <v>0</v>
      </c>
      <c r="V400" s="63">
        <f t="shared" si="164"/>
        <v>0</v>
      </c>
      <c r="W400" s="63">
        <f t="shared" si="164"/>
        <v>0</v>
      </c>
      <c r="X400" s="63">
        <f t="shared" si="164"/>
        <v>0</v>
      </c>
      <c r="Y400" s="63">
        <f t="shared" si="164"/>
        <v>0</v>
      </c>
      <c r="Z400" s="63">
        <f t="shared" si="164"/>
        <v>0</v>
      </c>
      <c r="AA400" s="63">
        <f t="shared" si="164"/>
        <v>0</v>
      </c>
      <c r="AB400" s="63">
        <f t="shared" si="164"/>
        <v>0</v>
      </c>
      <c r="AC400" s="63">
        <f t="shared" si="164"/>
        <v>0</v>
      </c>
      <c r="AD400" s="63">
        <f t="shared" si="164"/>
        <v>0</v>
      </c>
      <c r="AE400" s="63">
        <f t="shared" si="164"/>
        <v>0</v>
      </c>
      <c r="AF400" s="63">
        <f>SUM(H400:AE400)</f>
        <v>0</v>
      </c>
      <c r="AG400" s="58" t="str">
        <f>IF(ABS(AF400-F400)&lt;1,"ok","err")</f>
        <v>ok</v>
      </c>
    </row>
    <row r="401" spans="1:33">
      <c r="A401" s="60"/>
      <c r="B401" s="60"/>
      <c r="F401" s="76"/>
      <c r="W401" s="44"/>
      <c r="AG401" s="58"/>
    </row>
    <row r="402" spans="1:33">
      <c r="A402" s="60"/>
      <c r="B402" s="60" t="s">
        <v>325</v>
      </c>
      <c r="C402" s="44" t="s">
        <v>653</v>
      </c>
      <c r="F402" s="76">
        <f>SUM(F396:F401)</f>
        <v>244786</v>
      </c>
      <c r="H402" s="62">
        <f t="shared" ref="H402:M402" si="165">SUM(H396:H401)</f>
        <v>32229.997133764962</v>
      </c>
      <c r="I402" s="62">
        <f t="shared" si="165"/>
        <v>33762.961973457474</v>
      </c>
      <c r="J402" s="62">
        <f t="shared" si="165"/>
        <v>27753.040892777564</v>
      </c>
      <c r="K402" s="62">
        <f t="shared" si="165"/>
        <v>151040</v>
      </c>
      <c r="L402" s="62">
        <f t="shared" si="165"/>
        <v>0</v>
      </c>
      <c r="M402" s="62">
        <f t="shared" si="165"/>
        <v>0</v>
      </c>
      <c r="N402" s="62">
        <f>SUM(N396:N401)</f>
        <v>0</v>
      </c>
      <c r="O402" s="62">
        <f>SUM(O396:O401)</f>
        <v>0</v>
      </c>
      <c r="P402" s="62">
        <f>SUM(P396:P401)</f>
        <v>0</v>
      </c>
      <c r="Q402" s="62">
        <f t="shared" ref="Q402:AB402" si="166">SUM(Q396:Q401)</f>
        <v>0</v>
      </c>
      <c r="R402" s="62">
        <f t="shared" si="166"/>
        <v>0</v>
      </c>
      <c r="S402" s="62">
        <f t="shared" si="166"/>
        <v>0</v>
      </c>
      <c r="T402" s="62">
        <f t="shared" si="166"/>
        <v>0</v>
      </c>
      <c r="U402" s="62">
        <f t="shared" si="166"/>
        <v>0</v>
      </c>
      <c r="V402" s="62">
        <f t="shared" si="166"/>
        <v>0</v>
      </c>
      <c r="W402" s="62">
        <f t="shared" si="166"/>
        <v>0</v>
      </c>
      <c r="X402" s="62">
        <f t="shared" si="166"/>
        <v>0</v>
      </c>
      <c r="Y402" s="62">
        <f t="shared" si="166"/>
        <v>0</v>
      </c>
      <c r="Z402" s="62">
        <f t="shared" si="166"/>
        <v>0</v>
      </c>
      <c r="AA402" s="62">
        <f t="shared" si="166"/>
        <v>0</v>
      </c>
      <c r="AB402" s="62">
        <f t="shared" si="166"/>
        <v>0</v>
      </c>
      <c r="AC402" s="62">
        <f>SUM(AC396:AC401)</f>
        <v>0</v>
      </c>
      <c r="AD402" s="62">
        <f>SUM(AD396:AD401)</f>
        <v>0</v>
      </c>
      <c r="AE402" s="62">
        <f>SUM(AE396:AE401)</f>
        <v>0</v>
      </c>
      <c r="AF402" s="63">
        <f>SUM(H402:AE402)</f>
        <v>244786</v>
      </c>
      <c r="AG402" s="58" t="str">
        <f>IF(ABS(AF402-F402)&lt;1,"ok","err")</f>
        <v>ok</v>
      </c>
    </row>
    <row r="403" spans="1:33">
      <c r="A403" s="60"/>
      <c r="B403" s="60"/>
      <c r="F403" s="76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3"/>
      <c r="AG403" s="58"/>
    </row>
    <row r="404" spans="1:33">
      <c r="A404" s="60"/>
      <c r="B404" s="60" t="s">
        <v>324</v>
      </c>
      <c r="F404" s="76">
        <f>F393+F402</f>
        <v>581244</v>
      </c>
      <c r="H404" s="62">
        <f t="shared" ref="H404:M404" si="167">H393+H402</f>
        <v>147904.69659435307</v>
      </c>
      <c r="I404" s="62">
        <f t="shared" si="167"/>
        <v>154939.53121017749</v>
      </c>
      <c r="J404" s="62">
        <f t="shared" si="167"/>
        <v>127359.77219546944</v>
      </c>
      <c r="K404" s="62">
        <f t="shared" si="167"/>
        <v>151040</v>
      </c>
      <c r="L404" s="62">
        <f t="shared" si="167"/>
        <v>0</v>
      </c>
      <c r="M404" s="62">
        <f t="shared" si="167"/>
        <v>0</v>
      </c>
      <c r="N404" s="62">
        <f>N393+N402</f>
        <v>0</v>
      </c>
      <c r="O404" s="62">
        <f>O393+O402</f>
        <v>0</v>
      </c>
      <c r="P404" s="62">
        <f>P393+P402</f>
        <v>0</v>
      </c>
      <c r="Q404" s="62">
        <f t="shared" ref="Q404:AB404" si="168">Q393+Q402</f>
        <v>0</v>
      </c>
      <c r="R404" s="62">
        <f t="shared" si="168"/>
        <v>0</v>
      </c>
      <c r="S404" s="62">
        <f t="shared" si="168"/>
        <v>0</v>
      </c>
      <c r="T404" s="62">
        <f t="shared" si="168"/>
        <v>0</v>
      </c>
      <c r="U404" s="62">
        <f t="shared" si="168"/>
        <v>0</v>
      </c>
      <c r="V404" s="62">
        <f t="shared" si="168"/>
        <v>0</v>
      </c>
      <c r="W404" s="62">
        <f t="shared" si="168"/>
        <v>0</v>
      </c>
      <c r="X404" s="62">
        <f t="shared" si="168"/>
        <v>0</v>
      </c>
      <c r="Y404" s="62">
        <f t="shared" si="168"/>
        <v>0</v>
      </c>
      <c r="Z404" s="62">
        <f t="shared" si="168"/>
        <v>0</v>
      </c>
      <c r="AA404" s="62">
        <f t="shared" si="168"/>
        <v>0</v>
      </c>
      <c r="AB404" s="62">
        <f t="shared" si="168"/>
        <v>0</v>
      </c>
      <c r="AC404" s="62">
        <f>AC393+AC402</f>
        <v>0</v>
      </c>
      <c r="AD404" s="62">
        <f>AD393+AD402</f>
        <v>0</v>
      </c>
      <c r="AE404" s="62">
        <f>AE393+AE402</f>
        <v>0</v>
      </c>
      <c r="AF404" s="63">
        <f>SUM(H404:AE404)</f>
        <v>581244</v>
      </c>
      <c r="AG404" s="58" t="str">
        <f>IF(ABS(AF404-F404)&lt;1,"ok","err")</f>
        <v>ok</v>
      </c>
    </row>
    <row r="405" spans="1:33">
      <c r="A405" s="60"/>
      <c r="B405" s="60"/>
      <c r="F405" s="76"/>
      <c r="W405" s="44"/>
      <c r="AF405" s="63"/>
      <c r="AG405" s="58"/>
    </row>
    <row r="406" spans="1:33" ht="15">
      <c r="A406" s="59" t="s">
        <v>45</v>
      </c>
      <c r="B406" s="60"/>
      <c r="F406" s="76"/>
      <c r="W406" s="44"/>
      <c r="AF406" s="63"/>
      <c r="AG406" s="58"/>
    </row>
    <row r="407" spans="1:33">
      <c r="A407" s="60"/>
      <c r="B407" s="60"/>
      <c r="F407" s="76"/>
      <c r="W407" s="44"/>
      <c r="AF407" s="63"/>
      <c r="AG407" s="58"/>
    </row>
    <row r="408" spans="1:33" ht="15">
      <c r="A408" s="65" t="s">
        <v>234</v>
      </c>
      <c r="B408" s="60"/>
      <c r="F408" s="76"/>
      <c r="W408" s="44"/>
      <c r="AF408" s="63"/>
      <c r="AG408" s="58"/>
    </row>
    <row r="409" spans="1:33">
      <c r="A409" s="60">
        <v>546</v>
      </c>
      <c r="B409" s="60" t="s">
        <v>209</v>
      </c>
      <c r="C409" s="44" t="s">
        <v>293</v>
      </c>
      <c r="D409" s="44" t="s">
        <v>646</v>
      </c>
      <c r="F409" s="76">
        <v>468874</v>
      </c>
      <c r="H409" s="63">
        <f t="shared" ref="H409:Q413" si="169">IF(VLOOKUP($D409,$C$6:$AE$653,H$2,)=0,0,((VLOOKUP($D409,$C$6:$AE$653,H$2,)/VLOOKUP($D409,$C$6:$AE$653,4,))*$F409))</f>
        <v>161199.4930567375</v>
      </c>
      <c r="I409" s="63">
        <f t="shared" si="169"/>
        <v>168866.67198966249</v>
      </c>
      <c r="J409" s="63">
        <f t="shared" si="169"/>
        <v>138807.83495360002</v>
      </c>
      <c r="K409" s="63">
        <f t="shared" si="169"/>
        <v>0</v>
      </c>
      <c r="L409" s="63">
        <f t="shared" si="169"/>
        <v>0</v>
      </c>
      <c r="M409" s="63">
        <f t="shared" si="169"/>
        <v>0</v>
      </c>
      <c r="N409" s="63">
        <f t="shared" si="169"/>
        <v>0</v>
      </c>
      <c r="O409" s="63">
        <f t="shared" si="169"/>
        <v>0</v>
      </c>
      <c r="P409" s="63">
        <f t="shared" si="169"/>
        <v>0</v>
      </c>
      <c r="Q409" s="63">
        <f t="shared" si="169"/>
        <v>0</v>
      </c>
      <c r="R409" s="63">
        <f t="shared" ref="R409:AE413" si="170">IF(VLOOKUP($D409,$C$6:$AE$653,R$2,)=0,0,((VLOOKUP($D409,$C$6:$AE$653,R$2,)/VLOOKUP($D409,$C$6:$AE$653,4,))*$F409))</f>
        <v>0</v>
      </c>
      <c r="S409" s="63">
        <f t="shared" si="170"/>
        <v>0</v>
      </c>
      <c r="T409" s="63">
        <f t="shared" si="170"/>
        <v>0</v>
      </c>
      <c r="U409" s="63">
        <f t="shared" si="170"/>
        <v>0</v>
      </c>
      <c r="V409" s="63">
        <f t="shared" si="170"/>
        <v>0</v>
      </c>
      <c r="W409" s="63">
        <f t="shared" si="170"/>
        <v>0</v>
      </c>
      <c r="X409" s="63">
        <f t="shared" si="170"/>
        <v>0</v>
      </c>
      <c r="Y409" s="63">
        <f t="shared" si="170"/>
        <v>0</v>
      </c>
      <c r="Z409" s="63">
        <f t="shared" si="170"/>
        <v>0</v>
      </c>
      <c r="AA409" s="63">
        <f t="shared" si="170"/>
        <v>0</v>
      </c>
      <c r="AB409" s="63">
        <f t="shared" si="170"/>
        <v>0</v>
      </c>
      <c r="AC409" s="63">
        <f t="shared" si="170"/>
        <v>0</v>
      </c>
      <c r="AD409" s="63">
        <f t="shared" si="170"/>
        <v>0</v>
      </c>
      <c r="AE409" s="63">
        <f t="shared" si="170"/>
        <v>0</v>
      </c>
      <c r="AF409" s="63">
        <f t="shared" ref="AF409:AF415" si="171">SUM(H409:AE409)</f>
        <v>468874</v>
      </c>
      <c r="AG409" s="58" t="str">
        <f>IF(ABS(AF409-F409)&lt;1,"ok","err")</f>
        <v>ok</v>
      </c>
    </row>
    <row r="410" spans="1:33">
      <c r="A410" s="60">
        <v>547</v>
      </c>
      <c r="B410" s="60" t="s">
        <v>211</v>
      </c>
      <c r="C410" s="44" t="s">
        <v>294</v>
      </c>
      <c r="D410" s="44" t="s">
        <v>930</v>
      </c>
      <c r="F410" s="79">
        <v>0</v>
      </c>
      <c r="H410" s="63">
        <f t="shared" si="169"/>
        <v>0</v>
      </c>
      <c r="I410" s="63">
        <f t="shared" si="169"/>
        <v>0</v>
      </c>
      <c r="J410" s="63">
        <f t="shared" si="169"/>
        <v>0</v>
      </c>
      <c r="K410" s="63">
        <f t="shared" si="169"/>
        <v>0</v>
      </c>
      <c r="L410" s="63">
        <f t="shared" si="169"/>
        <v>0</v>
      </c>
      <c r="M410" s="63">
        <f t="shared" si="169"/>
        <v>0</v>
      </c>
      <c r="N410" s="63">
        <f t="shared" si="169"/>
        <v>0</v>
      </c>
      <c r="O410" s="63">
        <f t="shared" si="169"/>
        <v>0</v>
      </c>
      <c r="P410" s="63">
        <f t="shared" si="169"/>
        <v>0</v>
      </c>
      <c r="Q410" s="63">
        <f t="shared" si="169"/>
        <v>0</v>
      </c>
      <c r="R410" s="63">
        <f t="shared" si="170"/>
        <v>0</v>
      </c>
      <c r="S410" s="63">
        <f t="shared" si="170"/>
        <v>0</v>
      </c>
      <c r="T410" s="63">
        <f t="shared" si="170"/>
        <v>0</v>
      </c>
      <c r="U410" s="63">
        <f t="shared" si="170"/>
        <v>0</v>
      </c>
      <c r="V410" s="63">
        <f t="shared" si="170"/>
        <v>0</v>
      </c>
      <c r="W410" s="63">
        <f t="shared" si="170"/>
        <v>0</v>
      </c>
      <c r="X410" s="63">
        <f t="shared" si="170"/>
        <v>0</v>
      </c>
      <c r="Y410" s="63">
        <f t="shared" si="170"/>
        <v>0</v>
      </c>
      <c r="Z410" s="63">
        <f t="shared" si="170"/>
        <v>0</v>
      </c>
      <c r="AA410" s="63">
        <f t="shared" si="170"/>
        <v>0</v>
      </c>
      <c r="AB410" s="63">
        <f t="shared" si="170"/>
        <v>0</v>
      </c>
      <c r="AC410" s="63">
        <f t="shared" si="170"/>
        <v>0</v>
      </c>
      <c r="AD410" s="63">
        <f t="shared" si="170"/>
        <v>0</v>
      </c>
      <c r="AE410" s="63">
        <f t="shared" si="170"/>
        <v>0</v>
      </c>
      <c r="AF410" s="63">
        <f t="shared" si="171"/>
        <v>0</v>
      </c>
      <c r="AG410" s="58" t="str">
        <f>IF(ABS(AF410-F410)&lt;1,"ok","err")</f>
        <v>ok</v>
      </c>
    </row>
    <row r="411" spans="1:33">
      <c r="A411" s="60">
        <v>548</v>
      </c>
      <c r="B411" s="60" t="s">
        <v>237</v>
      </c>
      <c r="C411" s="44" t="s">
        <v>295</v>
      </c>
      <c r="D411" s="44" t="s">
        <v>646</v>
      </c>
      <c r="F411" s="79">
        <v>161301</v>
      </c>
      <c r="H411" s="63">
        <f t="shared" si="169"/>
        <v>55455.494289606191</v>
      </c>
      <c r="I411" s="63">
        <f t="shared" si="169"/>
        <v>58093.140286312635</v>
      </c>
      <c r="J411" s="63">
        <f t="shared" si="169"/>
        <v>47752.365424081174</v>
      </c>
      <c r="K411" s="63">
        <f t="shared" si="169"/>
        <v>0</v>
      </c>
      <c r="L411" s="63">
        <f t="shared" si="169"/>
        <v>0</v>
      </c>
      <c r="M411" s="63">
        <f t="shared" si="169"/>
        <v>0</v>
      </c>
      <c r="N411" s="63">
        <f t="shared" si="169"/>
        <v>0</v>
      </c>
      <c r="O411" s="63">
        <f t="shared" si="169"/>
        <v>0</v>
      </c>
      <c r="P411" s="63">
        <f t="shared" si="169"/>
        <v>0</v>
      </c>
      <c r="Q411" s="63">
        <f t="shared" si="169"/>
        <v>0</v>
      </c>
      <c r="R411" s="63">
        <f t="shared" si="170"/>
        <v>0</v>
      </c>
      <c r="S411" s="63">
        <f t="shared" si="170"/>
        <v>0</v>
      </c>
      <c r="T411" s="63">
        <f t="shared" si="170"/>
        <v>0</v>
      </c>
      <c r="U411" s="63">
        <f t="shared" si="170"/>
        <v>0</v>
      </c>
      <c r="V411" s="63">
        <f t="shared" si="170"/>
        <v>0</v>
      </c>
      <c r="W411" s="63">
        <f t="shared" si="170"/>
        <v>0</v>
      </c>
      <c r="X411" s="63">
        <f t="shared" si="170"/>
        <v>0</v>
      </c>
      <c r="Y411" s="63">
        <f t="shared" si="170"/>
        <v>0</v>
      </c>
      <c r="Z411" s="63">
        <f t="shared" si="170"/>
        <v>0</v>
      </c>
      <c r="AA411" s="63">
        <f t="shared" si="170"/>
        <v>0</v>
      </c>
      <c r="AB411" s="63">
        <f t="shared" si="170"/>
        <v>0</v>
      </c>
      <c r="AC411" s="63">
        <f t="shared" si="170"/>
        <v>0</v>
      </c>
      <c r="AD411" s="63">
        <f t="shared" si="170"/>
        <v>0</v>
      </c>
      <c r="AE411" s="63">
        <f t="shared" si="170"/>
        <v>0</v>
      </c>
      <c r="AF411" s="63">
        <f t="shared" si="171"/>
        <v>161301</v>
      </c>
      <c r="AG411" s="58" t="str">
        <f>IF(ABS(AF411-F411)&lt;1,"ok","err")</f>
        <v>ok</v>
      </c>
    </row>
    <row r="412" spans="1:33">
      <c r="A412" s="60">
        <v>549</v>
      </c>
      <c r="B412" s="60" t="s">
        <v>239</v>
      </c>
      <c r="C412" s="44" t="s">
        <v>296</v>
      </c>
      <c r="D412" s="44" t="s">
        <v>646</v>
      </c>
      <c r="F412" s="79">
        <v>354300</v>
      </c>
      <c r="H412" s="63">
        <f t="shared" si="169"/>
        <v>121808.8023434912</v>
      </c>
      <c r="I412" s="63">
        <f t="shared" si="169"/>
        <v>127602.43026044827</v>
      </c>
      <c r="J412" s="63">
        <f t="shared" si="169"/>
        <v>104888.76739606053</v>
      </c>
      <c r="K412" s="63">
        <f t="shared" si="169"/>
        <v>0</v>
      </c>
      <c r="L412" s="63">
        <f t="shared" si="169"/>
        <v>0</v>
      </c>
      <c r="M412" s="63">
        <f t="shared" si="169"/>
        <v>0</v>
      </c>
      <c r="N412" s="63">
        <f t="shared" si="169"/>
        <v>0</v>
      </c>
      <c r="O412" s="63">
        <f t="shared" si="169"/>
        <v>0</v>
      </c>
      <c r="P412" s="63">
        <f t="shared" si="169"/>
        <v>0</v>
      </c>
      <c r="Q412" s="63">
        <f t="shared" si="169"/>
        <v>0</v>
      </c>
      <c r="R412" s="63">
        <f t="shared" si="170"/>
        <v>0</v>
      </c>
      <c r="S412" s="63">
        <f t="shared" si="170"/>
        <v>0</v>
      </c>
      <c r="T412" s="63">
        <f t="shared" si="170"/>
        <v>0</v>
      </c>
      <c r="U412" s="63">
        <f t="shared" si="170"/>
        <v>0</v>
      </c>
      <c r="V412" s="63">
        <f t="shared" si="170"/>
        <v>0</v>
      </c>
      <c r="W412" s="63">
        <f t="shared" si="170"/>
        <v>0</v>
      </c>
      <c r="X412" s="63">
        <f t="shared" si="170"/>
        <v>0</v>
      </c>
      <c r="Y412" s="63">
        <f t="shared" si="170"/>
        <v>0</v>
      </c>
      <c r="Z412" s="63">
        <f t="shared" si="170"/>
        <v>0</v>
      </c>
      <c r="AA412" s="63">
        <f t="shared" si="170"/>
        <v>0</v>
      </c>
      <c r="AB412" s="63">
        <f t="shared" si="170"/>
        <v>0</v>
      </c>
      <c r="AC412" s="63">
        <f t="shared" si="170"/>
        <v>0</v>
      </c>
      <c r="AD412" s="63">
        <f t="shared" si="170"/>
        <v>0</v>
      </c>
      <c r="AE412" s="63">
        <f t="shared" si="170"/>
        <v>0</v>
      </c>
      <c r="AF412" s="63">
        <f t="shared" si="171"/>
        <v>354300</v>
      </c>
      <c r="AG412" s="58" t="str">
        <f>IF(ABS(AF412-F412)&lt;1,"ok","err")</f>
        <v>ok</v>
      </c>
    </row>
    <row r="413" spans="1:33">
      <c r="A413" s="60">
        <v>550</v>
      </c>
      <c r="B413" s="60" t="s">
        <v>1004</v>
      </c>
      <c r="C413" s="44" t="s">
        <v>297</v>
      </c>
      <c r="D413" s="44" t="s">
        <v>646</v>
      </c>
      <c r="F413" s="79">
        <v>0</v>
      </c>
      <c r="H413" s="63">
        <f t="shared" si="169"/>
        <v>0</v>
      </c>
      <c r="I413" s="63">
        <f t="shared" si="169"/>
        <v>0</v>
      </c>
      <c r="J413" s="63">
        <f t="shared" si="169"/>
        <v>0</v>
      </c>
      <c r="K413" s="63">
        <f t="shared" si="169"/>
        <v>0</v>
      </c>
      <c r="L413" s="63">
        <f t="shared" si="169"/>
        <v>0</v>
      </c>
      <c r="M413" s="63">
        <f t="shared" si="169"/>
        <v>0</v>
      </c>
      <c r="N413" s="63">
        <f t="shared" si="169"/>
        <v>0</v>
      </c>
      <c r="O413" s="63">
        <f t="shared" si="169"/>
        <v>0</v>
      </c>
      <c r="P413" s="63">
        <f t="shared" si="169"/>
        <v>0</v>
      </c>
      <c r="Q413" s="63">
        <f t="shared" si="169"/>
        <v>0</v>
      </c>
      <c r="R413" s="63">
        <f t="shared" si="170"/>
        <v>0</v>
      </c>
      <c r="S413" s="63">
        <f t="shared" si="170"/>
        <v>0</v>
      </c>
      <c r="T413" s="63">
        <f t="shared" si="170"/>
        <v>0</v>
      </c>
      <c r="U413" s="63">
        <f t="shared" si="170"/>
        <v>0</v>
      </c>
      <c r="V413" s="63">
        <f t="shared" si="170"/>
        <v>0</v>
      </c>
      <c r="W413" s="63">
        <f t="shared" si="170"/>
        <v>0</v>
      </c>
      <c r="X413" s="63">
        <f t="shared" si="170"/>
        <v>0</v>
      </c>
      <c r="Y413" s="63">
        <f t="shared" si="170"/>
        <v>0</v>
      </c>
      <c r="Z413" s="63">
        <f t="shared" si="170"/>
        <v>0</v>
      </c>
      <c r="AA413" s="63">
        <f t="shared" si="170"/>
        <v>0</v>
      </c>
      <c r="AB413" s="63">
        <f t="shared" si="170"/>
        <v>0</v>
      </c>
      <c r="AC413" s="63">
        <f t="shared" si="170"/>
        <v>0</v>
      </c>
      <c r="AD413" s="63">
        <f t="shared" si="170"/>
        <v>0</v>
      </c>
      <c r="AE413" s="63">
        <f t="shared" si="170"/>
        <v>0</v>
      </c>
      <c r="AF413" s="63">
        <f t="shared" si="171"/>
        <v>0</v>
      </c>
      <c r="AG413" s="58" t="str">
        <f>IF(ABS(AF413-F413)&lt;1,"ok","err")</f>
        <v>ok</v>
      </c>
    </row>
    <row r="414" spans="1:33">
      <c r="A414" s="60"/>
      <c r="B414" s="60"/>
      <c r="F414" s="79"/>
      <c r="W414" s="44"/>
      <c r="AF414" s="63"/>
      <c r="AG414" s="58"/>
    </row>
    <row r="415" spans="1:33">
      <c r="A415" s="60"/>
      <c r="B415" s="60" t="s">
        <v>242</v>
      </c>
      <c r="C415" s="44" t="s">
        <v>654</v>
      </c>
      <c r="F415" s="76">
        <f>SUM(F409:F414)</f>
        <v>984475</v>
      </c>
      <c r="H415" s="62">
        <f t="shared" ref="H415:M415" si="172">SUM(H409:H414)</f>
        <v>338463.78968983493</v>
      </c>
      <c r="I415" s="62">
        <f t="shared" si="172"/>
        <v>354562.24253642338</v>
      </c>
      <c r="J415" s="62">
        <f t="shared" si="172"/>
        <v>291448.96777374169</v>
      </c>
      <c r="K415" s="62">
        <f t="shared" si="172"/>
        <v>0</v>
      </c>
      <c r="L415" s="62">
        <f t="shared" si="172"/>
        <v>0</v>
      </c>
      <c r="M415" s="62">
        <f t="shared" si="172"/>
        <v>0</v>
      </c>
      <c r="N415" s="62">
        <f>SUM(N409:N414)</f>
        <v>0</v>
      </c>
      <c r="O415" s="62">
        <f>SUM(O409:O414)</f>
        <v>0</v>
      </c>
      <c r="P415" s="62">
        <f>SUM(P409:P414)</f>
        <v>0</v>
      </c>
      <c r="Q415" s="62">
        <f t="shared" ref="Q415:AB415" si="173">SUM(Q409:Q414)</f>
        <v>0</v>
      </c>
      <c r="R415" s="62">
        <f t="shared" si="173"/>
        <v>0</v>
      </c>
      <c r="S415" s="62">
        <f t="shared" si="173"/>
        <v>0</v>
      </c>
      <c r="T415" s="62">
        <f t="shared" si="173"/>
        <v>0</v>
      </c>
      <c r="U415" s="62">
        <f t="shared" si="173"/>
        <v>0</v>
      </c>
      <c r="V415" s="62">
        <f t="shared" si="173"/>
        <v>0</v>
      </c>
      <c r="W415" s="62">
        <f t="shared" si="173"/>
        <v>0</v>
      </c>
      <c r="X415" s="62">
        <f t="shared" si="173"/>
        <v>0</v>
      </c>
      <c r="Y415" s="62">
        <f t="shared" si="173"/>
        <v>0</v>
      </c>
      <c r="Z415" s="62">
        <f t="shared" si="173"/>
        <v>0</v>
      </c>
      <c r="AA415" s="62">
        <f t="shared" si="173"/>
        <v>0</v>
      </c>
      <c r="AB415" s="62">
        <f t="shared" si="173"/>
        <v>0</v>
      </c>
      <c r="AC415" s="62">
        <f>SUM(AC409:AC414)</f>
        <v>0</v>
      </c>
      <c r="AD415" s="62">
        <f>SUM(AD409:AD414)</f>
        <v>0</v>
      </c>
      <c r="AE415" s="62">
        <f>SUM(AE409:AE414)</f>
        <v>0</v>
      </c>
      <c r="AF415" s="63">
        <f t="shared" si="171"/>
        <v>984475</v>
      </c>
      <c r="AG415" s="58" t="str">
        <f>IF(ABS(AF415-F415)&lt;1,"ok","err")</f>
        <v>ok</v>
      </c>
    </row>
    <row r="416" spans="1:33">
      <c r="A416" s="60"/>
      <c r="B416" s="60"/>
      <c r="F416" s="76"/>
      <c r="W416" s="44"/>
      <c r="AF416" s="63"/>
      <c r="AG416" s="58"/>
    </row>
    <row r="417" spans="1:33" ht="15">
      <c r="A417" s="65" t="s">
        <v>243</v>
      </c>
      <c r="B417" s="60"/>
      <c r="F417" s="76"/>
      <c r="W417" s="44"/>
      <c r="AF417" s="63"/>
      <c r="AG417" s="58"/>
    </row>
    <row r="418" spans="1:33">
      <c r="A418" s="60">
        <v>551</v>
      </c>
      <c r="B418" s="60" t="s">
        <v>224</v>
      </c>
      <c r="C418" s="44" t="s">
        <v>298</v>
      </c>
      <c r="D418" s="44" t="s">
        <v>646</v>
      </c>
      <c r="F418" s="76">
        <v>230613</v>
      </c>
      <c r="H418" s="63">
        <f t="shared" ref="H418:Q421" si="174">IF(VLOOKUP($D418,$C$6:$AE$653,H$2,)=0,0,((VLOOKUP($D418,$C$6:$AE$653,H$2,)/VLOOKUP($D418,$C$6:$AE$653,4,))*$F418))</f>
        <v>79285.05033824312</v>
      </c>
      <c r="I418" s="63">
        <f t="shared" si="174"/>
        <v>83056.108522869763</v>
      </c>
      <c r="J418" s="63">
        <f t="shared" si="174"/>
        <v>68271.841138887117</v>
      </c>
      <c r="K418" s="63">
        <f t="shared" si="174"/>
        <v>0</v>
      </c>
      <c r="L418" s="63">
        <f t="shared" si="174"/>
        <v>0</v>
      </c>
      <c r="M418" s="63">
        <f t="shared" si="174"/>
        <v>0</v>
      </c>
      <c r="N418" s="63">
        <f t="shared" si="174"/>
        <v>0</v>
      </c>
      <c r="O418" s="63">
        <f t="shared" si="174"/>
        <v>0</v>
      </c>
      <c r="P418" s="63">
        <f t="shared" si="174"/>
        <v>0</v>
      </c>
      <c r="Q418" s="63">
        <f t="shared" si="174"/>
        <v>0</v>
      </c>
      <c r="R418" s="63">
        <f t="shared" ref="R418:AE421" si="175">IF(VLOOKUP($D418,$C$6:$AE$653,R$2,)=0,0,((VLOOKUP($D418,$C$6:$AE$653,R$2,)/VLOOKUP($D418,$C$6:$AE$653,4,))*$F418))</f>
        <v>0</v>
      </c>
      <c r="S418" s="63">
        <f t="shared" si="175"/>
        <v>0</v>
      </c>
      <c r="T418" s="63">
        <f t="shared" si="175"/>
        <v>0</v>
      </c>
      <c r="U418" s="63">
        <f t="shared" si="175"/>
        <v>0</v>
      </c>
      <c r="V418" s="63">
        <f t="shared" si="175"/>
        <v>0</v>
      </c>
      <c r="W418" s="63">
        <f t="shared" si="175"/>
        <v>0</v>
      </c>
      <c r="X418" s="63">
        <f t="shared" si="175"/>
        <v>0</v>
      </c>
      <c r="Y418" s="63">
        <f t="shared" si="175"/>
        <v>0</v>
      </c>
      <c r="Z418" s="63">
        <f t="shared" si="175"/>
        <v>0</v>
      </c>
      <c r="AA418" s="63">
        <f t="shared" si="175"/>
        <v>0</v>
      </c>
      <c r="AB418" s="63">
        <f t="shared" si="175"/>
        <v>0</v>
      </c>
      <c r="AC418" s="63">
        <f t="shared" si="175"/>
        <v>0</v>
      </c>
      <c r="AD418" s="63">
        <f t="shared" si="175"/>
        <v>0</v>
      </c>
      <c r="AE418" s="63">
        <f t="shared" si="175"/>
        <v>0</v>
      </c>
      <c r="AF418" s="63">
        <f t="shared" ref="AF418:AF425" si="176">SUM(H418:AE418)</f>
        <v>230613</v>
      </c>
      <c r="AG418" s="58" t="str">
        <f>IF(ABS(AF418-F418)&lt;1,"ok","err")</f>
        <v>ok</v>
      </c>
    </row>
    <row r="419" spans="1:33">
      <c r="A419" s="60">
        <v>552</v>
      </c>
      <c r="B419" s="60" t="s">
        <v>223</v>
      </c>
      <c r="C419" s="44" t="s">
        <v>299</v>
      </c>
      <c r="D419" s="44" t="s">
        <v>646</v>
      </c>
      <c r="F419" s="79">
        <v>0</v>
      </c>
      <c r="H419" s="63">
        <f t="shared" si="174"/>
        <v>0</v>
      </c>
      <c r="I419" s="63">
        <f t="shared" si="174"/>
        <v>0</v>
      </c>
      <c r="J419" s="63">
        <f t="shared" si="174"/>
        <v>0</v>
      </c>
      <c r="K419" s="63">
        <f t="shared" si="174"/>
        <v>0</v>
      </c>
      <c r="L419" s="63">
        <f t="shared" si="174"/>
        <v>0</v>
      </c>
      <c r="M419" s="63">
        <f t="shared" si="174"/>
        <v>0</v>
      </c>
      <c r="N419" s="63">
        <f t="shared" si="174"/>
        <v>0</v>
      </c>
      <c r="O419" s="63">
        <f t="shared" si="174"/>
        <v>0</v>
      </c>
      <c r="P419" s="63">
        <f t="shared" si="174"/>
        <v>0</v>
      </c>
      <c r="Q419" s="63">
        <f t="shared" si="174"/>
        <v>0</v>
      </c>
      <c r="R419" s="63">
        <f t="shared" si="175"/>
        <v>0</v>
      </c>
      <c r="S419" s="63">
        <f t="shared" si="175"/>
        <v>0</v>
      </c>
      <c r="T419" s="63">
        <f t="shared" si="175"/>
        <v>0</v>
      </c>
      <c r="U419" s="63">
        <f t="shared" si="175"/>
        <v>0</v>
      </c>
      <c r="V419" s="63">
        <f t="shared" si="175"/>
        <v>0</v>
      </c>
      <c r="W419" s="63">
        <f t="shared" si="175"/>
        <v>0</v>
      </c>
      <c r="X419" s="63">
        <f t="shared" si="175"/>
        <v>0</v>
      </c>
      <c r="Y419" s="63">
        <f t="shared" si="175"/>
        <v>0</v>
      </c>
      <c r="Z419" s="63">
        <f t="shared" si="175"/>
        <v>0</v>
      </c>
      <c r="AA419" s="63">
        <f t="shared" si="175"/>
        <v>0</v>
      </c>
      <c r="AB419" s="63">
        <f t="shared" si="175"/>
        <v>0</v>
      </c>
      <c r="AC419" s="63">
        <f t="shared" si="175"/>
        <v>0</v>
      </c>
      <c r="AD419" s="63">
        <f t="shared" si="175"/>
        <v>0</v>
      </c>
      <c r="AE419" s="63">
        <f t="shared" si="175"/>
        <v>0</v>
      </c>
      <c r="AF419" s="63">
        <f t="shared" si="176"/>
        <v>0</v>
      </c>
      <c r="AG419" s="58" t="str">
        <f>IF(ABS(AF419-F419)&lt;1,"ok","err")</f>
        <v>ok</v>
      </c>
    </row>
    <row r="420" spans="1:33">
      <c r="A420" s="60">
        <v>553</v>
      </c>
      <c r="B420" s="60" t="s">
        <v>246</v>
      </c>
      <c r="C420" s="44" t="s">
        <v>300</v>
      </c>
      <c r="D420" s="44" t="s">
        <v>646</v>
      </c>
      <c r="F420" s="79">
        <v>606788</v>
      </c>
      <c r="H420" s="63">
        <f t="shared" si="174"/>
        <v>208614.50622749745</v>
      </c>
      <c r="I420" s="63">
        <f t="shared" si="174"/>
        <v>218536.8993871772</v>
      </c>
      <c r="J420" s="63">
        <f t="shared" si="174"/>
        <v>179636.59438532536</v>
      </c>
      <c r="K420" s="63">
        <f t="shared" si="174"/>
        <v>0</v>
      </c>
      <c r="L420" s="63">
        <f t="shared" si="174"/>
        <v>0</v>
      </c>
      <c r="M420" s="63">
        <f t="shared" si="174"/>
        <v>0</v>
      </c>
      <c r="N420" s="63">
        <f t="shared" si="174"/>
        <v>0</v>
      </c>
      <c r="O420" s="63">
        <f t="shared" si="174"/>
        <v>0</v>
      </c>
      <c r="P420" s="63">
        <f t="shared" si="174"/>
        <v>0</v>
      </c>
      <c r="Q420" s="63">
        <f t="shared" si="174"/>
        <v>0</v>
      </c>
      <c r="R420" s="63">
        <f t="shared" si="175"/>
        <v>0</v>
      </c>
      <c r="S420" s="63">
        <f t="shared" si="175"/>
        <v>0</v>
      </c>
      <c r="T420" s="63">
        <f t="shared" si="175"/>
        <v>0</v>
      </c>
      <c r="U420" s="63">
        <f t="shared" si="175"/>
        <v>0</v>
      </c>
      <c r="V420" s="63">
        <f t="shared" si="175"/>
        <v>0</v>
      </c>
      <c r="W420" s="63">
        <f t="shared" si="175"/>
        <v>0</v>
      </c>
      <c r="X420" s="63">
        <f t="shared" si="175"/>
        <v>0</v>
      </c>
      <c r="Y420" s="63">
        <f t="shared" si="175"/>
        <v>0</v>
      </c>
      <c r="Z420" s="63">
        <f t="shared" si="175"/>
        <v>0</v>
      </c>
      <c r="AA420" s="63">
        <f t="shared" si="175"/>
        <v>0</v>
      </c>
      <c r="AB420" s="63">
        <f t="shared" si="175"/>
        <v>0</v>
      </c>
      <c r="AC420" s="63">
        <f t="shared" si="175"/>
        <v>0</v>
      </c>
      <c r="AD420" s="63">
        <f t="shared" si="175"/>
        <v>0</v>
      </c>
      <c r="AE420" s="63">
        <f t="shared" si="175"/>
        <v>0</v>
      </c>
      <c r="AF420" s="63">
        <f t="shared" si="176"/>
        <v>606788</v>
      </c>
      <c r="AG420" s="58" t="str">
        <f>IF(ABS(AF420-F420)&lt;1,"ok","err")</f>
        <v>ok</v>
      </c>
    </row>
    <row r="421" spans="1:33">
      <c r="A421" s="60">
        <v>554</v>
      </c>
      <c r="B421" s="60" t="s">
        <v>248</v>
      </c>
      <c r="C421" s="44" t="s">
        <v>301</v>
      </c>
      <c r="D421" s="44" t="s">
        <v>646</v>
      </c>
      <c r="F421" s="79">
        <v>-160951</v>
      </c>
      <c r="H421" s="63">
        <f t="shared" si="174"/>
        <v>-55335.163832873986</v>
      </c>
      <c r="I421" s="63">
        <f t="shared" si="174"/>
        <v>-57967.086516650888</v>
      </c>
      <c r="J421" s="63">
        <f t="shared" si="174"/>
        <v>-47648.749650475133</v>
      </c>
      <c r="K421" s="63">
        <f t="shared" si="174"/>
        <v>0</v>
      </c>
      <c r="L421" s="63">
        <f t="shared" si="174"/>
        <v>0</v>
      </c>
      <c r="M421" s="63">
        <f t="shared" si="174"/>
        <v>0</v>
      </c>
      <c r="N421" s="63">
        <f t="shared" si="174"/>
        <v>0</v>
      </c>
      <c r="O421" s="63">
        <f t="shared" si="174"/>
        <v>0</v>
      </c>
      <c r="P421" s="63">
        <f t="shared" si="174"/>
        <v>0</v>
      </c>
      <c r="Q421" s="63">
        <f t="shared" si="174"/>
        <v>0</v>
      </c>
      <c r="R421" s="63">
        <f t="shared" si="175"/>
        <v>0</v>
      </c>
      <c r="S421" s="63">
        <f t="shared" si="175"/>
        <v>0</v>
      </c>
      <c r="T421" s="63">
        <f t="shared" si="175"/>
        <v>0</v>
      </c>
      <c r="U421" s="63">
        <f t="shared" si="175"/>
        <v>0</v>
      </c>
      <c r="V421" s="63">
        <f t="shared" si="175"/>
        <v>0</v>
      </c>
      <c r="W421" s="63">
        <f t="shared" si="175"/>
        <v>0</v>
      </c>
      <c r="X421" s="63">
        <f t="shared" si="175"/>
        <v>0</v>
      </c>
      <c r="Y421" s="63">
        <f t="shared" si="175"/>
        <v>0</v>
      </c>
      <c r="Z421" s="63">
        <f t="shared" si="175"/>
        <v>0</v>
      </c>
      <c r="AA421" s="63">
        <f t="shared" si="175"/>
        <v>0</v>
      </c>
      <c r="AB421" s="63">
        <f t="shared" si="175"/>
        <v>0</v>
      </c>
      <c r="AC421" s="63">
        <f t="shared" si="175"/>
        <v>0</v>
      </c>
      <c r="AD421" s="63">
        <f t="shared" si="175"/>
        <v>0</v>
      </c>
      <c r="AE421" s="63">
        <f t="shared" si="175"/>
        <v>0</v>
      </c>
      <c r="AF421" s="63">
        <f t="shared" si="176"/>
        <v>-160951</v>
      </c>
      <c r="AG421" s="58" t="str">
        <f>IF(ABS(AF421-F421)&lt;1,"ok","err")</f>
        <v>ok</v>
      </c>
    </row>
    <row r="422" spans="1:33">
      <c r="A422" s="60"/>
      <c r="B422" s="60"/>
      <c r="F422" s="79"/>
      <c r="W422" s="44"/>
      <c r="AF422" s="63"/>
      <c r="AG422" s="58"/>
    </row>
    <row r="423" spans="1:33">
      <c r="A423" s="60"/>
      <c r="B423" s="60" t="s">
        <v>251</v>
      </c>
      <c r="C423" s="44" t="s">
        <v>655</v>
      </c>
      <c r="F423" s="76">
        <f>SUM(F418:F422)</f>
        <v>676450</v>
      </c>
      <c r="H423" s="62">
        <f t="shared" ref="H423:M423" si="177">SUM(H418:H422)</f>
        <v>232564.39273286657</v>
      </c>
      <c r="I423" s="62">
        <f t="shared" si="177"/>
        <v>243625.92139339607</v>
      </c>
      <c r="J423" s="62">
        <f t="shared" si="177"/>
        <v>200259.68587373735</v>
      </c>
      <c r="K423" s="62">
        <f t="shared" si="177"/>
        <v>0</v>
      </c>
      <c r="L423" s="62">
        <f t="shared" si="177"/>
        <v>0</v>
      </c>
      <c r="M423" s="62">
        <f t="shared" si="177"/>
        <v>0</v>
      </c>
      <c r="N423" s="62">
        <f>SUM(N418:N422)</f>
        <v>0</v>
      </c>
      <c r="O423" s="62">
        <f>SUM(O418:O422)</f>
        <v>0</v>
      </c>
      <c r="P423" s="62">
        <f>SUM(P418:P422)</f>
        <v>0</v>
      </c>
      <c r="Q423" s="62">
        <f t="shared" ref="Q423:AB423" si="178">SUM(Q418:Q422)</f>
        <v>0</v>
      </c>
      <c r="R423" s="62">
        <f t="shared" si="178"/>
        <v>0</v>
      </c>
      <c r="S423" s="62">
        <f t="shared" si="178"/>
        <v>0</v>
      </c>
      <c r="T423" s="62">
        <f t="shared" si="178"/>
        <v>0</v>
      </c>
      <c r="U423" s="62">
        <f t="shared" si="178"/>
        <v>0</v>
      </c>
      <c r="V423" s="62">
        <f t="shared" si="178"/>
        <v>0</v>
      </c>
      <c r="W423" s="62">
        <f t="shared" si="178"/>
        <v>0</v>
      </c>
      <c r="X423" s="62">
        <f t="shared" si="178"/>
        <v>0</v>
      </c>
      <c r="Y423" s="62">
        <f t="shared" si="178"/>
        <v>0</v>
      </c>
      <c r="Z423" s="62">
        <f t="shared" si="178"/>
        <v>0</v>
      </c>
      <c r="AA423" s="62">
        <f t="shared" si="178"/>
        <v>0</v>
      </c>
      <c r="AB423" s="62">
        <f t="shared" si="178"/>
        <v>0</v>
      </c>
      <c r="AC423" s="62">
        <f>SUM(AC418:AC422)</f>
        <v>0</v>
      </c>
      <c r="AD423" s="62">
        <f>SUM(AD418:AD422)</f>
        <v>0</v>
      </c>
      <c r="AE423" s="62">
        <f>SUM(AE418:AE422)</f>
        <v>0</v>
      </c>
      <c r="AF423" s="63">
        <f t="shared" si="176"/>
        <v>676450</v>
      </c>
      <c r="AG423" s="58" t="str">
        <f>IF(ABS(AF423-F423)&lt;1,"ok","err")</f>
        <v>ok</v>
      </c>
    </row>
    <row r="424" spans="1:33">
      <c r="A424" s="60"/>
      <c r="B424" s="60"/>
      <c r="F424" s="76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3"/>
      <c r="AG424" s="58"/>
    </row>
    <row r="425" spans="1:33">
      <c r="A425" s="60"/>
      <c r="B425" s="60" t="s">
        <v>250</v>
      </c>
      <c r="F425" s="76">
        <f>F415+F423</f>
        <v>1660925</v>
      </c>
      <c r="H425" s="62">
        <f t="shared" ref="H425:M425" si="179">H415+H423</f>
        <v>571028.1824227015</v>
      </c>
      <c r="I425" s="62">
        <f t="shared" si="179"/>
        <v>598188.16392981948</v>
      </c>
      <c r="J425" s="62">
        <f t="shared" si="179"/>
        <v>491708.65364747902</v>
      </c>
      <c r="K425" s="62">
        <f t="shared" si="179"/>
        <v>0</v>
      </c>
      <c r="L425" s="62">
        <f t="shared" si="179"/>
        <v>0</v>
      </c>
      <c r="M425" s="62">
        <f t="shared" si="179"/>
        <v>0</v>
      </c>
      <c r="N425" s="62">
        <f>N415+N423</f>
        <v>0</v>
      </c>
      <c r="O425" s="62">
        <f>O415+O423</f>
        <v>0</v>
      </c>
      <c r="P425" s="62">
        <f>P415+P423</f>
        <v>0</v>
      </c>
      <c r="Q425" s="62">
        <f t="shared" ref="Q425:AB425" si="180">Q415+Q423</f>
        <v>0</v>
      </c>
      <c r="R425" s="62">
        <f t="shared" si="180"/>
        <v>0</v>
      </c>
      <c r="S425" s="62">
        <f t="shared" si="180"/>
        <v>0</v>
      </c>
      <c r="T425" s="62">
        <f t="shared" si="180"/>
        <v>0</v>
      </c>
      <c r="U425" s="62">
        <f t="shared" si="180"/>
        <v>0</v>
      </c>
      <c r="V425" s="62">
        <f t="shared" si="180"/>
        <v>0</v>
      </c>
      <c r="W425" s="62">
        <f t="shared" si="180"/>
        <v>0</v>
      </c>
      <c r="X425" s="62">
        <f t="shared" si="180"/>
        <v>0</v>
      </c>
      <c r="Y425" s="62">
        <f t="shared" si="180"/>
        <v>0</v>
      </c>
      <c r="Z425" s="62">
        <f t="shared" si="180"/>
        <v>0</v>
      </c>
      <c r="AA425" s="62">
        <f t="shared" si="180"/>
        <v>0</v>
      </c>
      <c r="AB425" s="62">
        <f t="shared" si="180"/>
        <v>0</v>
      </c>
      <c r="AC425" s="62">
        <f>AC415+AC423</f>
        <v>0</v>
      </c>
      <c r="AD425" s="62">
        <f>AD415+AD423</f>
        <v>0</v>
      </c>
      <c r="AE425" s="62">
        <f>AE415+AE423</f>
        <v>0</v>
      </c>
      <c r="AF425" s="63">
        <f t="shared" si="176"/>
        <v>1660925</v>
      </c>
      <c r="AG425" s="58" t="str">
        <f>IF(ABS(AF425-F425)&lt;1,"ok","err")</f>
        <v>ok</v>
      </c>
    </row>
    <row r="426" spans="1:33">
      <c r="A426" s="60"/>
      <c r="B426" s="60"/>
      <c r="F426" s="76"/>
      <c r="W426" s="44"/>
      <c r="AF426" s="63"/>
      <c r="AG426" s="58"/>
    </row>
    <row r="427" spans="1:33">
      <c r="A427" s="60"/>
      <c r="B427" s="60" t="s">
        <v>341</v>
      </c>
      <c r="C427" s="44" t="s">
        <v>342</v>
      </c>
      <c r="F427" s="76">
        <f>F383+F404+F425</f>
        <v>29961102</v>
      </c>
      <c r="H427" s="62">
        <f t="shared" ref="H427:M427" si="181">H383+H404+H425</f>
        <v>5755855.5862147566</v>
      </c>
      <c r="I427" s="62">
        <f t="shared" si="181"/>
        <v>6029623.0395407528</v>
      </c>
      <c r="J427" s="62">
        <f t="shared" si="181"/>
        <v>4956329.8064891864</v>
      </c>
      <c r="K427" s="62">
        <f t="shared" si="181"/>
        <v>13219293.567755304</v>
      </c>
      <c r="L427" s="62">
        <f t="shared" si="181"/>
        <v>0</v>
      </c>
      <c r="M427" s="62">
        <f t="shared" si="181"/>
        <v>0</v>
      </c>
      <c r="N427" s="62">
        <f>N383+N404+N425</f>
        <v>0</v>
      </c>
      <c r="O427" s="62">
        <f>O383+O404+O425</f>
        <v>0</v>
      </c>
      <c r="P427" s="62">
        <f>P383+P404+P425</f>
        <v>0</v>
      </c>
      <c r="Q427" s="62">
        <f t="shared" ref="Q427:AB427" si="182">Q383+Q404+Q425</f>
        <v>0</v>
      </c>
      <c r="R427" s="62">
        <f t="shared" si="182"/>
        <v>0</v>
      </c>
      <c r="S427" s="62">
        <f t="shared" si="182"/>
        <v>0</v>
      </c>
      <c r="T427" s="62">
        <f t="shared" si="182"/>
        <v>0</v>
      </c>
      <c r="U427" s="62">
        <f t="shared" si="182"/>
        <v>0</v>
      </c>
      <c r="V427" s="62">
        <f t="shared" si="182"/>
        <v>0</v>
      </c>
      <c r="W427" s="62">
        <f t="shared" si="182"/>
        <v>0</v>
      </c>
      <c r="X427" s="62">
        <f t="shared" si="182"/>
        <v>0</v>
      </c>
      <c r="Y427" s="62">
        <f t="shared" si="182"/>
        <v>0</v>
      </c>
      <c r="Z427" s="62">
        <f t="shared" si="182"/>
        <v>0</v>
      </c>
      <c r="AA427" s="62">
        <f t="shared" si="182"/>
        <v>0</v>
      </c>
      <c r="AB427" s="62">
        <f t="shared" si="182"/>
        <v>0</v>
      </c>
      <c r="AC427" s="62">
        <f>AC383+AC404+AC425</f>
        <v>0</v>
      </c>
      <c r="AD427" s="62">
        <f>AD383+AD404+AD425</f>
        <v>0</v>
      </c>
      <c r="AE427" s="62">
        <f>AE383+AE404+AE425</f>
        <v>0</v>
      </c>
      <c r="AF427" s="63">
        <f>SUM(H427:AE427)</f>
        <v>29961102</v>
      </c>
      <c r="AG427" s="58" t="str">
        <f>IF(ABS(AF427-F427)&lt;1,"ok","err")</f>
        <v>ok</v>
      </c>
    </row>
    <row r="428" spans="1:33" ht="15">
      <c r="A428" s="59"/>
      <c r="B428" s="60"/>
      <c r="W428" s="44"/>
      <c r="AG428" s="58"/>
    </row>
    <row r="429" spans="1:33" ht="15">
      <c r="A429" s="65" t="s">
        <v>985</v>
      </c>
      <c r="B429" s="60"/>
      <c r="W429" s="44"/>
      <c r="AG429" s="58"/>
    </row>
    <row r="430" spans="1:33">
      <c r="A430" s="60">
        <v>555</v>
      </c>
      <c r="B430" s="60" t="s">
        <v>1151</v>
      </c>
      <c r="C430" s="44" t="s">
        <v>101</v>
      </c>
      <c r="D430" s="44" t="s">
        <v>986</v>
      </c>
      <c r="F430" s="76">
        <v>0</v>
      </c>
      <c r="G430" s="62"/>
      <c r="H430" s="63">
        <f t="shared" ref="H430:Q432" si="183">IF(VLOOKUP($D430,$C$6:$AE$653,H$2,)=0,0,((VLOOKUP($D430,$C$6:$AE$653,H$2,)/VLOOKUP($D430,$C$6:$AE$653,4,))*$F430))</f>
        <v>0</v>
      </c>
      <c r="I430" s="63">
        <f t="shared" si="183"/>
        <v>0</v>
      </c>
      <c r="J430" s="63">
        <f t="shared" si="183"/>
        <v>0</v>
      </c>
      <c r="K430" s="63">
        <f t="shared" si="183"/>
        <v>0</v>
      </c>
      <c r="L430" s="63">
        <f t="shared" si="183"/>
        <v>0</v>
      </c>
      <c r="M430" s="63">
        <f t="shared" si="183"/>
        <v>0</v>
      </c>
      <c r="N430" s="63">
        <f t="shared" si="183"/>
        <v>0</v>
      </c>
      <c r="O430" s="63">
        <f t="shared" si="183"/>
        <v>0</v>
      </c>
      <c r="P430" s="63">
        <f t="shared" si="183"/>
        <v>0</v>
      </c>
      <c r="Q430" s="63">
        <f t="shared" si="183"/>
        <v>0</v>
      </c>
      <c r="R430" s="63">
        <f t="shared" ref="R430:AE432" si="184">IF(VLOOKUP($D430,$C$6:$AE$653,R$2,)=0,0,((VLOOKUP($D430,$C$6:$AE$653,R$2,)/VLOOKUP($D430,$C$6:$AE$653,4,))*$F430))</f>
        <v>0</v>
      </c>
      <c r="S430" s="63">
        <f t="shared" si="184"/>
        <v>0</v>
      </c>
      <c r="T430" s="63">
        <f t="shared" si="184"/>
        <v>0</v>
      </c>
      <c r="U430" s="63">
        <f t="shared" si="184"/>
        <v>0</v>
      </c>
      <c r="V430" s="63">
        <f t="shared" si="184"/>
        <v>0</v>
      </c>
      <c r="W430" s="63">
        <f t="shared" si="184"/>
        <v>0</v>
      </c>
      <c r="X430" s="63">
        <f t="shared" si="184"/>
        <v>0</v>
      </c>
      <c r="Y430" s="63">
        <f t="shared" si="184"/>
        <v>0</v>
      </c>
      <c r="Z430" s="63">
        <f t="shared" si="184"/>
        <v>0</v>
      </c>
      <c r="AA430" s="63">
        <f t="shared" si="184"/>
        <v>0</v>
      </c>
      <c r="AB430" s="63">
        <f t="shared" si="184"/>
        <v>0</v>
      </c>
      <c r="AC430" s="63">
        <f t="shared" si="184"/>
        <v>0</v>
      </c>
      <c r="AD430" s="63">
        <f t="shared" si="184"/>
        <v>0</v>
      </c>
      <c r="AE430" s="63">
        <f t="shared" si="184"/>
        <v>0</v>
      </c>
      <c r="AF430" s="63">
        <f>SUM(H430:AE430)</f>
        <v>0</v>
      </c>
      <c r="AG430" s="58" t="str">
        <f>IF(ABS(AF430-F430)&lt;1,"ok","err")</f>
        <v>ok</v>
      </c>
    </row>
    <row r="431" spans="1:33">
      <c r="A431" s="60">
        <v>556</v>
      </c>
      <c r="B431" s="60" t="s">
        <v>260</v>
      </c>
      <c r="C431" s="44" t="s">
        <v>609</v>
      </c>
      <c r="D431" s="44" t="s">
        <v>646</v>
      </c>
      <c r="F431" s="79">
        <v>956703</v>
      </c>
      <c r="G431" s="62"/>
      <c r="H431" s="63">
        <f t="shared" si="183"/>
        <v>328915.7398487865</v>
      </c>
      <c r="I431" s="63">
        <f t="shared" si="183"/>
        <v>344560.05599057756</v>
      </c>
      <c r="J431" s="63">
        <f t="shared" si="183"/>
        <v>283227.20416063588</v>
      </c>
      <c r="K431" s="63">
        <f t="shared" si="183"/>
        <v>0</v>
      </c>
      <c r="L431" s="63">
        <f t="shared" si="183"/>
        <v>0</v>
      </c>
      <c r="M431" s="63">
        <f t="shared" si="183"/>
        <v>0</v>
      </c>
      <c r="N431" s="63">
        <f t="shared" si="183"/>
        <v>0</v>
      </c>
      <c r="O431" s="63">
        <f t="shared" si="183"/>
        <v>0</v>
      </c>
      <c r="P431" s="63">
        <f t="shared" si="183"/>
        <v>0</v>
      </c>
      <c r="Q431" s="63">
        <f t="shared" si="183"/>
        <v>0</v>
      </c>
      <c r="R431" s="63">
        <f t="shared" si="184"/>
        <v>0</v>
      </c>
      <c r="S431" s="63">
        <f t="shared" si="184"/>
        <v>0</v>
      </c>
      <c r="T431" s="63">
        <f t="shared" si="184"/>
        <v>0</v>
      </c>
      <c r="U431" s="63">
        <f t="shared" si="184"/>
        <v>0</v>
      </c>
      <c r="V431" s="63">
        <f t="shared" si="184"/>
        <v>0</v>
      </c>
      <c r="W431" s="63">
        <f t="shared" si="184"/>
        <v>0</v>
      </c>
      <c r="X431" s="63">
        <f t="shared" si="184"/>
        <v>0</v>
      </c>
      <c r="Y431" s="63">
        <f t="shared" si="184"/>
        <v>0</v>
      </c>
      <c r="Z431" s="63">
        <f t="shared" si="184"/>
        <v>0</v>
      </c>
      <c r="AA431" s="63">
        <f t="shared" si="184"/>
        <v>0</v>
      </c>
      <c r="AB431" s="63">
        <f t="shared" si="184"/>
        <v>0</v>
      </c>
      <c r="AC431" s="63">
        <f t="shared" si="184"/>
        <v>0</v>
      </c>
      <c r="AD431" s="63">
        <f t="shared" si="184"/>
        <v>0</v>
      </c>
      <c r="AE431" s="63">
        <f t="shared" si="184"/>
        <v>0</v>
      </c>
      <c r="AF431" s="63">
        <f>SUM(H431:AE431)</f>
        <v>956703</v>
      </c>
      <c r="AG431" s="58" t="str">
        <f>IF(ABS(AF431-F431)&lt;1,"ok","err")</f>
        <v>ok</v>
      </c>
    </row>
    <row r="432" spans="1:33">
      <c r="A432" s="60">
        <v>557</v>
      </c>
      <c r="B432" s="60" t="s">
        <v>7</v>
      </c>
      <c r="C432" s="44" t="s">
        <v>47</v>
      </c>
      <c r="D432" s="44" t="s">
        <v>646</v>
      </c>
      <c r="F432" s="79">
        <v>0</v>
      </c>
      <c r="G432" s="62"/>
      <c r="H432" s="63">
        <f t="shared" si="183"/>
        <v>0</v>
      </c>
      <c r="I432" s="63">
        <f t="shared" si="183"/>
        <v>0</v>
      </c>
      <c r="J432" s="63">
        <f t="shared" si="183"/>
        <v>0</v>
      </c>
      <c r="K432" s="63">
        <f t="shared" si="183"/>
        <v>0</v>
      </c>
      <c r="L432" s="63">
        <f t="shared" si="183"/>
        <v>0</v>
      </c>
      <c r="M432" s="63">
        <f t="shared" si="183"/>
        <v>0</v>
      </c>
      <c r="N432" s="63">
        <f t="shared" si="183"/>
        <v>0</v>
      </c>
      <c r="O432" s="63">
        <f t="shared" si="183"/>
        <v>0</v>
      </c>
      <c r="P432" s="63">
        <f t="shared" si="183"/>
        <v>0</v>
      </c>
      <c r="Q432" s="63">
        <f t="shared" si="183"/>
        <v>0</v>
      </c>
      <c r="R432" s="63">
        <f t="shared" si="184"/>
        <v>0</v>
      </c>
      <c r="S432" s="63">
        <f t="shared" si="184"/>
        <v>0</v>
      </c>
      <c r="T432" s="63">
        <f t="shared" si="184"/>
        <v>0</v>
      </c>
      <c r="U432" s="63">
        <f t="shared" si="184"/>
        <v>0</v>
      </c>
      <c r="V432" s="63">
        <f t="shared" si="184"/>
        <v>0</v>
      </c>
      <c r="W432" s="63">
        <f t="shared" si="184"/>
        <v>0</v>
      </c>
      <c r="X432" s="63">
        <f t="shared" si="184"/>
        <v>0</v>
      </c>
      <c r="Y432" s="63">
        <f t="shared" si="184"/>
        <v>0</v>
      </c>
      <c r="Z432" s="63">
        <f t="shared" si="184"/>
        <v>0</v>
      </c>
      <c r="AA432" s="63">
        <f t="shared" si="184"/>
        <v>0</v>
      </c>
      <c r="AB432" s="63">
        <f t="shared" si="184"/>
        <v>0</v>
      </c>
      <c r="AC432" s="63">
        <f t="shared" si="184"/>
        <v>0</v>
      </c>
      <c r="AD432" s="63">
        <f t="shared" si="184"/>
        <v>0</v>
      </c>
      <c r="AE432" s="63">
        <f t="shared" si="184"/>
        <v>0</v>
      </c>
      <c r="AF432" s="63">
        <f>SUM(H432:AE432)</f>
        <v>0</v>
      </c>
      <c r="AG432" s="58" t="str">
        <f>IF(ABS(AF432-F432)&lt;1,"ok","err")</f>
        <v>ok</v>
      </c>
    </row>
    <row r="433" spans="1:33">
      <c r="A433" s="60"/>
      <c r="B433" s="60"/>
      <c r="F433" s="76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3"/>
      <c r="AG433" s="58"/>
    </row>
    <row r="434" spans="1:33">
      <c r="A434" s="60"/>
      <c r="B434" s="60" t="s">
        <v>103</v>
      </c>
      <c r="C434" s="44" t="s">
        <v>46</v>
      </c>
      <c r="F434" s="76">
        <f>SUM(F430:F432)</f>
        <v>956703</v>
      </c>
      <c r="G434" s="62"/>
      <c r="H434" s="62">
        <f t="shared" ref="H434:M434" si="185">SUM(H430:H432)</f>
        <v>328915.7398487865</v>
      </c>
      <c r="I434" s="62">
        <f t="shared" si="185"/>
        <v>344560.05599057756</v>
      </c>
      <c r="J434" s="62">
        <f t="shared" si="185"/>
        <v>283227.20416063588</v>
      </c>
      <c r="K434" s="62">
        <f t="shared" si="185"/>
        <v>0</v>
      </c>
      <c r="L434" s="62">
        <f t="shared" si="185"/>
        <v>0</v>
      </c>
      <c r="M434" s="62">
        <f t="shared" si="185"/>
        <v>0</v>
      </c>
      <c r="N434" s="62">
        <f>SUM(N430:N432)</f>
        <v>0</v>
      </c>
      <c r="O434" s="62">
        <f>SUM(O430:O432)</f>
        <v>0</v>
      </c>
      <c r="P434" s="62">
        <f>SUM(P430:P432)</f>
        <v>0</v>
      </c>
      <c r="Q434" s="62">
        <f t="shared" ref="Q434:AB434" si="186">SUM(Q430:Q432)</f>
        <v>0</v>
      </c>
      <c r="R434" s="62">
        <f t="shared" si="186"/>
        <v>0</v>
      </c>
      <c r="S434" s="62">
        <f t="shared" si="186"/>
        <v>0</v>
      </c>
      <c r="T434" s="62">
        <f t="shared" si="186"/>
        <v>0</v>
      </c>
      <c r="U434" s="62">
        <f t="shared" si="186"/>
        <v>0</v>
      </c>
      <c r="V434" s="62">
        <f t="shared" si="186"/>
        <v>0</v>
      </c>
      <c r="W434" s="62">
        <f t="shared" si="186"/>
        <v>0</v>
      </c>
      <c r="X434" s="62">
        <f t="shared" si="186"/>
        <v>0</v>
      </c>
      <c r="Y434" s="62">
        <f t="shared" si="186"/>
        <v>0</v>
      </c>
      <c r="Z434" s="62">
        <f t="shared" si="186"/>
        <v>0</v>
      </c>
      <c r="AA434" s="62">
        <f t="shared" si="186"/>
        <v>0</v>
      </c>
      <c r="AB434" s="62">
        <f t="shared" si="186"/>
        <v>0</v>
      </c>
      <c r="AC434" s="62">
        <f>SUM(AC430:AC432)</f>
        <v>0</v>
      </c>
      <c r="AD434" s="62">
        <f>SUM(AD430:AD432)</f>
        <v>0</v>
      </c>
      <c r="AE434" s="62">
        <f>SUM(AE430:AE432)</f>
        <v>0</v>
      </c>
      <c r="AF434" s="63">
        <f>SUM(H434:AE434)</f>
        <v>956703</v>
      </c>
      <c r="AG434" s="58" t="str">
        <f>IF(ABS(AF434-F434)&lt;1,"ok","err")</f>
        <v>ok</v>
      </c>
    </row>
    <row r="435" spans="1:33">
      <c r="A435" s="60"/>
      <c r="B435" s="60"/>
      <c r="F435" s="76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3"/>
      <c r="AG435" s="58"/>
    </row>
    <row r="436" spans="1:33">
      <c r="A436" s="60"/>
      <c r="B436" s="60"/>
      <c r="F436" s="76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3"/>
      <c r="AG436" s="58"/>
    </row>
    <row r="437" spans="1:33" ht="15">
      <c r="A437" s="59" t="s">
        <v>45</v>
      </c>
      <c r="B437" s="60"/>
      <c r="F437" s="76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3"/>
      <c r="AG437" s="58"/>
    </row>
    <row r="438" spans="1:33">
      <c r="A438" s="60"/>
      <c r="B438" s="60"/>
      <c r="F438" s="76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3"/>
      <c r="AG438" s="58"/>
    </row>
    <row r="439" spans="1:33" ht="15">
      <c r="A439" s="65" t="s">
        <v>105</v>
      </c>
      <c r="B439" s="60"/>
      <c r="F439" s="76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3"/>
      <c r="AG439" s="58"/>
    </row>
    <row r="440" spans="1:33">
      <c r="A440" s="60">
        <v>560</v>
      </c>
      <c r="B440" s="60" t="s">
        <v>1146</v>
      </c>
      <c r="C440" s="44" t="s">
        <v>102</v>
      </c>
      <c r="D440" s="44" t="s">
        <v>1161</v>
      </c>
      <c r="F440" s="76">
        <v>642049</v>
      </c>
      <c r="G440" s="62"/>
      <c r="H440" s="63">
        <f t="shared" ref="H440:Q448" si="187">IF(VLOOKUP($D440,$C$6:$AE$653,H$2,)=0,0,((VLOOKUP($D440,$C$6:$AE$653,H$2,)/VLOOKUP($D440,$C$6:$AE$653,4,))*$F440))</f>
        <v>0</v>
      </c>
      <c r="I440" s="63">
        <f t="shared" si="187"/>
        <v>0</v>
      </c>
      <c r="J440" s="63">
        <f t="shared" si="187"/>
        <v>0</v>
      </c>
      <c r="K440" s="63">
        <f t="shared" si="187"/>
        <v>0</v>
      </c>
      <c r="L440" s="63">
        <f t="shared" si="187"/>
        <v>0</v>
      </c>
      <c r="M440" s="63">
        <f t="shared" si="187"/>
        <v>0</v>
      </c>
      <c r="N440" s="63">
        <f t="shared" si="187"/>
        <v>642049</v>
      </c>
      <c r="O440" s="63">
        <f t="shared" si="187"/>
        <v>0</v>
      </c>
      <c r="P440" s="63">
        <f t="shared" si="187"/>
        <v>0</v>
      </c>
      <c r="Q440" s="63">
        <f t="shared" si="187"/>
        <v>0</v>
      </c>
      <c r="R440" s="63">
        <f t="shared" ref="R440:AE448" si="188">IF(VLOOKUP($D440,$C$6:$AE$653,R$2,)=0,0,((VLOOKUP($D440,$C$6:$AE$653,R$2,)/VLOOKUP($D440,$C$6:$AE$653,4,))*$F440))</f>
        <v>0</v>
      </c>
      <c r="S440" s="63">
        <f t="shared" si="188"/>
        <v>0</v>
      </c>
      <c r="T440" s="63">
        <f t="shared" si="188"/>
        <v>0</v>
      </c>
      <c r="U440" s="63">
        <f t="shared" si="188"/>
        <v>0</v>
      </c>
      <c r="V440" s="63">
        <f t="shared" si="188"/>
        <v>0</v>
      </c>
      <c r="W440" s="63">
        <f t="shared" si="188"/>
        <v>0</v>
      </c>
      <c r="X440" s="63">
        <f t="shared" si="188"/>
        <v>0</v>
      </c>
      <c r="Y440" s="63">
        <f t="shared" si="188"/>
        <v>0</v>
      </c>
      <c r="Z440" s="63">
        <f t="shared" si="188"/>
        <v>0</v>
      </c>
      <c r="AA440" s="63">
        <f t="shared" si="188"/>
        <v>0</v>
      </c>
      <c r="AB440" s="63">
        <f t="shared" si="188"/>
        <v>0</v>
      </c>
      <c r="AC440" s="63">
        <f t="shared" si="188"/>
        <v>0</v>
      </c>
      <c r="AD440" s="63">
        <f t="shared" si="188"/>
        <v>0</v>
      </c>
      <c r="AE440" s="63">
        <f t="shared" si="188"/>
        <v>0</v>
      </c>
      <c r="AF440" s="63">
        <f t="shared" ref="AF440:AF447" si="189">SUM(H440:AE440)</f>
        <v>642049</v>
      </c>
      <c r="AG440" s="58" t="str">
        <f t="shared" ref="AG440:AG448" si="190">IF(ABS(AF440-F440)&lt;1,"ok","err")</f>
        <v>ok</v>
      </c>
    </row>
    <row r="441" spans="1:33">
      <c r="A441" s="60">
        <v>561</v>
      </c>
      <c r="B441" s="60" t="s">
        <v>990</v>
      </c>
      <c r="C441" s="44" t="s">
        <v>48</v>
      </c>
      <c r="D441" s="44" t="s">
        <v>1161</v>
      </c>
      <c r="F441" s="79">
        <v>1454366</v>
      </c>
      <c r="G441" s="62"/>
      <c r="H441" s="63">
        <f t="shared" si="187"/>
        <v>0</v>
      </c>
      <c r="I441" s="63">
        <f t="shared" si="187"/>
        <v>0</v>
      </c>
      <c r="J441" s="63">
        <f t="shared" si="187"/>
        <v>0</v>
      </c>
      <c r="K441" s="63">
        <f t="shared" si="187"/>
        <v>0</v>
      </c>
      <c r="L441" s="63">
        <f t="shared" si="187"/>
        <v>0</v>
      </c>
      <c r="M441" s="63">
        <f t="shared" si="187"/>
        <v>0</v>
      </c>
      <c r="N441" s="63">
        <f t="shared" si="187"/>
        <v>1454366</v>
      </c>
      <c r="O441" s="63">
        <f t="shared" si="187"/>
        <v>0</v>
      </c>
      <c r="P441" s="63">
        <f t="shared" si="187"/>
        <v>0</v>
      </c>
      <c r="Q441" s="63">
        <f t="shared" si="187"/>
        <v>0</v>
      </c>
      <c r="R441" s="63">
        <f t="shared" si="188"/>
        <v>0</v>
      </c>
      <c r="S441" s="63">
        <f t="shared" si="188"/>
        <v>0</v>
      </c>
      <c r="T441" s="63">
        <f t="shared" si="188"/>
        <v>0</v>
      </c>
      <c r="U441" s="63">
        <f t="shared" si="188"/>
        <v>0</v>
      </c>
      <c r="V441" s="63">
        <f t="shared" si="188"/>
        <v>0</v>
      </c>
      <c r="W441" s="63">
        <f t="shared" si="188"/>
        <v>0</v>
      </c>
      <c r="X441" s="63">
        <f t="shared" si="188"/>
        <v>0</v>
      </c>
      <c r="Y441" s="63">
        <f t="shared" si="188"/>
        <v>0</v>
      </c>
      <c r="Z441" s="63">
        <f t="shared" si="188"/>
        <v>0</v>
      </c>
      <c r="AA441" s="63">
        <f t="shared" si="188"/>
        <v>0</v>
      </c>
      <c r="AB441" s="63">
        <f t="shared" si="188"/>
        <v>0</v>
      </c>
      <c r="AC441" s="63">
        <f t="shared" si="188"/>
        <v>0</v>
      </c>
      <c r="AD441" s="63">
        <f t="shared" si="188"/>
        <v>0</v>
      </c>
      <c r="AE441" s="63">
        <f t="shared" si="188"/>
        <v>0</v>
      </c>
      <c r="AF441" s="63">
        <f t="shared" si="189"/>
        <v>1454366</v>
      </c>
      <c r="AG441" s="58" t="str">
        <f t="shared" si="190"/>
        <v>ok</v>
      </c>
    </row>
    <row r="442" spans="1:33">
      <c r="A442" s="60">
        <v>562</v>
      </c>
      <c r="B442" s="60" t="s">
        <v>1144</v>
      </c>
      <c r="C442" s="44" t="s">
        <v>49</v>
      </c>
      <c r="D442" s="44" t="s">
        <v>1161</v>
      </c>
      <c r="F442" s="79">
        <v>433996</v>
      </c>
      <c r="G442" s="62"/>
      <c r="H442" s="63">
        <f t="shared" si="187"/>
        <v>0</v>
      </c>
      <c r="I442" s="63">
        <f t="shared" si="187"/>
        <v>0</v>
      </c>
      <c r="J442" s="63">
        <f t="shared" si="187"/>
        <v>0</v>
      </c>
      <c r="K442" s="63">
        <f t="shared" si="187"/>
        <v>0</v>
      </c>
      <c r="L442" s="63">
        <f t="shared" si="187"/>
        <v>0</v>
      </c>
      <c r="M442" s="63">
        <f t="shared" si="187"/>
        <v>0</v>
      </c>
      <c r="N442" s="63">
        <f t="shared" si="187"/>
        <v>433996</v>
      </c>
      <c r="O442" s="63">
        <f t="shared" si="187"/>
        <v>0</v>
      </c>
      <c r="P442" s="63">
        <f t="shared" si="187"/>
        <v>0</v>
      </c>
      <c r="Q442" s="63">
        <f t="shared" si="187"/>
        <v>0</v>
      </c>
      <c r="R442" s="63">
        <f t="shared" si="188"/>
        <v>0</v>
      </c>
      <c r="S442" s="63">
        <f t="shared" si="188"/>
        <v>0</v>
      </c>
      <c r="T442" s="63">
        <f t="shared" si="188"/>
        <v>0</v>
      </c>
      <c r="U442" s="63">
        <f t="shared" si="188"/>
        <v>0</v>
      </c>
      <c r="V442" s="63">
        <f t="shared" si="188"/>
        <v>0</v>
      </c>
      <c r="W442" s="63">
        <f t="shared" si="188"/>
        <v>0</v>
      </c>
      <c r="X442" s="63">
        <f t="shared" si="188"/>
        <v>0</v>
      </c>
      <c r="Y442" s="63">
        <f t="shared" si="188"/>
        <v>0</v>
      </c>
      <c r="Z442" s="63">
        <f t="shared" si="188"/>
        <v>0</v>
      </c>
      <c r="AA442" s="63">
        <f t="shared" si="188"/>
        <v>0</v>
      </c>
      <c r="AB442" s="63">
        <f t="shared" si="188"/>
        <v>0</v>
      </c>
      <c r="AC442" s="63">
        <f t="shared" si="188"/>
        <v>0</v>
      </c>
      <c r="AD442" s="63">
        <f t="shared" si="188"/>
        <v>0</v>
      </c>
      <c r="AE442" s="63">
        <f t="shared" si="188"/>
        <v>0</v>
      </c>
      <c r="AF442" s="63">
        <f t="shared" si="189"/>
        <v>433996</v>
      </c>
      <c r="AG442" s="58" t="str">
        <f t="shared" si="190"/>
        <v>ok</v>
      </c>
    </row>
    <row r="443" spans="1:33">
      <c r="A443" s="60">
        <v>563</v>
      </c>
      <c r="B443" s="60" t="s">
        <v>992</v>
      </c>
      <c r="C443" s="44" t="s">
        <v>50</v>
      </c>
      <c r="D443" s="44" t="s">
        <v>1161</v>
      </c>
      <c r="F443" s="79">
        <v>0</v>
      </c>
      <c r="G443" s="62"/>
      <c r="H443" s="63">
        <f t="shared" si="187"/>
        <v>0</v>
      </c>
      <c r="I443" s="63">
        <f t="shared" si="187"/>
        <v>0</v>
      </c>
      <c r="J443" s="63">
        <f t="shared" si="187"/>
        <v>0</v>
      </c>
      <c r="K443" s="63">
        <f t="shared" si="187"/>
        <v>0</v>
      </c>
      <c r="L443" s="63">
        <f t="shared" si="187"/>
        <v>0</v>
      </c>
      <c r="M443" s="63">
        <f t="shared" si="187"/>
        <v>0</v>
      </c>
      <c r="N443" s="63">
        <f t="shared" si="187"/>
        <v>0</v>
      </c>
      <c r="O443" s="63">
        <f t="shared" si="187"/>
        <v>0</v>
      </c>
      <c r="P443" s="63">
        <f t="shared" si="187"/>
        <v>0</v>
      </c>
      <c r="Q443" s="63">
        <f t="shared" si="187"/>
        <v>0</v>
      </c>
      <c r="R443" s="63">
        <f t="shared" si="188"/>
        <v>0</v>
      </c>
      <c r="S443" s="63">
        <f t="shared" si="188"/>
        <v>0</v>
      </c>
      <c r="T443" s="63">
        <f t="shared" si="188"/>
        <v>0</v>
      </c>
      <c r="U443" s="63">
        <f t="shared" si="188"/>
        <v>0</v>
      </c>
      <c r="V443" s="63">
        <f t="shared" si="188"/>
        <v>0</v>
      </c>
      <c r="W443" s="63">
        <f t="shared" si="188"/>
        <v>0</v>
      </c>
      <c r="X443" s="63">
        <f t="shared" si="188"/>
        <v>0</v>
      </c>
      <c r="Y443" s="63">
        <f t="shared" si="188"/>
        <v>0</v>
      </c>
      <c r="Z443" s="63">
        <f t="shared" si="188"/>
        <v>0</v>
      </c>
      <c r="AA443" s="63">
        <f t="shared" si="188"/>
        <v>0</v>
      </c>
      <c r="AB443" s="63">
        <f t="shared" si="188"/>
        <v>0</v>
      </c>
      <c r="AC443" s="63">
        <f t="shared" si="188"/>
        <v>0</v>
      </c>
      <c r="AD443" s="63">
        <f t="shared" si="188"/>
        <v>0</v>
      </c>
      <c r="AE443" s="63">
        <f t="shared" si="188"/>
        <v>0</v>
      </c>
      <c r="AF443" s="63">
        <f t="shared" si="189"/>
        <v>0</v>
      </c>
      <c r="AG443" s="58" t="str">
        <f t="shared" si="190"/>
        <v>ok</v>
      </c>
    </row>
    <row r="444" spans="1:33">
      <c r="A444" s="60">
        <v>566</v>
      </c>
      <c r="B444" s="60" t="s">
        <v>147</v>
      </c>
      <c r="C444" s="44" t="s">
        <v>151</v>
      </c>
      <c r="D444" s="44" t="s">
        <v>1161</v>
      </c>
      <c r="F444" s="79">
        <v>105592</v>
      </c>
      <c r="G444" s="62"/>
      <c r="H444" s="63">
        <f t="shared" si="187"/>
        <v>0</v>
      </c>
      <c r="I444" s="63">
        <f t="shared" si="187"/>
        <v>0</v>
      </c>
      <c r="J444" s="63">
        <f t="shared" si="187"/>
        <v>0</v>
      </c>
      <c r="K444" s="63">
        <f t="shared" si="187"/>
        <v>0</v>
      </c>
      <c r="L444" s="63">
        <f t="shared" si="187"/>
        <v>0</v>
      </c>
      <c r="M444" s="63">
        <f t="shared" si="187"/>
        <v>0</v>
      </c>
      <c r="N444" s="63">
        <f t="shared" si="187"/>
        <v>105592</v>
      </c>
      <c r="O444" s="63">
        <f t="shared" si="187"/>
        <v>0</v>
      </c>
      <c r="P444" s="63">
        <f t="shared" si="187"/>
        <v>0</v>
      </c>
      <c r="Q444" s="63">
        <f t="shared" si="187"/>
        <v>0</v>
      </c>
      <c r="R444" s="63">
        <f t="shared" si="188"/>
        <v>0</v>
      </c>
      <c r="S444" s="63">
        <f t="shared" si="188"/>
        <v>0</v>
      </c>
      <c r="T444" s="63">
        <f t="shared" si="188"/>
        <v>0</v>
      </c>
      <c r="U444" s="63">
        <f t="shared" si="188"/>
        <v>0</v>
      </c>
      <c r="V444" s="63">
        <f t="shared" si="188"/>
        <v>0</v>
      </c>
      <c r="W444" s="63">
        <f t="shared" si="188"/>
        <v>0</v>
      </c>
      <c r="X444" s="63">
        <f t="shared" si="188"/>
        <v>0</v>
      </c>
      <c r="Y444" s="63">
        <f t="shared" si="188"/>
        <v>0</v>
      </c>
      <c r="Z444" s="63">
        <f t="shared" si="188"/>
        <v>0</v>
      </c>
      <c r="AA444" s="63">
        <f t="shared" si="188"/>
        <v>0</v>
      </c>
      <c r="AB444" s="63">
        <f t="shared" si="188"/>
        <v>0</v>
      </c>
      <c r="AC444" s="63">
        <f t="shared" si="188"/>
        <v>0</v>
      </c>
      <c r="AD444" s="63">
        <f t="shared" si="188"/>
        <v>0</v>
      </c>
      <c r="AE444" s="63">
        <f t="shared" si="188"/>
        <v>0</v>
      </c>
      <c r="AF444" s="63">
        <f t="shared" si="189"/>
        <v>105592</v>
      </c>
      <c r="AG444" s="58" t="str">
        <f t="shared" si="190"/>
        <v>ok</v>
      </c>
    </row>
    <row r="445" spans="1:33">
      <c r="A445" s="60">
        <v>569</v>
      </c>
      <c r="B445" s="60" t="s">
        <v>610</v>
      </c>
      <c r="C445" s="44" t="s">
        <v>611</v>
      </c>
      <c r="D445" s="44" t="s">
        <v>1161</v>
      </c>
      <c r="F445" s="79">
        <v>0</v>
      </c>
      <c r="G445" s="62"/>
      <c r="H445" s="63">
        <f t="shared" si="187"/>
        <v>0</v>
      </c>
      <c r="I445" s="63">
        <f t="shared" si="187"/>
        <v>0</v>
      </c>
      <c r="J445" s="63">
        <f t="shared" si="187"/>
        <v>0</v>
      </c>
      <c r="K445" s="63">
        <f t="shared" si="187"/>
        <v>0</v>
      </c>
      <c r="L445" s="63">
        <f t="shared" si="187"/>
        <v>0</v>
      </c>
      <c r="M445" s="63">
        <f t="shared" si="187"/>
        <v>0</v>
      </c>
      <c r="N445" s="63">
        <f t="shared" si="187"/>
        <v>0</v>
      </c>
      <c r="O445" s="63">
        <f t="shared" si="187"/>
        <v>0</v>
      </c>
      <c r="P445" s="63">
        <f t="shared" si="187"/>
        <v>0</v>
      </c>
      <c r="Q445" s="63">
        <f t="shared" si="187"/>
        <v>0</v>
      </c>
      <c r="R445" s="63">
        <f t="shared" si="188"/>
        <v>0</v>
      </c>
      <c r="S445" s="63">
        <f t="shared" si="188"/>
        <v>0</v>
      </c>
      <c r="T445" s="63">
        <f t="shared" si="188"/>
        <v>0</v>
      </c>
      <c r="U445" s="63">
        <f t="shared" si="188"/>
        <v>0</v>
      </c>
      <c r="V445" s="63">
        <f t="shared" si="188"/>
        <v>0</v>
      </c>
      <c r="W445" s="63">
        <f t="shared" si="188"/>
        <v>0</v>
      </c>
      <c r="X445" s="63">
        <f t="shared" si="188"/>
        <v>0</v>
      </c>
      <c r="Y445" s="63">
        <f t="shared" si="188"/>
        <v>0</v>
      </c>
      <c r="Z445" s="63">
        <f t="shared" si="188"/>
        <v>0</v>
      </c>
      <c r="AA445" s="63">
        <f t="shared" si="188"/>
        <v>0</v>
      </c>
      <c r="AB445" s="63">
        <f t="shared" si="188"/>
        <v>0</v>
      </c>
      <c r="AC445" s="63">
        <f t="shared" si="188"/>
        <v>0</v>
      </c>
      <c r="AD445" s="63">
        <f t="shared" si="188"/>
        <v>0</v>
      </c>
      <c r="AE445" s="63">
        <f t="shared" si="188"/>
        <v>0</v>
      </c>
      <c r="AF445" s="63">
        <f t="shared" si="189"/>
        <v>0</v>
      </c>
      <c r="AG445" s="58" t="str">
        <f t="shared" si="190"/>
        <v>ok</v>
      </c>
    </row>
    <row r="446" spans="1:33">
      <c r="A446" s="60">
        <v>570</v>
      </c>
      <c r="B446" s="60" t="s">
        <v>1147</v>
      </c>
      <c r="C446" s="44" t="s">
        <v>51</v>
      </c>
      <c r="D446" s="44" t="s">
        <v>1161</v>
      </c>
      <c r="F446" s="79">
        <v>416335</v>
      </c>
      <c r="G446" s="62"/>
      <c r="H446" s="63">
        <f t="shared" si="187"/>
        <v>0</v>
      </c>
      <c r="I446" s="63">
        <f t="shared" si="187"/>
        <v>0</v>
      </c>
      <c r="J446" s="63">
        <f t="shared" si="187"/>
        <v>0</v>
      </c>
      <c r="K446" s="63">
        <f t="shared" si="187"/>
        <v>0</v>
      </c>
      <c r="L446" s="63">
        <f t="shared" si="187"/>
        <v>0</v>
      </c>
      <c r="M446" s="63">
        <f t="shared" si="187"/>
        <v>0</v>
      </c>
      <c r="N446" s="63">
        <f t="shared" si="187"/>
        <v>416335</v>
      </c>
      <c r="O446" s="63">
        <f t="shared" si="187"/>
        <v>0</v>
      </c>
      <c r="P446" s="63">
        <f t="shared" si="187"/>
        <v>0</v>
      </c>
      <c r="Q446" s="63">
        <f t="shared" si="187"/>
        <v>0</v>
      </c>
      <c r="R446" s="63">
        <f t="shared" si="188"/>
        <v>0</v>
      </c>
      <c r="S446" s="63">
        <f t="shared" si="188"/>
        <v>0</v>
      </c>
      <c r="T446" s="63">
        <f t="shared" si="188"/>
        <v>0</v>
      </c>
      <c r="U446" s="63">
        <f t="shared" si="188"/>
        <v>0</v>
      </c>
      <c r="V446" s="63">
        <f t="shared" si="188"/>
        <v>0</v>
      </c>
      <c r="W446" s="63">
        <f t="shared" si="188"/>
        <v>0</v>
      </c>
      <c r="X446" s="63">
        <f t="shared" si="188"/>
        <v>0</v>
      </c>
      <c r="Y446" s="63">
        <f t="shared" si="188"/>
        <v>0</v>
      </c>
      <c r="Z446" s="63">
        <f t="shared" si="188"/>
        <v>0</v>
      </c>
      <c r="AA446" s="63">
        <f t="shared" si="188"/>
        <v>0</v>
      </c>
      <c r="AB446" s="63">
        <f t="shared" si="188"/>
        <v>0</v>
      </c>
      <c r="AC446" s="63">
        <f t="shared" si="188"/>
        <v>0</v>
      </c>
      <c r="AD446" s="63">
        <f t="shared" si="188"/>
        <v>0</v>
      </c>
      <c r="AE446" s="63">
        <f t="shared" si="188"/>
        <v>0</v>
      </c>
      <c r="AF446" s="63">
        <f t="shared" si="189"/>
        <v>416335</v>
      </c>
      <c r="AG446" s="58" t="str">
        <f t="shared" si="190"/>
        <v>ok</v>
      </c>
    </row>
    <row r="447" spans="1:33">
      <c r="A447" s="60">
        <v>571</v>
      </c>
      <c r="B447" s="60" t="s">
        <v>1148</v>
      </c>
      <c r="C447" s="44" t="s">
        <v>52</v>
      </c>
      <c r="D447" s="44" t="s">
        <v>1161</v>
      </c>
      <c r="F447" s="79">
        <v>83079</v>
      </c>
      <c r="G447" s="62"/>
      <c r="H447" s="63">
        <f t="shared" si="187"/>
        <v>0</v>
      </c>
      <c r="I447" s="63">
        <f t="shared" si="187"/>
        <v>0</v>
      </c>
      <c r="J447" s="63">
        <f t="shared" si="187"/>
        <v>0</v>
      </c>
      <c r="K447" s="63">
        <f t="shared" si="187"/>
        <v>0</v>
      </c>
      <c r="L447" s="63">
        <f t="shared" si="187"/>
        <v>0</v>
      </c>
      <c r="M447" s="63">
        <f t="shared" si="187"/>
        <v>0</v>
      </c>
      <c r="N447" s="63">
        <f t="shared" si="187"/>
        <v>83079</v>
      </c>
      <c r="O447" s="63">
        <f t="shared" si="187"/>
        <v>0</v>
      </c>
      <c r="P447" s="63">
        <f t="shared" si="187"/>
        <v>0</v>
      </c>
      <c r="Q447" s="63">
        <f t="shared" si="187"/>
        <v>0</v>
      </c>
      <c r="R447" s="63">
        <f t="shared" si="188"/>
        <v>0</v>
      </c>
      <c r="S447" s="63">
        <f t="shared" si="188"/>
        <v>0</v>
      </c>
      <c r="T447" s="63">
        <f t="shared" si="188"/>
        <v>0</v>
      </c>
      <c r="U447" s="63">
        <f t="shared" si="188"/>
        <v>0</v>
      </c>
      <c r="V447" s="63">
        <f t="shared" si="188"/>
        <v>0</v>
      </c>
      <c r="W447" s="63">
        <f t="shared" si="188"/>
        <v>0</v>
      </c>
      <c r="X447" s="63">
        <f t="shared" si="188"/>
        <v>0</v>
      </c>
      <c r="Y447" s="63">
        <f t="shared" si="188"/>
        <v>0</v>
      </c>
      <c r="Z447" s="63">
        <f t="shared" si="188"/>
        <v>0</v>
      </c>
      <c r="AA447" s="63">
        <f t="shared" si="188"/>
        <v>0</v>
      </c>
      <c r="AB447" s="63">
        <f t="shared" si="188"/>
        <v>0</v>
      </c>
      <c r="AC447" s="63">
        <f t="shared" si="188"/>
        <v>0</v>
      </c>
      <c r="AD447" s="63">
        <f t="shared" si="188"/>
        <v>0</v>
      </c>
      <c r="AE447" s="63">
        <f t="shared" si="188"/>
        <v>0</v>
      </c>
      <c r="AF447" s="63">
        <f t="shared" si="189"/>
        <v>83079</v>
      </c>
      <c r="AG447" s="58" t="str">
        <f t="shared" si="190"/>
        <v>ok</v>
      </c>
    </row>
    <row r="448" spans="1:33">
      <c r="A448" s="60">
        <v>573</v>
      </c>
      <c r="B448" s="60" t="s">
        <v>612</v>
      </c>
      <c r="C448" s="44" t="s">
        <v>613</v>
      </c>
      <c r="D448" s="44" t="s">
        <v>1161</v>
      </c>
      <c r="F448" s="79">
        <v>0</v>
      </c>
      <c r="G448" s="62"/>
      <c r="H448" s="63">
        <f t="shared" si="187"/>
        <v>0</v>
      </c>
      <c r="I448" s="63">
        <f t="shared" si="187"/>
        <v>0</v>
      </c>
      <c r="J448" s="63">
        <f t="shared" si="187"/>
        <v>0</v>
      </c>
      <c r="K448" s="63">
        <f t="shared" si="187"/>
        <v>0</v>
      </c>
      <c r="L448" s="63">
        <f t="shared" si="187"/>
        <v>0</v>
      </c>
      <c r="M448" s="63">
        <f t="shared" si="187"/>
        <v>0</v>
      </c>
      <c r="N448" s="63">
        <f t="shared" si="187"/>
        <v>0</v>
      </c>
      <c r="O448" s="63">
        <f t="shared" si="187"/>
        <v>0</v>
      </c>
      <c r="P448" s="63">
        <f t="shared" si="187"/>
        <v>0</v>
      </c>
      <c r="Q448" s="63">
        <f t="shared" si="187"/>
        <v>0</v>
      </c>
      <c r="R448" s="63">
        <f t="shared" si="188"/>
        <v>0</v>
      </c>
      <c r="S448" s="63">
        <f t="shared" si="188"/>
        <v>0</v>
      </c>
      <c r="T448" s="63">
        <f t="shared" si="188"/>
        <v>0</v>
      </c>
      <c r="U448" s="63">
        <f t="shared" si="188"/>
        <v>0</v>
      </c>
      <c r="V448" s="63">
        <f t="shared" si="188"/>
        <v>0</v>
      </c>
      <c r="W448" s="63">
        <f t="shared" si="188"/>
        <v>0</v>
      </c>
      <c r="X448" s="63">
        <f t="shared" si="188"/>
        <v>0</v>
      </c>
      <c r="Y448" s="63">
        <f t="shared" si="188"/>
        <v>0</v>
      </c>
      <c r="Z448" s="63">
        <f t="shared" si="188"/>
        <v>0</v>
      </c>
      <c r="AA448" s="63">
        <f t="shared" si="188"/>
        <v>0</v>
      </c>
      <c r="AB448" s="63">
        <f t="shared" si="188"/>
        <v>0</v>
      </c>
      <c r="AC448" s="63">
        <f t="shared" si="188"/>
        <v>0</v>
      </c>
      <c r="AD448" s="63">
        <f t="shared" si="188"/>
        <v>0</v>
      </c>
      <c r="AE448" s="63">
        <f t="shared" si="188"/>
        <v>0</v>
      </c>
      <c r="AF448" s="63">
        <f>SUM(H448:AE448)</f>
        <v>0</v>
      </c>
      <c r="AG448" s="58" t="str">
        <f t="shared" si="190"/>
        <v>ok</v>
      </c>
    </row>
    <row r="449" spans="1:33">
      <c r="A449" s="60"/>
      <c r="B449" s="60"/>
      <c r="F449" s="76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3"/>
      <c r="AG449" s="58"/>
    </row>
    <row r="450" spans="1:33">
      <c r="A450" s="60" t="s">
        <v>104</v>
      </c>
      <c r="B450" s="60"/>
      <c r="C450" s="44" t="s">
        <v>666</v>
      </c>
      <c r="F450" s="80">
        <f>SUM(F440:F449)</f>
        <v>3135417</v>
      </c>
      <c r="G450" s="64">
        <f>SUM(G440:G447)</f>
        <v>0</v>
      </c>
      <c r="H450" s="64">
        <f t="shared" ref="H450:M450" si="191">SUM(H440:H449)</f>
        <v>0</v>
      </c>
      <c r="I450" s="64">
        <f t="shared" si="191"/>
        <v>0</v>
      </c>
      <c r="J450" s="64">
        <f t="shared" si="191"/>
        <v>0</v>
      </c>
      <c r="K450" s="64">
        <f t="shared" si="191"/>
        <v>0</v>
      </c>
      <c r="L450" s="64">
        <f t="shared" si="191"/>
        <v>0</v>
      </c>
      <c r="M450" s="64">
        <f t="shared" si="191"/>
        <v>0</v>
      </c>
      <c r="N450" s="64">
        <f>SUM(N440:N449)</f>
        <v>3135417</v>
      </c>
      <c r="O450" s="64">
        <f>SUM(O440:O449)</f>
        <v>0</v>
      </c>
      <c r="P450" s="64">
        <f>SUM(P440:P449)</f>
        <v>0</v>
      </c>
      <c r="Q450" s="64">
        <f t="shared" ref="Q450:AB450" si="192">SUM(Q440:Q449)</f>
        <v>0</v>
      </c>
      <c r="R450" s="64">
        <f t="shared" si="192"/>
        <v>0</v>
      </c>
      <c r="S450" s="64">
        <f t="shared" si="192"/>
        <v>0</v>
      </c>
      <c r="T450" s="64">
        <f t="shared" si="192"/>
        <v>0</v>
      </c>
      <c r="U450" s="64">
        <f t="shared" si="192"/>
        <v>0</v>
      </c>
      <c r="V450" s="64">
        <f t="shared" si="192"/>
        <v>0</v>
      </c>
      <c r="W450" s="64">
        <f t="shared" si="192"/>
        <v>0</v>
      </c>
      <c r="X450" s="64">
        <f t="shared" si="192"/>
        <v>0</v>
      </c>
      <c r="Y450" s="64">
        <f t="shared" si="192"/>
        <v>0</v>
      </c>
      <c r="Z450" s="64">
        <f t="shared" si="192"/>
        <v>0</v>
      </c>
      <c r="AA450" s="64">
        <f t="shared" si="192"/>
        <v>0</v>
      </c>
      <c r="AB450" s="64">
        <f t="shared" si="192"/>
        <v>0</v>
      </c>
      <c r="AC450" s="64">
        <f>SUM(AC440:AC449)</f>
        <v>0</v>
      </c>
      <c r="AD450" s="64">
        <f>SUM(AD440:AD449)</f>
        <v>0</v>
      </c>
      <c r="AE450" s="64">
        <f>SUM(AE440:AE449)</f>
        <v>0</v>
      </c>
      <c r="AF450" s="62">
        <f>SUM(H450:AE450)</f>
        <v>3135417</v>
      </c>
      <c r="AG450" s="58" t="str">
        <f>IF(ABS(AF450-F450)&lt;1,"ok","err")</f>
        <v>ok</v>
      </c>
    </row>
    <row r="451" spans="1:33">
      <c r="A451" s="60"/>
      <c r="B451" s="60"/>
      <c r="W451" s="44"/>
      <c r="AG451" s="58"/>
    </row>
    <row r="452" spans="1:33" ht="15">
      <c r="A452" s="65" t="s">
        <v>106</v>
      </c>
      <c r="B452" s="60"/>
      <c r="W452" s="44"/>
      <c r="AG452" s="58"/>
    </row>
    <row r="453" spans="1:33">
      <c r="A453" s="60">
        <v>580</v>
      </c>
      <c r="B453" s="60" t="s">
        <v>988</v>
      </c>
      <c r="C453" s="44" t="s">
        <v>53</v>
      </c>
      <c r="D453" s="44" t="s">
        <v>658</v>
      </c>
      <c r="F453" s="76">
        <v>898041</v>
      </c>
      <c r="H453" s="63">
        <f t="shared" ref="H453:Q463" si="193">IF(VLOOKUP($D453,$C$6:$AE$653,H$2,)=0,0,((VLOOKUP($D453,$C$6:$AE$653,H$2,)/VLOOKUP($D453,$C$6:$AE$653,4,))*$F453))</f>
        <v>0</v>
      </c>
      <c r="I453" s="63">
        <f t="shared" si="193"/>
        <v>0</v>
      </c>
      <c r="J453" s="63">
        <f t="shared" si="193"/>
        <v>0</v>
      </c>
      <c r="K453" s="63">
        <f t="shared" si="193"/>
        <v>0</v>
      </c>
      <c r="L453" s="63">
        <f t="shared" si="193"/>
        <v>0</v>
      </c>
      <c r="M453" s="63">
        <f t="shared" si="193"/>
        <v>0</v>
      </c>
      <c r="N453" s="63">
        <f t="shared" si="193"/>
        <v>0</v>
      </c>
      <c r="O453" s="63">
        <f t="shared" si="193"/>
        <v>0</v>
      </c>
      <c r="P453" s="63">
        <f t="shared" si="193"/>
        <v>0</v>
      </c>
      <c r="Q453" s="63">
        <f t="shared" si="193"/>
        <v>0</v>
      </c>
      <c r="R453" s="63">
        <f t="shared" ref="R453:AE463" si="194">IF(VLOOKUP($D453,$C$6:$AE$653,R$2,)=0,0,((VLOOKUP($D453,$C$6:$AE$653,R$2,)/VLOOKUP($D453,$C$6:$AE$653,4,))*$F453))</f>
        <v>166627.28664474227</v>
      </c>
      <c r="S453" s="63">
        <f t="shared" si="194"/>
        <v>0</v>
      </c>
      <c r="T453" s="63">
        <f t="shared" si="194"/>
        <v>90524.508122150582</v>
      </c>
      <c r="U453" s="63">
        <f t="shared" si="194"/>
        <v>137596.86612884916</v>
      </c>
      <c r="V453" s="63">
        <f t="shared" si="194"/>
        <v>29082.838434249414</v>
      </c>
      <c r="W453" s="63">
        <f t="shared" si="194"/>
        <v>43032.389497037439</v>
      </c>
      <c r="X453" s="63">
        <f t="shared" si="194"/>
        <v>11689.058385867527</v>
      </c>
      <c r="Y453" s="63">
        <f t="shared" si="194"/>
        <v>8174.7704992297477</v>
      </c>
      <c r="Z453" s="63">
        <f t="shared" si="194"/>
        <v>4059.7438788722834</v>
      </c>
      <c r="AA453" s="63">
        <f t="shared" si="194"/>
        <v>394350.01128252473</v>
      </c>
      <c r="AB453" s="63">
        <f t="shared" si="194"/>
        <v>12903.527126476827</v>
      </c>
      <c r="AC453" s="63">
        <f t="shared" si="194"/>
        <v>0</v>
      </c>
      <c r="AD453" s="63">
        <f t="shared" si="194"/>
        <v>0</v>
      </c>
      <c r="AE453" s="63">
        <f t="shared" si="194"/>
        <v>0</v>
      </c>
      <c r="AF453" s="63">
        <f t="shared" ref="AF453:AF463" si="195">SUM(H453:AE453)</f>
        <v>898041</v>
      </c>
      <c r="AG453" s="58" t="str">
        <f t="shared" ref="AG453:AG463" si="196">IF(ABS(AF453-F453)&lt;1,"ok","err")</f>
        <v>ok</v>
      </c>
    </row>
    <row r="454" spans="1:33">
      <c r="A454" s="60">
        <v>581</v>
      </c>
      <c r="B454" s="60" t="s">
        <v>990</v>
      </c>
      <c r="C454" s="44" t="s">
        <v>54</v>
      </c>
      <c r="D454" s="44" t="s">
        <v>939</v>
      </c>
      <c r="F454" s="79">
        <v>574384</v>
      </c>
      <c r="H454" s="63">
        <f t="shared" si="193"/>
        <v>0</v>
      </c>
      <c r="I454" s="63">
        <f t="shared" si="193"/>
        <v>0</v>
      </c>
      <c r="J454" s="63">
        <f t="shared" si="193"/>
        <v>0</v>
      </c>
      <c r="K454" s="63">
        <f t="shared" si="193"/>
        <v>0</v>
      </c>
      <c r="L454" s="63">
        <f t="shared" si="193"/>
        <v>0</v>
      </c>
      <c r="M454" s="63">
        <f t="shared" si="193"/>
        <v>0</v>
      </c>
      <c r="N454" s="63">
        <f t="shared" si="193"/>
        <v>0</v>
      </c>
      <c r="O454" s="63">
        <f t="shared" si="193"/>
        <v>0</v>
      </c>
      <c r="P454" s="63">
        <f t="shared" si="193"/>
        <v>0</v>
      </c>
      <c r="Q454" s="63">
        <f t="shared" si="193"/>
        <v>0</v>
      </c>
      <c r="R454" s="63">
        <f t="shared" si="194"/>
        <v>574384</v>
      </c>
      <c r="S454" s="63">
        <f t="shared" si="194"/>
        <v>0</v>
      </c>
      <c r="T454" s="63">
        <f t="shared" si="194"/>
        <v>0</v>
      </c>
      <c r="U454" s="63">
        <f t="shared" si="194"/>
        <v>0</v>
      </c>
      <c r="V454" s="63">
        <f t="shared" si="194"/>
        <v>0</v>
      </c>
      <c r="W454" s="63">
        <f t="shared" si="194"/>
        <v>0</v>
      </c>
      <c r="X454" s="63">
        <f t="shared" si="194"/>
        <v>0</v>
      </c>
      <c r="Y454" s="63">
        <f t="shared" si="194"/>
        <v>0</v>
      </c>
      <c r="Z454" s="63">
        <f t="shared" si="194"/>
        <v>0</v>
      </c>
      <c r="AA454" s="63">
        <f t="shared" si="194"/>
        <v>0</v>
      </c>
      <c r="AB454" s="63">
        <f t="shared" si="194"/>
        <v>0</v>
      </c>
      <c r="AC454" s="63">
        <f t="shared" si="194"/>
        <v>0</v>
      </c>
      <c r="AD454" s="63">
        <f t="shared" si="194"/>
        <v>0</v>
      </c>
      <c r="AE454" s="63">
        <f t="shared" si="194"/>
        <v>0</v>
      </c>
      <c r="AF454" s="63">
        <f t="shared" si="195"/>
        <v>574384</v>
      </c>
      <c r="AG454" s="58" t="str">
        <f t="shared" si="196"/>
        <v>ok</v>
      </c>
    </row>
    <row r="455" spans="1:33">
      <c r="A455" s="60">
        <v>582</v>
      </c>
      <c r="B455" s="60" t="s">
        <v>1144</v>
      </c>
      <c r="C455" s="44" t="s">
        <v>55</v>
      </c>
      <c r="D455" s="44" t="s">
        <v>939</v>
      </c>
      <c r="F455" s="79">
        <v>851000</v>
      </c>
      <c r="H455" s="63">
        <f t="shared" si="193"/>
        <v>0</v>
      </c>
      <c r="I455" s="63">
        <f t="shared" si="193"/>
        <v>0</v>
      </c>
      <c r="J455" s="63">
        <f t="shared" si="193"/>
        <v>0</v>
      </c>
      <c r="K455" s="63">
        <f t="shared" si="193"/>
        <v>0</v>
      </c>
      <c r="L455" s="63">
        <f t="shared" si="193"/>
        <v>0</v>
      </c>
      <c r="M455" s="63">
        <f t="shared" si="193"/>
        <v>0</v>
      </c>
      <c r="N455" s="63">
        <f t="shared" si="193"/>
        <v>0</v>
      </c>
      <c r="O455" s="63">
        <f t="shared" si="193"/>
        <v>0</v>
      </c>
      <c r="P455" s="63">
        <f t="shared" si="193"/>
        <v>0</v>
      </c>
      <c r="Q455" s="63">
        <f t="shared" si="193"/>
        <v>0</v>
      </c>
      <c r="R455" s="63">
        <f t="shared" si="194"/>
        <v>851000</v>
      </c>
      <c r="S455" s="63">
        <f t="shared" si="194"/>
        <v>0</v>
      </c>
      <c r="T455" s="63">
        <f t="shared" si="194"/>
        <v>0</v>
      </c>
      <c r="U455" s="63">
        <f t="shared" si="194"/>
        <v>0</v>
      </c>
      <c r="V455" s="63">
        <f t="shared" si="194"/>
        <v>0</v>
      </c>
      <c r="W455" s="63">
        <f t="shared" si="194"/>
        <v>0</v>
      </c>
      <c r="X455" s="63">
        <f t="shared" si="194"/>
        <v>0</v>
      </c>
      <c r="Y455" s="63">
        <f t="shared" si="194"/>
        <v>0</v>
      </c>
      <c r="Z455" s="63">
        <f t="shared" si="194"/>
        <v>0</v>
      </c>
      <c r="AA455" s="63">
        <f t="shared" si="194"/>
        <v>0</v>
      </c>
      <c r="AB455" s="63">
        <f t="shared" si="194"/>
        <v>0</v>
      </c>
      <c r="AC455" s="63">
        <f t="shared" si="194"/>
        <v>0</v>
      </c>
      <c r="AD455" s="63">
        <f t="shared" si="194"/>
        <v>0</v>
      </c>
      <c r="AE455" s="63">
        <f t="shared" si="194"/>
        <v>0</v>
      </c>
      <c r="AF455" s="63">
        <f t="shared" si="195"/>
        <v>851000</v>
      </c>
      <c r="AG455" s="58" t="str">
        <f t="shared" si="196"/>
        <v>ok</v>
      </c>
    </row>
    <row r="456" spans="1:33">
      <c r="A456" s="60">
        <v>583</v>
      </c>
      <c r="B456" s="60" t="s">
        <v>992</v>
      </c>
      <c r="C456" s="44" t="s">
        <v>56</v>
      </c>
      <c r="D456" s="44" t="s">
        <v>942</v>
      </c>
      <c r="F456" s="79">
        <v>1741898</v>
      </c>
      <c r="H456" s="63">
        <f t="shared" si="193"/>
        <v>0</v>
      </c>
      <c r="I456" s="63">
        <f t="shared" si="193"/>
        <v>0</v>
      </c>
      <c r="J456" s="63">
        <f t="shared" si="193"/>
        <v>0</v>
      </c>
      <c r="K456" s="63">
        <f t="shared" si="193"/>
        <v>0</v>
      </c>
      <c r="L456" s="63">
        <f t="shared" si="193"/>
        <v>0</v>
      </c>
      <c r="M456" s="63">
        <f t="shared" si="193"/>
        <v>0</v>
      </c>
      <c r="N456" s="63">
        <f t="shared" si="193"/>
        <v>0</v>
      </c>
      <c r="O456" s="63">
        <f t="shared" si="193"/>
        <v>0</v>
      </c>
      <c r="P456" s="63">
        <f t="shared" si="193"/>
        <v>0</v>
      </c>
      <c r="Q456" s="63">
        <f t="shared" si="193"/>
        <v>0</v>
      </c>
      <c r="R456" s="63">
        <f t="shared" si="194"/>
        <v>0</v>
      </c>
      <c r="S456" s="63">
        <f t="shared" si="194"/>
        <v>0</v>
      </c>
      <c r="T456" s="63">
        <f t="shared" si="194"/>
        <v>520213.62230684003</v>
      </c>
      <c r="U456" s="63">
        <f t="shared" si="194"/>
        <v>754507.33409316</v>
      </c>
      <c r="V456" s="63">
        <f t="shared" si="194"/>
        <v>190654.95149316001</v>
      </c>
      <c r="W456" s="63">
        <f t="shared" si="194"/>
        <v>276522.09210683999</v>
      </c>
      <c r="X456" s="63">
        <f t="shared" si="194"/>
        <v>0</v>
      </c>
      <c r="Y456" s="63">
        <f t="shared" si="194"/>
        <v>0</v>
      </c>
      <c r="Z456" s="63">
        <f t="shared" si="194"/>
        <v>0</v>
      </c>
      <c r="AA456" s="63">
        <f t="shared" si="194"/>
        <v>0</v>
      </c>
      <c r="AB456" s="63">
        <f t="shared" si="194"/>
        <v>0</v>
      </c>
      <c r="AC456" s="63">
        <f t="shared" si="194"/>
        <v>0</v>
      </c>
      <c r="AD456" s="63">
        <f t="shared" si="194"/>
        <v>0</v>
      </c>
      <c r="AE456" s="63">
        <f t="shared" si="194"/>
        <v>0</v>
      </c>
      <c r="AF456" s="63">
        <f t="shared" si="195"/>
        <v>1741898</v>
      </c>
      <c r="AG456" s="58" t="str">
        <f t="shared" si="196"/>
        <v>ok</v>
      </c>
    </row>
    <row r="457" spans="1:33">
      <c r="A457" s="60">
        <v>584</v>
      </c>
      <c r="B457" s="60" t="s">
        <v>994</v>
      </c>
      <c r="C457" s="44" t="s">
        <v>57</v>
      </c>
      <c r="D457" s="44" t="s">
        <v>945</v>
      </c>
      <c r="F457" s="79">
        <v>168503</v>
      </c>
      <c r="H457" s="63">
        <f t="shared" si="193"/>
        <v>0</v>
      </c>
      <c r="I457" s="63">
        <f t="shared" si="193"/>
        <v>0</v>
      </c>
      <c r="J457" s="63">
        <f t="shared" si="193"/>
        <v>0</v>
      </c>
      <c r="K457" s="63">
        <f t="shared" si="193"/>
        <v>0</v>
      </c>
      <c r="L457" s="63">
        <f t="shared" si="193"/>
        <v>0</v>
      </c>
      <c r="M457" s="63">
        <f t="shared" si="193"/>
        <v>0</v>
      </c>
      <c r="N457" s="63">
        <f t="shared" si="193"/>
        <v>0</v>
      </c>
      <c r="O457" s="63">
        <f t="shared" si="193"/>
        <v>0</v>
      </c>
      <c r="P457" s="63">
        <f t="shared" si="193"/>
        <v>0</v>
      </c>
      <c r="Q457" s="63">
        <f t="shared" si="193"/>
        <v>0</v>
      </c>
      <c r="R457" s="63">
        <f t="shared" si="194"/>
        <v>0</v>
      </c>
      <c r="S457" s="63">
        <f t="shared" si="194"/>
        <v>0</v>
      </c>
      <c r="T457" s="63">
        <f t="shared" si="194"/>
        <v>52893.142250900004</v>
      </c>
      <c r="U457" s="63">
        <f t="shared" si="194"/>
        <v>95558.000749100014</v>
      </c>
      <c r="V457" s="63">
        <f t="shared" si="194"/>
        <v>7144.4766491</v>
      </c>
      <c r="W457" s="63">
        <f t="shared" si="194"/>
        <v>12907.380350899999</v>
      </c>
      <c r="X457" s="63">
        <f t="shared" si="194"/>
        <v>0</v>
      </c>
      <c r="Y457" s="63">
        <f t="shared" si="194"/>
        <v>0</v>
      </c>
      <c r="Z457" s="63">
        <f t="shared" si="194"/>
        <v>0</v>
      </c>
      <c r="AA457" s="63">
        <f t="shared" si="194"/>
        <v>0</v>
      </c>
      <c r="AB457" s="63">
        <f t="shared" si="194"/>
        <v>0</v>
      </c>
      <c r="AC457" s="63">
        <f t="shared" si="194"/>
        <v>0</v>
      </c>
      <c r="AD457" s="63">
        <f t="shared" si="194"/>
        <v>0</v>
      </c>
      <c r="AE457" s="63">
        <f t="shared" si="194"/>
        <v>0</v>
      </c>
      <c r="AF457" s="63">
        <f t="shared" si="195"/>
        <v>168503</v>
      </c>
      <c r="AG457" s="58" t="str">
        <f t="shared" si="196"/>
        <v>ok</v>
      </c>
    </row>
    <row r="458" spans="1:33">
      <c r="A458" s="60">
        <v>585</v>
      </c>
      <c r="B458" s="60" t="s">
        <v>996</v>
      </c>
      <c r="C458" s="44" t="s">
        <v>58</v>
      </c>
      <c r="D458" s="44" t="s">
        <v>953</v>
      </c>
      <c r="F458" s="79">
        <v>0</v>
      </c>
      <c r="H458" s="63">
        <f t="shared" si="193"/>
        <v>0</v>
      </c>
      <c r="I458" s="63">
        <f t="shared" si="193"/>
        <v>0</v>
      </c>
      <c r="J458" s="63">
        <f t="shared" si="193"/>
        <v>0</v>
      </c>
      <c r="K458" s="63">
        <f t="shared" si="193"/>
        <v>0</v>
      </c>
      <c r="L458" s="63">
        <f t="shared" si="193"/>
        <v>0</v>
      </c>
      <c r="M458" s="63">
        <f t="shared" si="193"/>
        <v>0</v>
      </c>
      <c r="N458" s="63">
        <f t="shared" si="193"/>
        <v>0</v>
      </c>
      <c r="O458" s="63">
        <f t="shared" si="193"/>
        <v>0</v>
      </c>
      <c r="P458" s="63">
        <f t="shared" si="193"/>
        <v>0</v>
      </c>
      <c r="Q458" s="63">
        <f t="shared" si="193"/>
        <v>0</v>
      </c>
      <c r="R458" s="63">
        <f t="shared" si="194"/>
        <v>0</v>
      </c>
      <c r="S458" s="63">
        <f t="shared" si="194"/>
        <v>0</v>
      </c>
      <c r="T458" s="63">
        <f t="shared" si="194"/>
        <v>0</v>
      </c>
      <c r="U458" s="63">
        <f t="shared" si="194"/>
        <v>0</v>
      </c>
      <c r="V458" s="63">
        <f t="shared" si="194"/>
        <v>0</v>
      </c>
      <c r="W458" s="63">
        <f t="shared" si="194"/>
        <v>0</v>
      </c>
      <c r="X458" s="63">
        <f t="shared" si="194"/>
        <v>0</v>
      </c>
      <c r="Y458" s="63">
        <f t="shared" si="194"/>
        <v>0</v>
      </c>
      <c r="Z458" s="63">
        <f t="shared" si="194"/>
        <v>0</v>
      </c>
      <c r="AA458" s="63">
        <f t="shared" si="194"/>
        <v>0</v>
      </c>
      <c r="AB458" s="63">
        <f t="shared" si="194"/>
        <v>0</v>
      </c>
      <c r="AC458" s="63">
        <f t="shared" si="194"/>
        <v>0</v>
      </c>
      <c r="AD458" s="63">
        <f t="shared" si="194"/>
        <v>0</v>
      </c>
      <c r="AE458" s="63">
        <f t="shared" si="194"/>
        <v>0</v>
      </c>
      <c r="AF458" s="63">
        <f t="shared" si="195"/>
        <v>0</v>
      </c>
      <c r="AG458" s="58" t="str">
        <f t="shared" si="196"/>
        <v>ok</v>
      </c>
    </row>
    <row r="459" spans="1:33">
      <c r="A459" s="60">
        <v>586</v>
      </c>
      <c r="B459" s="60" t="s">
        <v>998</v>
      </c>
      <c r="C459" s="44" t="s">
        <v>59</v>
      </c>
      <c r="D459" s="44" t="s">
        <v>950</v>
      </c>
      <c r="F459" s="79">
        <v>3736471</v>
      </c>
      <c r="H459" s="63">
        <f t="shared" si="193"/>
        <v>0</v>
      </c>
      <c r="I459" s="63">
        <f t="shared" si="193"/>
        <v>0</v>
      </c>
      <c r="J459" s="63">
        <f t="shared" si="193"/>
        <v>0</v>
      </c>
      <c r="K459" s="63">
        <f t="shared" si="193"/>
        <v>0</v>
      </c>
      <c r="L459" s="63">
        <f t="shared" si="193"/>
        <v>0</v>
      </c>
      <c r="M459" s="63">
        <f t="shared" si="193"/>
        <v>0</v>
      </c>
      <c r="N459" s="63">
        <f t="shared" si="193"/>
        <v>0</v>
      </c>
      <c r="O459" s="63">
        <f t="shared" si="193"/>
        <v>0</v>
      </c>
      <c r="P459" s="63">
        <f t="shared" si="193"/>
        <v>0</v>
      </c>
      <c r="Q459" s="63">
        <f t="shared" si="193"/>
        <v>0</v>
      </c>
      <c r="R459" s="63">
        <f t="shared" si="194"/>
        <v>0</v>
      </c>
      <c r="S459" s="63">
        <f t="shared" si="194"/>
        <v>0</v>
      </c>
      <c r="T459" s="63">
        <f t="shared" si="194"/>
        <v>0</v>
      </c>
      <c r="U459" s="63">
        <f t="shared" si="194"/>
        <v>0</v>
      </c>
      <c r="V459" s="63">
        <f t="shared" si="194"/>
        <v>0</v>
      </c>
      <c r="W459" s="63">
        <f t="shared" si="194"/>
        <v>0</v>
      </c>
      <c r="X459" s="63">
        <f t="shared" si="194"/>
        <v>0</v>
      </c>
      <c r="Y459" s="63">
        <f t="shared" si="194"/>
        <v>0</v>
      </c>
      <c r="Z459" s="63">
        <f t="shared" si="194"/>
        <v>0</v>
      </c>
      <c r="AA459" s="63">
        <f t="shared" si="194"/>
        <v>3736471</v>
      </c>
      <c r="AB459" s="63">
        <f t="shared" si="194"/>
        <v>0</v>
      </c>
      <c r="AC459" s="63">
        <f t="shared" si="194"/>
        <v>0</v>
      </c>
      <c r="AD459" s="63">
        <f t="shared" si="194"/>
        <v>0</v>
      </c>
      <c r="AE459" s="63">
        <f t="shared" si="194"/>
        <v>0</v>
      </c>
      <c r="AF459" s="63">
        <f t="shared" si="195"/>
        <v>3736471</v>
      </c>
      <c r="AG459" s="58" t="str">
        <f t="shared" si="196"/>
        <v>ok</v>
      </c>
    </row>
    <row r="460" spans="1:33">
      <c r="A460" s="60">
        <v>586</v>
      </c>
      <c r="B460" s="60" t="s">
        <v>27</v>
      </c>
      <c r="C460" s="44" t="s">
        <v>60</v>
      </c>
      <c r="D460" s="44" t="s">
        <v>42</v>
      </c>
      <c r="F460" s="79"/>
      <c r="H460" s="63">
        <f t="shared" si="193"/>
        <v>0</v>
      </c>
      <c r="I460" s="63">
        <f t="shared" si="193"/>
        <v>0</v>
      </c>
      <c r="J460" s="63">
        <f t="shared" si="193"/>
        <v>0</v>
      </c>
      <c r="K460" s="63">
        <f t="shared" si="193"/>
        <v>0</v>
      </c>
      <c r="L460" s="63">
        <f t="shared" si="193"/>
        <v>0</v>
      </c>
      <c r="M460" s="63">
        <f t="shared" si="193"/>
        <v>0</v>
      </c>
      <c r="N460" s="63">
        <f t="shared" si="193"/>
        <v>0</v>
      </c>
      <c r="O460" s="63">
        <f t="shared" si="193"/>
        <v>0</v>
      </c>
      <c r="P460" s="63">
        <f t="shared" si="193"/>
        <v>0</v>
      </c>
      <c r="Q460" s="63">
        <f t="shared" si="193"/>
        <v>0</v>
      </c>
      <c r="R460" s="63">
        <f t="shared" si="194"/>
        <v>0</v>
      </c>
      <c r="S460" s="63">
        <f t="shared" si="194"/>
        <v>0</v>
      </c>
      <c r="T460" s="63">
        <f t="shared" si="194"/>
        <v>0</v>
      </c>
      <c r="U460" s="63">
        <f t="shared" si="194"/>
        <v>0</v>
      </c>
      <c r="V460" s="63">
        <f t="shared" si="194"/>
        <v>0</v>
      </c>
      <c r="W460" s="63">
        <f t="shared" si="194"/>
        <v>0</v>
      </c>
      <c r="X460" s="63">
        <f t="shared" si="194"/>
        <v>0</v>
      </c>
      <c r="Y460" s="63">
        <f t="shared" si="194"/>
        <v>0</v>
      </c>
      <c r="Z460" s="63">
        <f t="shared" si="194"/>
        <v>0</v>
      </c>
      <c r="AA460" s="63">
        <f t="shared" si="194"/>
        <v>0</v>
      </c>
      <c r="AB460" s="63">
        <f t="shared" si="194"/>
        <v>0</v>
      </c>
      <c r="AC460" s="63">
        <f t="shared" si="194"/>
        <v>0</v>
      </c>
      <c r="AD460" s="63">
        <f t="shared" si="194"/>
        <v>0</v>
      </c>
      <c r="AE460" s="63">
        <f t="shared" si="194"/>
        <v>0</v>
      </c>
      <c r="AF460" s="63">
        <f t="shared" si="195"/>
        <v>0</v>
      </c>
      <c r="AG460" s="58" t="str">
        <f t="shared" si="196"/>
        <v>ok</v>
      </c>
    </row>
    <row r="461" spans="1:33">
      <c r="A461" s="60">
        <v>587</v>
      </c>
      <c r="B461" s="60" t="s">
        <v>1000</v>
      </c>
      <c r="C461" s="44" t="s">
        <v>61</v>
      </c>
      <c r="D461" s="44" t="s">
        <v>952</v>
      </c>
      <c r="F461" s="79">
        <v>0</v>
      </c>
      <c r="H461" s="63">
        <f t="shared" si="193"/>
        <v>0</v>
      </c>
      <c r="I461" s="63">
        <f t="shared" si="193"/>
        <v>0</v>
      </c>
      <c r="J461" s="63">
        <f t="shared" si="193"/>
        <v>0</v>
      </c>
      <c r="K461" s="63">
        <f t="shared" si="193"/>
        <v>0</v>
      </c>
      <c r="L461" s="63">
        <f t="shared" si="193"/>
        <v>0</v>
      </c>
      <c r="M461" s="63">
        <f t="shared" si="193"/>
        <v>0</v>
      </c>
      <c r="N461" s="63">
        <f t="shared" si="193"/>
        <v>0</v>
      </c>
      <c r="O461" s="63">
        <f t="shared" si="193"/>
        <v>0</v>
      </c>
      <c r="P461" s="63">
        <f t="shared" si="193"/>
        <v>0</v>
      </c>
      <c r="Q461" s="63">
        <f t="shared" si="193"/>
        <v>0</v>
      </c>
      <c r="R461" s="63">
        <f t="shared" si="194"/>
        <v>0</v>
      </c>
      <c r="S461" s="63">
        <f t="shared" si="194"/>
        <v>0</v>
      </c>
      <c r="T461" s="63">
        <f t="shared" si="194"/>
        <v>0</v>
      </c>
      <c r="U461" s="63">
        <f t="shared" si="194"/>
        <v>0</v>
      </c>
      <c r="V461" s="63">
        <f t="shared" si="194"/>
        <v>0</v>
      </c>
      <c r="W461" s="63">
        <f t="shared" si="194"/>
        <v>0</v>
      </c>
      <c r="X461" s="63">
        <f t="shared" si="194"/>
        <v>0</v>
      </c>
      <c r="Y461" s="63">
        <f t="shared" si="194"/>
        <v>0</v>
      </c>
      <c r="Z461" s="63">
        <f t="shared" si="194"/>
        <v>0</v>
      </c>
      <c r="AA461" s="63">
        <f t="shared" si="194"/>
        <v>0</v>
      </c>
      <c r="AB461" s="63">
        <f t="shared" si="194"/>
        <v>0</v>
      </c>
      <c r="AC461" s="63">
        <f t="shared" si="194"/>
        <v>0</v>
      </c>
      <c r="AD461" s="63">
        <f t="shared" si="194"/>
        <v>0</v>
      </c>
      <c r="AE461" s="63">
        <f t="shared" si="194"/>
        <v>0</v>
      </c>
      <c r="AF461" s="63">
        <f t="shared" si="195"/>
        <v>0</v>
      </c>
      <c r="AG461" s="58" t="str">
        <f t="shared" si="196"/>
        <v>ok</v>
      </c>
    </row>
    <row r="462" spans="1:33">
      <c r="A462" s="60">
        <v>588</v>
      </c>
      <c r="B462" s="60" t="s">
        <v>1002</v>
      </c>
      <c r="C462" s="44" t="s">
        <v>62</v>
      </c>
      <c r="D462" s="44" t="s">
        <v>935</v>
      </c>
      <c r="F462" s="79">
        <v>1539532</v>
      </c>
      <c r="H462" s="63">
        <f t="shared" si="193"/>
        <v>0</v>
      </c>
      <c r="I462" s="63">
        <f t="shared" si="193"/>
        <v>0</v>
      </c>
      <c r="J462" s="63">
        <f t="shared" si="193"/>
        <v>0</v>
      </c>
      <c r="K462" s="63">
        <f t="shared" si="193"/>
        <v>0</v>
      </c>
      <c r="L462" s="63">
        <f t="shared" si="193"/>
        <v>0</v>
      </c>
      <c r="M462" s="63">
        <f t="shared" si="193"/>
        <v>0</v>
      </c>
      <c r="N462" s="63">
        <f t="shared" si="193"/>
        <v>0</v>
      </c>
      <c r="O462" s="63">
        <f t="shared" si="193"/>
        <v>0</v>
      </c>
      <c r="P462" s="63">
        <f t="shared" si="193"/>
        <v>0</v>
      </c>
      <c r="Q462" s="63">
        <f t="shared" si="193"/>
        <v>0</v>
      </c>
      <c r="R462" s="63">
        <f t="shared" si="194"/>
        <v>172492.78691702455</v>
      </c>
      <c r="S462" s="63">
        <f t="shared" si="194"/>
        <v>0</v>
      </c>
      <c r="T462" s="63">
        <f t="shared" si="194"/>
        <v>294980.40824644017</v>
      </c>
      <c r="U462" s="63">
        <f t="shared" si="194"/>
        <v>469423.46418365283</v>
      </c>
      <c r="V462" s="63">
        <f t="shared" si="194"/>
        <v>81091.222767896557</v>
      </c>
      <c r="W462" s="63">
        <f t="shared" si="194"/>
        <v>123230.76853561448</v>
      </c>
      <c r="X462" s="63">
        <f t="shared" si="194"/>
        <v>112092.53557322365</v>
      </c>
      <c r="Y462" s="63">
        <f t="shared" si="194"/>
        <v>78392.17862883849</v>
      </c>
      <c r="Z462" s="63">
        <f t="shared" si="194"/>
        <v>38931.021656189172</v>
      </c>
      <c r="AA462" s="63">
        <f t="shared" si="194"/>
        <v>45158.897702567461</v>
      </c>
      <c r="AB462" s="63">
        <f t="shared" si="194"/>
        <v>123738.71578855267</v>
      </c>
      <c r="AC462" s="63">
        <f t="shared" si="194"/>
        <v>0</v>
      </c>
      <c r="AD462" s="63">
        <f t="shared" si="194"/>
        <v>0</v>
      </c>
      <c r="AE462" s="63">
        <f t="shared" si="194"/>
        <v>0</v>
      </c>
      <c r="AF462" s="63">
        <f t="shared" si="195"/>
        <v>1539532.0000000002</v>
      </c>
      <c r="AG462" s="58" t="str">
        <f t="shared" si="196"/>
        <v>ok</v>
      </c>
    </row>
    <row r="463" spans="1:33">
      <c r="A463" s="60">
        <v>589</v>
      </c>
      <c r="B463" s="60" t="s">
        <v>1004</v>
      </c>
      <c r="C463" s="44" t="s">
        <v>63</v>
      </c>
      <c r="D463" s="44" t="s">
        <v>935</v>
      </c>
      <c r="F463" s="79">
        <v>0</v>
      </c>
      <c r="H463" s="63">
        <f t="shared" si="193"/>
        <v>0</v>
      </c>
      <c r="I463" s="63">
        <f t="shared" si="193"/>
        <v>0</v>
      </c>
      <c r="J463" s="63">
        <f t="shared" si="193"/>
        <v>0</v>
      </c>
      <c r="K463" s="63">
        <f t="shared" si="193"/>
        <v>0</v>
      </c>
      <c r="L463" s="63">
        <f t="shared" si="193"/>
        <v>0</v>
      </c>
      <c r="M463" s="63">
        <f t="shared" si="193"/>
        <v>0</v>
      </c>
      <c r="N463" s="63">
        <f t="shared" si="193"/>
        <v>0</v>
      </c>
      <c r="O463" s="63">
        <f t="shared" si="193"/>
        <v>0</v>
      </c>
      <c r="P463" s="63">
        <f t="shared" si="193"/>
        <v>0</v>
      </c>
      <c r="Q463" s="63">
        <f t="shared" si="193"/>
        <v>0</v>
      </c>
      <c r="R463" s="63">
        <f t="shared" si="194"/>
        <v>0</v>
      </c>
      <c r="S463" s="63">
        <f t="shared" si="194"/>
        <v>0</v>
      </c>
      <c r="T463" s="63">
        <f t="shared" si="194"/>
        <v>0</v>
      </c>
      <c r="U463" s="63">
        <f t="shared" si="194"/>
        <v>0</v>
      </c>
      <c r="V463" s="63">
        <f t="shared" si="194"/>
        <v>0</v>
      </c>
      <c r="W463" s="63">
        <f t="shared" si="194"/>
        <v>0</v>
      </c>
      <c r="X463" s="63">
        <f t="shared" si="194"/>
        <v>0</v>
      </c>
      <c r="Y463" s="63">
        <f t="shared" si="194"/>
        <v>0</v>
      </c>
      <c r="Z463" s="63">
        <f t="shared" si="194"/>
        <v>0</v>
      </c>
      <c r="AA463" s="63">
        <f t="shared" si="194"/>
        <v>0</v>
      </c>
      <c r="AB463" s="63">
        <f t="shared" si="194"/>
        <v>0</v>
      </c>
      <c r="AC463" s="63">
        <f t="shared" si="194"/>
        <v>0</v>
      </c>
      <c r="AD463" s="63">
        <f t="shared" si="194"/>
        <v>0</v>
      </c>
      <c r="AE463" s="63">
        <f t="shared" si="194"/>
        <v>0</v>
      </c>
      <c r="AF463" s="63">
        <f t="shared" si="195"/>
        <v>0</v>
      </c>
      <c r="AG463" s="58" t="str">
        <f t="shared" si="196"/>
        <v>ok</v>
      </c>
    </row>
    <row r="464" spans="1:33">
      <c r="A464" s="60"/>
      <c r="B464" s="60"/>
      <c r="F464" s="79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G464" s="58"/>
    </row>
    <row r="465" spans="1:33">
      <c r="A465" s="60" t="s">
        <v>107</v>
      </c>
      <c r="B465" s="60"/>
      <c r="C465" s="44" t="s">
        <v>64</v>
      </c>
      <c r="F465" s="76">
        <f>SUM(F453:F464)</f>
        <v>9509829</v>
      </c>
      <c r="G465" s="62">
        <f t="shared" ref="G465:M465" si="197">SUM(G453:G464)</f>
        <v>0</v>
      </c>
      <c r="H465" s="62">
        <f t="shared" si="197"/>
        <v>0</v>
      </c>
      <c r="I465" s="62">
        <f t="shared" si="197"/>
        <v>0</v>
      </c>
      <c r="J465" s="62">
        <f t="shared" si="197"/>
        <v>0</v>
      </c>
      <c r="K465" s="62">
        <f t="shared" si="197"/>
        <v>0</v>
      </c>
      <c r="L465" s="62">
        <f t="shared" si="197"/>
        <v>0</v>
      </c>
      <c r="M465" s="62">
        <f t="shared" si="197"/>
        <v>0</v>
      </c>
      <c r="N465" s="62">
        <f>SUM(N453:N464)</f>
        <v>0</v>
      </c>
      <c r="O465" s="62">
        <f>SUM(O453:O464)</f>
        <v>0</v>
      </c>
      <c r="P465" s="62">
        <f>SUM(P453:P464)</f>
        <v>0</v>
      </c>
      <c r="Q465" s="62">
        <f t="shared" ref="Q465:AB465" si="198">SUM(Q453:Q464)</f>
        <v>0</v>
      </c>
      <c r="R465" s="62">
        <f t="shared" si="198"/>
        <v>1764504.0735617669</v>
      </c>
      <c r="S465" s="62">
        <f t="shared" si="198"/>
        <v>0</v>
      </c>
      <c r="T465" s="62">
        <f t="shared" si="198"/>
        <v>958611.68092633085</v>
      </c>
      <c r="U465" s="62">
        <f t="shared" si="198"/>
        <v>1457085.6651547619</v>
      </c>
      <c r="V465" s="62">
        <f t="shared" si="198"/>
        <v>307973.489344406</v>
      </c>
      <c r="W465" s="62">
        <f t="shared" si="198"/>
        <v>455692.63049039192</v>
      </c>
      <c r="X465" s="62">
        <f t="shared" si="198"/>
        <v>123781.59395909117</v>
      </c>
      <c r="Y465" s="62">
        <f t="shared" si="198"/>
        <v>86566.949128068241</v>
      </c>
      <c r="Z465" s="62">
        <f t="shared" si="198"/>
        <v>42990.765535061459</v>
      </c>
      <c r="AA465" s="62">
        <f t="shared" si="198"/>
        <v>4175979.9089850918</v>
      </c>
      <c r="AB465" s="62">
        <f t="shared" si="198"/>
        <v>136642.24291502949</v>
      </c>
      <c r="AC465" s="62">
        <f>SUM(AC453:AC464)</f>
        <v>0</v>
      </c>
      <c r="AD465" s="62">
        <f>SUM(AD453:AD464)</f>
        <v>0</v>
      </c>
      <c r="AE465" s="62">
        <f>SUM(AE453:AE464)</f>
        <v>0</v>
      </c>
      <c r="AF465" s="63">
        <f>SUM(H465:AE465)</f>
        <v>9509828.9999999981</v>
      </c>
      <c r="AG465" s="58" t="str">
        <f>IF(ABS(AF465-F465)&lt;1,"ok","err")</f>
        <v>ok</v>
      </c>
    </row>
    <row r="466" spans="1:33">
      <c r="A466" s="60"/>
      <c r="B466" s="60"/>
      <c r="F466" s="76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3"/>
      <c r="AG466" s="58"/>
    </row>
    <row r="467" spans="1:33">
      <c r="A467" s="60"/>
      <c r="B467" s="60"/>
      <c r="F467" s="76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3"/>
      <c r="AG467" s="58"/>
    </row>
    <row r="468" spans="1:33">
      <c r="A468" s="60"/>
      <c r="B468" s="60"/>
      <c r="F468" s="76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3"/>
      <c r="AG468" s="58"/>
    </row>
    <row r="469" spans="1:33">
      <c r="A469" s="60"/>
      <c r="B469" s="60"/>
      <c r="F469" s="76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3"/>
      <c r="AG469" s="58"/>
    </row>
    <row r="470" spans="1:33" ht="15">
      <c r="A470" s="65"/>
      <c r="B470" s="60"/>
      <c r="F470" s="79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G470" s="58"/>
    </row>
    <row r="471" spans="1:33" ht="15">
      <c r="A471" s="59" t="s">
        <v>45</v>
      </c>
      <c r="B471" s="60"/>
      <c r="F471" s="79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G471" s="58"/>
    </row>
    <row r="472" spans="1:33">
      <c r="A472" s="60"/>
      <c r="B472" s="60"/>
      <c r="F472" s="79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G472" s="58"/>
    </row>
    <row r="473" spans="1:33" ht="15">
      <c r="A473" s="65" t="s">
        <v>108</v>
      </c>
      <c r="B473" s="60"/>
      <c r="F473" s="79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G473" s="58"/>
    </row>
    <row r="474" spans="1:33">
      <c r="A474" s="60">
        <v>590</v>
      </c>
      <c r="B474" s="60" t="s">
        <v>1009</v>
      </c>
      <c r="C474" s="44" t="s">
        <v>65</v>
      </c>
      <c r="D474" s="44" t="s">
        <v>661</v>
      </c>
      <c r="F474" s="76">
        <v>0</v>
      </c>
      <c r="H474" s="63">
        <f t="shared" ref="H474:Q482" si="199">IF(VLOOKUP($D474,$C$6:$AE$653,H$2,)=0,0,((VLOOKUP($D474,$C$6:$AE$653,H$2,)/VLOOKUP($D474,$C$6:$AE$653,4,))*$F474))</f>
        <v>0</v>
      </c>
      <c r="I474" s="63">
        <f t="shared" si="199"/>
        <v>0</v>
      </c>
      <c r="J474" s="63">
        <f t="shared" si="199"/>
        <v>0</v>
      </c>
      <c r="K474" s="63">
        <f t="shared" si="199"/>
        <v>0</v>
      </c>
      <c r="L474" s="63">
        <f t="shared" si="199"/>
        <v>0</v>
      </c>
      <c r="M474" s="63">
        <f t="shared" si="199"/>
        <v>0</v>
      </c>
      <c r="N474" s="63">
        <f t="shared" si="199"/>
        <v>0</v>
      </c>
      <c r="O474" s="63">
        <f t="shared" si="199"/>
        <v>0</v>
      </c>
      <c r="P474" s="63">
        <f t="shared" si="199"/>
        <v>0</v>
      </c>
      <c r="Q474" s="63">
        <f t="shared" si="199"/>
        <v>0</v>
      </c>
      <c r="R474" s="63">
        <f t="shared" ref="R474:AE482" si="200">IF(VLOOKUP($D474,$C$6:$AE$653,R$2,)=0,0,((VLOOKUP($D474,$C$6:$AE$653,R$2,)/VLOOKUP($D474,$C$6:$AE$653,4,))*$F474))</f>
        <v>0</v>
      </c>
      <c r="S474" s="63">
        <f t="shared" si="200"/>
        <v>0</v>
      </c>
      <c r="T474" s="63">
        <f t="shared" si="200"/>
        <v>0</v>
      </c>
      <c r="U474" s="63">
        <f t="shared" si="200"/>
        <v>0</v>
      </c>
      <c r="V474" s="63">
        <f t="shared" si="200"/>
        <v>0</v>
      </c>
      <c r="W474" s="63">
        <f t="shared" si="200"/>
        <v>0</v>
      </c>
      <c r="X474" s="63">
        <f t="shared" si="200"/>
        <v>0</v>
      </c>
      <c r="Y474" s="63">
        <f t="shared" si="200"/>
        <v>0</v>
      </c>
      <c r="Z474" s="63">
        <f t="shared" si="200"/>
        <v>0</v>
      </c>
      <c r="AA474" s="63">
        <f t="shared" si="200"/>
        <v>0</v>
      </c>
      <c r="AB474" s="63">
        <f t="shared" si="200"/>
        <v>0</v>
      </c>
      <c r="AC474" s="63">
        <f t="shared" si="200"/>
        <v>0</v>
      </c>
      <c r="AD474" s="63">
        <f t="shared" si="200"/>
        <v>0</v>
      </c>
      <c r="AE474" s="63">
        <f t="shared" si="200"/>
        <v>0</v>
      </c>
      <c r="AF474" s="63">
        <f t="shared" ref="AF474:AF482" si="201">SUM(H474:AE474)</f>
        <v>0</v>
      </c>
      <c r="AG474" s="58" t="str">
        <f t="shared" ref="AG474:AG482" si="202">IF(ABS(AF474-F474)&lt;1,"ok","err")</f>
        <v>ok</v>
      </c>
    </row>
    <row r="475" spans="1:33">
      <c r="A475" s="60">
        <v>591</v>
      </c>
      <c r="B475" s="60" t="s">
        <v>223</v>
      </c>
      <c r="C475" s="44" t="s">
        <v>614</v>
      </c>
      <c r="D475" s="44" t="s">
        <v>939</v>
      </c>
      <c r="F475" s="79">
        <v>0</v>
      </c>
      <c r="H475" s="63">
        <f t="shared" si="199"/>
        <v>0</v>
      </c>
      <c r="I475" s="63">
        <f t="shared" si="199"/>
        <v>0</v>
      </c>
      <c r="J475" s="63">
        <f t="shared" si="199"/>
        <v>0</v>
      </c>
      <c r="K475" s="63">
        <f t="shared" si="199"/>
        <v>0</v>
      </c>
      <c r="L475" s="63">
        <f t="shared" si="199"/>
        <v>0</v>
      </c>
      <c r="M475" s="63">
        <f t="shared" si="199"/>
        <v>0</v>
      </c>
      <c r="N475" s="63">
        <f t="shared" si="199"/>
        <v>0</v>
      </c>
      <c r="O475" s="63">
        <f t="shared" si="199"/>
        <v>0</v>
      </c>
      <c r="P475" s="63">
        <f t="shared" si="199"/>
        <v>0</v>
      </c>
      <c r="Q475" s="63">
        <f t="shared" si="199"/>
        <v>0</v>
      </c>
      <c r="R475" s="63">
        <f t="shared" si="200"/>
        <v>0</v>
      </c>
      <c r="S475" s="63">
        <f t="shared" si="200"/>
        <v>0</v>
      </c>
      <c r="T475" s="63">
        <f t="shared" si="200"/>
        <v>0</v>
      </c>
      <c r="U475" s="63">
        <f t="shared" si="200"/>
        <v>0</v>
      </c>
      <c r="V475" s="63">
        <f t="shared" si="200"/>
        <v>0</v>
      </c>
      <c r="W475" s="63">
        <f t="shared" si="200"/>
        <v>0</v>
      </c>
      <c r="X475" s="63">
        <f t="shared" si="200"/>
        <v>0</v>
      </c>
      <c r="Y475" s="63">
        <f t="shared" si="200"/>
        <v>0</v>
      </c>
      <c r="Z475" s="63">
        <f t="shared" si="200"/>
        <v>0</v>
      </c>
      <c r="AA475" s="63">
        <f t="shared" si="200"/>
        <v>0</v>
      </c>
      <c r="AB475" s="63">
        <f t="shared" si="200"/>
        <v>0</v>
      </c>
      <c r="AC475" s="63">
        <f t="shared" si="200"/>
        <v>0</v>
      </c>
      <c r="AD475" s="63">
        <f t="shared" si="200"/>
        <v>0</v>
      </c>
      <c r="AE475" s="63">
        <f t="shared" si="200"/>
        <v>0</v>
      </c>
      <c r="AF475" s="63">
        <f>SUM(H475:AE475)</f>
        <v>0</v>
      </c>
      <c r="AG475" s="58" t="str">
        <f t="shared" si="202"/>
        <v>ok</v>
      </c>
    </row>
    <row r="476" spans="1:33">
      <c r="A476" s="60">
        <v>592</v>
      </c>
      <c r="B476" s="60" t="s">
        <v>1011</v>
      </c>
      <c r="C476" s="44" t="s">
        <v>66</v>
      </c>
      <c r="D476" s="44" t="s">
        <v>939</v>
      </c>
      <c r="F476" s="79">
        <v>199000</v>
      </c>
      <c r="H476" s="63">
        <f t="shared" si="199"/>
        <v>0</v>
      </c>
      <c r="I476" s="63">
        <f t="shared" si="199"/>
        <v>0</v>
      </c>
      <c r="J476" s="63">
        <f t="shared" si="199"/>
        <v>0</v>
      </c>
      <c r="K476" s="63">
        <f t="shared" si="199"/>
        <v>0</v>
      </c>
      <c r="L476" s="63">
        <f t="shared" si="199"/>
        <v>0</v>
      </c>
      <c r="M476" s="63">
        <f t="shared" si="199"/>
        <v>0</v>
      </c>
      <c r="N476" s="63">
        <f t="shared" si="199"/>
        <v>0</v>
      </c>
      <c r="O476" s="63">
        <f t="shared" si="199"/>
        <v>0</v>
      </c>
      <c r="P476" s="63">
        <f t="shared" si="199"/>
        <v>0</v>
      </c>
      <c r="Q476" s="63">
        <f t="shared" si="199"/>
        <v>0</v>
      </c>
      <c r="R476" s="63">
        <f t="shared" si="200"/>
        <v>199000</v>
      </c>
      <c r="S476" s="63">
        <f t="shared" si="200"/>
        <v>0</v>
      </c>
      <c r="T476" s="63">
        <f t="shared" si="200"/>
        <v>0</v>
      </c>
      <c r="U476" s="63">
        <f t="shared" si="200"/>
        <v>0</v>
      </c>
      <c r="V476" s="63">
        <f t="shared" si="200"/>
        <v>0</v>
      </c>
      <c r="W476" s="63">
        <f t="shared" si="200"/>
        <v>0</v>
      </c>
      <c r="X476" s="63">
        <f t="shared" si="200"/>
        <v>0</v>
      </c>
      <c r="Y476" s="63">
        <f t="shared" si="200"/>
        <v>0</v>
      </c>
      <c r="Z476" s="63">
        <f t="shared" si="200"/>
        <v>0</v>
      </c>
      <c r="AA476" s="63">
        <f t="shared" si="200"/>
        <v>0</v>
      </c>
      <c r="AB476" s="63">
        <f t="shared" si="200"/>
        <v>0</v>
      </c>
      <c r="AC476" s="63">
        <f t="shared" si="200"/>
        <v>0</v>
      </c>
      <c r="AD476" s="63">
        <f t="shared" si="200"/>
        <v>0</v>
      </c>
      <c r="AE476" s="63">
        <f t="shared" si="200"/>
        <v>0</v>
      </c>
      <c r="AF476" s="63">
        <f t="shared" si="201"/>
        <v>199000</v>
      </c>
      <c r="AG476" s="58" t="str">
        <f t="shared" si="202"/>
        <v>ok</v>
      </c>
    </row>
    <row r="477" spans="1:33">
      <c r="A477" s="60">
        <v>593</v>
      </c>
      <c r="B477" s="60" t="s">
        <v>1013</v>
      </c>
      <c r="C477" s="44" t="s">
        <v>67</v>
      </c>
      <c r="D477" s="44" t="s">
        <v>942</v>
      </c>
      <c r="F477" s="79">
        <v>2584023</v>
      </c>
      <c r="H477" s="63">
        <f t="shared" si="199"/>
        <v>0</v>
      </c>
      <c r="I477" s="63">
        <f t="shared" si="199"/>
        <v>0</v>
      </c>
      <c r="J477" s="63">
        <f t="shared" si="199"/>
        <v>0</v>
      </c>
      <c r="K477" s="63">
        <f t="shared" si="199"/>
        <v>0</v>
      </c>
      <c r="L477" s="63">
        <f t="shared" si="199"/>
        <v>0</v>
      </c>
      <c r="M477" s="63">
        <f t="shared" si="199"/>
        <v>0</v>
      </c>
      <c r="N477" s="63">
        <f t="shared" si="199"/>
        <v>0</v>
      </c>
      <c r="O477" s="63">
        <f t="shared" si="199"/>
        <v>0</v>
      </c>
      <c r="P477" s="63">
        <f t="shared" si="199"/>
        <v>0</v>
      </c>
      <c r="Q477" s="63">
        <f t="shared" si="199"/>
        <v>0</v>
      </c>
      <c r="R477" s="63">
        <f t="shared" si="200"/>
        <v>0</v>
      </c>
      <c r="S477" s="63">
        <f t="shared" si="200"/>
        <v>0</v>
      </c>
      <c r="T477" s="63">
        <f t="shared" si="200"/>
        <v>771712.21561434004</v>
      </c>
      <c r="U477" s="63">
        <f t="shared" si="200"/>
        <v>1119275.8157856599</v>
      </c>
      <c r="V477" s="63">
        <f t="shared" si="200"/>
        <v>282827.57068566</v>
      </c>
      <c r="W477" s="63">
        <f t="shared" si="200"/>
        <v>410207.39791434002</v>
      </c>
      <c r="X477" s="63">
        <f t="shared" si="200"/>
        <v>0</v>
      </c>
      <c r="Y477" s="63">
        <f t="shared" si="200"/>
        <v>0</v>
      </c>
      <c r="Z477" s="63">
        <f t="shared" si="200"/>
        <v>0</v>
      </c>
      <c r="AA477" s="63">
        <f t="shared" si="200"/>
        <v>0</v>
      </c>
      <c r="AB477" s="63">
        <f t="shared" si="200"/>
        <v>0</v>
      </c>
      <c r="AC477" s="63">
        <f t="shared" si="200"/>
        <v>0</v>
      </c>
      <c r="AD477" s="63">
        <f t="shared" si="200"/>
        <v>0</v>
      </c>
      <c r="AE477" s="63">
        <f t="shared" si="200"/>
        <v>0</v>
      </c>
      <c r="AF477" s="63">
        <f t="shared" si="201"/>
        <v>2584023</v>
      </c>
      <c r="AG477" s="58" t="str">
        <f t="shared" si="202"/>
        <v>ok</v>
      </c>
    </row>
    <row r="478" spans="1:33">
      <c r="A478" s="60">
        <v>594</v>
      </c>
      <c r="B478" s="60" t="s">
        <v>1015</v>
      </c>
      <c r="C478" s="44" t="s">
        <v>68</v>
      </c>
      <c r="D478" s="44" t="s">
        <v>945</v>
      </c>
      <c r="F478" s="79">
        <v>403600</v>
      </c>
      <c r="H478" s="63">
        <f t="shared" si="199"/>
        <v>0</v>
      </c>
      <c r="I478" s="63">
        <f t="shared" si="199"/>
        <v>0</v>
      </c>
      <c r="J478" s="63">
        <f t="shared" si="199"/>
        <v>0</v>
      </c>
      <c r="K478" s="63">
        <f t="shared" si="199"/>
        <v>0</v>
      </c>
      <c r="L478" s="63">
        <f t="shared" si="199"/>
        <v>0</v>
      </c>
      <c r="M478" s="63">
        <f t="shared" si="199"/>
        <v>0</v>
      </c>
      <c r="N478" s="63">
        <f t="shared" si="199"/>
        <v>0</v>
      </c>
      <c r="O478" s="63">
        <f t="shared" si="199"/>
        <v>0</v>
      </c>
      <c r="P478" s="63">
        <f t="shared" si="199"/>
        <v>0</v>
      </c>
      <c r="Q478" s="63">
        <f t="shared" si="199"/>
        <v>0</v>
      </c>
      <c r="R478" s="63">
        <f t="shared" si="200"/>
        <v>0</v>
      </c>
      <c r="S478" s="63">
        <f t="shared" si="200"/>
        <v>0</v>
      </c>
      <c r="T478" s="63">
        <f t="shared" si="200"/>
        <v>126690.16108000001</v>
      </c>
      <c r="U478" s="63">
        <f t="shared" si="200"/>
        <v>228881.43892000004</v>
      </c>
      <c r="V478" s="63">
        <f t="shared" si="200"/>
        <v>17112.518919999999</v>
      </c>
      <c r="W478" s="63">
        <f t="shared" si="200"/>
        <v>30915.881079999999</v>
      </c>
      <c r="X478" s="63">
        <f t="shared" si="200"/>
        <v>0</v>
      </c>
      <c r="Y478" s="63">
        <f t="shared" si="200"/>
        <v>0</v>
      </c>
      <c r="Z478" s="63">
        <f t="shared" si="200"/>
        <v>0</v>
      </c>
      <c r="AA478" s="63">
        <f t="shared" si="200"/>
        <v>0</v>
      </c>
      <c r="AB478" s="63">
        <f t="shared" si="200"/>
        <v>0</v>
      </c>
      <c r="AC478" s="63">
        <f t="shared" si="200"/>
        <v>0</v>
      </c>
      <c r="AD478" s="63">
        <f t="shared" si="200"/>
        <v>0</v>
      </c>
      <c r="AE478" s="63">
        <f t="shared" si="200"/>
        <v>0</v>
      </c>
      <c r="AF478" s="63">
        <f t="shared" si="201"/>
        <v>403600.00000000006</v>
      </c>
      <c r="AG478" s="58" t="str">
        <f t="shared" si="202"/>
        <v>ok</v>
      </c>
    </row>
    <row r="479" spans="1:33">
      <c r="A479" s="60">
        <v>595</v>
      </c>
      <c r="B479" s="60" t="s">
        <v>1017</v>
      </c>
      <c r="C479" s="44" t="s">
        <v>69</v>
      </c>
      <c r="D479" s="44" t="s">
        <v>946</v>
      </c>
      <c r="F479" s="79">
        <v>77717</v>
      </c>
      <c r="H479" s="63">
        <f t="shared" si="199"/>
        <v>0</v>
      </c>
      <c r="I479" s="63">
        <f t="shared" si="199"/>
        <v>0</v>
      </c>
      <c r="J479" s="63">
        <f t="shared" si="199"/>
        <v>0</v>
      </c>
      <c r="K479" s="63">
        <f t="shared" si="199"/>
        <v>0</v>
      </c>
      <c r="L479" s="63">
        <f t="shared" si="199"/>
        <v>0</v>
      </c>
      <c r="M479" s="63">
        <f t="shared" si="199"/>
        <v>0</v>
      </c>
      <c r="N479" s="63">
        <f t="shared" si="199"/>
        <v>0</v>
      </c>
      <c r="O479" s="63">
        <f t="shared" si="199"/>
        <v>0</v>
      </c>
      <c r="P479" s="63">
        <f t="shared" si="199"/>
        <v>0</v>
      </c>
      <c r="Q479" s="63">
        <f t="shared" si="199"/>
        <v>0</v>
      </c>
      <c r="R479" s="63">
        <f t="shared" si="200"/>
        <v>0</v>
      </c>
      <c r="S479" s="63">
        <f t="shared" si="200"/>
        <v>0</v>
      </c>
      <c r="T479" s="63">
        <f t="shared" si="200"/>
        <v>0</v>
      </c>
      <c r="U479" s="63">
        <f t="shared" si="200"/>
        <v>0</v>
      </c>
      <c r="V479" s="63">
        <f t="shared" si="200"/>
        <v>0</v>
      </c>
      <c r="W479" s="63">
        <f t="shared" si="200"/>
        <v>0</v>
      </c>
      <c r="X479" s="63">
        <f t="shared" si="200"/>
        <v>45733.305287180439</v>
      </c>
      <c r="Y479" s="63">
        <f t="shared" si="200"/>
        <v>31983.694712819564</v>
      </c>
      <c r="Z479" s="63">
        <f t="shared" si="200"/>
        <v>0</v>
      </c>
      <c r="AA479" s="63">
        <f t="shared" si="200"/>
        <v>0</v>
      </c>
      <c r="AB479" s="63">
        <f t="shared" si="200"/>
        <v>0</v>
      </c>
      <c r="AC479" s="63">
        <f t="shared" si="200"/>
        <v>0</v>
      </c>
      <c r="AD479" s="63">
        <f t="shared" si="200"/>
        <v>0</v>
      </c>
      <c r="AE479" s="63">
        <f t="shared" si="200"/>
        <v>0</v>
      </c>
      <c r="AF479" s="63">
        <f t="shared" si="201"/>
        <v>77717</v>
      </c>
      <c r="AG479" s="58" t="str">
        <f t="shared" si="202"/>
        <v>ok</v>
      </c>
    </row>
    <row r="480" spans="1:33">
      <c r="A480" s="60">
        <v>596</v>
      </c>
      <c r="B480" s="60" t="s">
        <v>1152</v>
      </c>
      <c r="C480" s="44" t="s">
        <v>70</v>
      </c>
      <c r="D480" s="44" t="s">
        <v>953</v>
      </c>
      <c r="F480" s="79">
        <v>6800</v>
      </c>
      <c r="H480" s="63">
        <f t="shared" si="199"/>
        <v>0</v>
      </c>
      <c r="I480" s="63">
        <f t="shared" si="199"/>
        <v>0</v>
      </c>
      <c r="J480" s="63">
        <f t="shared" si="199"/>
        <v>0</v>
      </c>
      <c r="K480" s="63">
        <f t="shared" si="199"/>
        <v>0</v>
      </c>
      <c r="L480" s="63">
        <f t="shared" si="199"/>
        <v>0</v>
      </c>
      <c r="M480" s="63">
        <f t="shared" si="199"/>
        <v>0</v>
      </c>
      <c r="N480" s="63">
        <f t="shared" si="199"/>
        <v>0</v>
      </c>
      <c r="O480" s="63">
        <f t="shared" si="199"/>
        <v>0</v>
      </c>
      <c r="P480" s="63">
        <f t="shared" si="199"/>
        <v>0</v>
      </c>
      <c r="Q480" s="63">
        <f t="shared" si="199"/>
        <v>0</v>
      </c>
      <c r="R480" s="63">
        <f t="shared" si="200"/>
        <v>0</v>
      </c>
      <c r="S480" s="63">
        <f t="shared" si="200"/>
        <v>0</v>
      </c>
      <c r="T480" s="63">
        <f t="shared" si="200"/>
        <v>0</v>
      </c>
      <c r="U480" s="63">
        <f t="shared" si="200"/>
        <v>0</v>
      </c>
      <c r="V480" s="63">
        <f t="shared" si="200"/>
        <v>0</v>
      </c>
      <c r="W480" s="63">
        <f t="shared" si="200"/>
        <v>0</v>
      </c>
      <c r="X480" s="63">
        <f t="shared" si="200"/>
        <v>0</v>
      </c>
      <c r="Y480" s="63">
        <f t="shared" si="200"/>
        <v>0</v>
      </c>
      <c r="Z480" s="63">
        <f t="shared" si="200"/>
        <v>0</v>
      </c>
      <c r="AA480" s="63">
        <f t="shared" si="200"/>
        <v>0</v>
      </c>
      <c r="AB480" s="63">
        <f t="shared" si="200"/>
        <v>6800</v>
      </c>
      <c r="AC480" s="63">
        <f t="shared" si="200"/>
        <v>0</v>
      </c>
      <c r="AD480" s="63">
        <f t="shared" si="200"/>
        <v>0</v>
      </c>
      <c r="AE480" s="63">
        <f t="shared" si="200"/>
        <v>0</v>
      </c>
      <c r="AF480" s="63">
        <f t="shared" si="201"/>
        <v>6800</v>
      </c>
      <c r="AG480" s="58" t="str">
        <f t="shared" si="202"/>
        <v>ok</v>
      </c>
    </row>
    <row r="481" spans="1:33">
      <c r="A481" s="60">
        <v>597</v>
      </c>
      <c r="B481" s="60" t="s">
        <v>1019</v>
      </c>
      <c r="C481" s="44" t="s">
        <v>71</v>
      </c>
      <c r="D481" s="44" t="s">
        <v>950</v>
      </c>
      <c r="F481" s="79">
        <v>0</v>
      </c>
      <c r="H481" s="63">
        <f t="shared" si="199"/>
        <v>0</v>
      </c>
      <c r="I481" s="63">
        <f t="shared" si="199"/>
        <v>0</v>
      </c>
      <c r="J481" s="63">
        <f t="shared" si="199"/>
        <v>0</v>
      </c>
      <c r="K481" s="63">
        <f t="shared" si="199"/>
        <v>0</v>
      </c>
      <c r="L481" s="63">
        <f t="shared" si="199"/>
        <v>0</v>
      </c>
      <c r="M481" s="63">
        <f t="shared" si="199"/>
        <v>0</v>
      </c>
      <c r="N481" s="63">
        <f t="shared" si="199"/>
        <v>0</v>
      </c>
      <c r="O481" s="63">
        <f t="shared" si="199"/>
        <v>0</v>
      </c>
      <c r="P481" s="63">
        <f t="shared" si="199"/>
        <v>0</v>
      </c>
      <c r="Q481" s="63">
        <f t="shared" si="199"/>
        <v>0</v>
      </c>
      <c r="R481" s="63">
        <f t="shared" si="200"/>
        <v>0</v>
      </c>
      <c r="S481" s="63">
        <f t="shared" si="200"/>
        <v>0</v>
      </c>
      <c r="T481" s="63">
        <f t="shared" si="200"/>
        <v>0</v>
      </c>
      <c r="U481" s="63">
        <f t="shared" si="200"/>
        <v>0</v>
      </c>
      <c r="V481" s="63">
        <f t="shared" si="200"/>
        <v>0</v>
      </c>
      <c r="W481" s="63">
        <f t="shared" si="200"/>
        <v>0</v>
      </c>
      <c r="X481" s="63">
        <f t="shared" si="200"/>
        <v>0</v>
      </c>
      <c r="Y481" s="63">
        <f t="shared" si="200"/>
        <v>0</v>
      </c>
      <c r="Z481" s="63">
        <f t="shared" si="200"/>
        <v>0</v>
      </c>
      <c r="AA481" s="63">
        <f t="shared" si="200"/>
        <v>0</v>
      </c>
      <c r="AB481" s="63">
        <f t="shared" si="200"/>
        <v>0</v>
      </c>
      <c r="AC481" s="63">
        <f t="shared" si="200"/>
        <v>0</v>
      </c>
      <c r="AD481" s="63">
        <f t="shared" si="200"/>
        <v>0</v>
      </c>
      <c r="AE481" s="63">
        <f t="shared" si="200"/>
        <v>0</v>
      </c>
      <c r="AF481" s="63">
        <f t="shared" si="201"/>
        <v>0</v>
      </c>
      <c r="AG481" s="58" t="str">
        <f t="shared" si="202"/>
        <v>ok</v>
      </c>
    </row>
    <row r="482" spans="1:33">
      <c r="A482" s="60">
        <v>598</v>
      </c>
      <c r="B482" s="60" t="s">
        <v>1156</v>
      </c>
      <c r="C482" s="44" t="s">
        <v>72</v>
      </c>
      <c r="D482" s="44" t="s">
        <v>935</v>
      </c>
      <c r="F482" s="79">
        <v>0</v>
      </c>
      <c r="H482" s="63">
        <f t="shared" si="199"/>
        <v>0</v>
      </c>
      <c r="I482" s="63">
        <f t="shared" si="199"/>
        <v>0</v>
      </c>
      <c r="J482" s="63">
        <f t="shared" si="199"/>
        <v>0</v>
      </c>
      <c r="K482" s="63">
        <f t="shared" si="199"/>
        <v>0</v>
      </c>
      <c r="L482" s="63">
        <f t="shared" si="199"/>
        <v>0</v>
      </c>
      <c r="M482" s="63">
        <f t="shared" si="199"/>
        <v>0</v>
      </c>
      <c r="N482" s="63">
        <f t="shared" si="199"/>
        <v>0</v>
      </c>
      <c r="O482" s="63">
        <f t="shared" si="199"/>
        <v>0</v>
      </c>
      <c r="P482" s="63">
        <f t="shared" si="199"/>
        <v>0</v>
      </c>
      <c r="Q482" s="63">
        <f t="shared" si="199"/>
        <v>0</v>
      </c>
      <c r="R482" s="63">
        <f t="shared" si="200"/>
        <v>0</v>
      </c>
      <c r="S482" s="63">
        <f t="shared" si="200"/>
        <v>0</v>
      </c>
      <c r="T482" s="63">
        <f t="shared" si="200"/>
        <v>0</v>
      </c>
      <c r="U482" s="63">
        <f t="shared" si="200"/>
        <v>0</v>
      </c>
      <c r="V482" s="63">
        <f t="shared" si="200"/>
        <v>0</v>
      </c>
      <c r="W482" s="63">
        <f t="shared" si="200"/>
        <v>0</v>
      </c>
      <c r="X482" s="63">
        <f t="shared" si="200"/>
        <v>0</v>
      </c>
      <c r="Y482" s="63">
        <f t="shared" si="200"/>
        <v>0</v>
      </c>
      <c r="Z482" s="63">
        <f t="shared" si="200"/>
        <v>0</v>
      </c>
      <c r="AA482" s="63">
        <f t="shared" si="200"/>
        <v>0</v>
      </c>
      <c r="AB482" s="63">
        <f t="shared" si="200"/>
        <v>0</v>
      </c>
      <c r="AC482" s="63">
        <f t="shared" si="200"/>
        <v>0</v>
      </c>
      <c r="AD482" s="63">
        <f t="shared" si="200"/>
        <v>0</v>
      </c>
      <c r="AE482" s="63">
        <f t="shared" si="200"/>
        <v>0</v>
      </c>
      <c r="AF482" s="63">
        <f t="shared" si="201"/>
        <v>0</v>
      </c>
      <c r="AG482" s="58" t="str">
        <f t="shared" si="202"/>
        <v>ok</v>
      </c>
    </row>
    <row r="483" spans="1:33">
      <c r="A483" s="60"/>
      <c r="B483" s="60"/>
      <c r="F483" s="79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58"/>
    </row>
    <row r="484" spans="1:33">
      <c r="A484" s="60" t="s">
        <v>109</v>
      </c>
      <c r="B484" s="60"/>
      <c r="C484" s="44" t="s">
        <v>73</v>
      </c>
      <c r="F484" s="76">
        <f t="shared" ref="F484:M484" si="203">SUM(F474:F483)</f>
        <v>3271140</v>
      </c>
      <c r="G484" s="62">
        <f t="shared" si="203"/>
        <v>0</v>
      </c>
      <c r="H484" s="62">
        <f t="shared" si="203"/>
        <v>0</v>
      </c>
      <c r="I484" s="62">
        <f t="shared" si="203"/>
        <v>0</v>
      </c>
      <c r="J484" s="62">
        <f t="shared" si="203"/>
        <v>0</v>
      </c>
      <c r="K484" s="62">
        <f t="shared" si="203"/>
        <v>0</v>
      </c>
      <c r="L484" s="62">
        <f t="shared" si="203"/>
        <v>0</v>
      </c>
      <c r="M484" s="62">
        <f t="shared" si="203"/>
        <v>0</v>
      </c>
      <c r="N484" s="62">
        <f>SUM(N474:N483)</f>
        <v>0</v>
      </c>
      <c r="O484" s="62">
        <f>SUM(O474:O483)</f>
        <v>0</v>
      </c>
      <c r="P484" s="62">
        <f>SUM(P474:P483)</f>
        <v>0</v>
      </c>
      <c r="Q484" s="62">
        <f t="shared" ref="Q484:AB484" si="204">SUM(Q474:Q483)</f>
        <v>0</v>
      </c>
      <c r="R484" s="62">
        <f t="shared" si="204"/>
        <v>199000</v>
      </c>
      <c r="S484" s="62">
        <f t="shared" si="204"/>
        <v>0</v>
      </c>
      <c r="T484" s="62">
        <f t="shared" si="204"/>
        <v>898402.37669434003</v>
      </c>
      <c r="U484" s="62">
        <f t="shared" si="204"/>
        <v>1348157.25470566</v>
      </c>
      <c r="V484" s="62">
        <f t="shared" si="204"/>
        <v>299940.08960566</v>
      </c>
      <c r="W484" s="62">
        <f t="shared" si="204"/>
        <v>441123.27899434004</v>
      </c>
      <c r="X484" s="62">
        <f t="shared" si="204"/>
        <v>45733.305287180439</v>
      </c>
      <c r="Y484" s="62">
        <f t="shared" si="204"/>
        <v>31983.694712819564</v>
      </c>
      <c r="Z484" s="62">
        <f t="shared" si="204"/>
        <v>0</v>
      </c>
      <c r="AA484" s="62">
        <f t="shared" si="204"/>
        <v>0</v>
      </c>
      <c r="AB484" s="62">
        <f t="shared" si="204"/>
        <v>6800</v>
      </c>
      <c r="AC484" s="62">
        <f>SUM(AC474:AC483)</f>
        <v>0</v>
      </c>
      <c r="AD484" s="62">
        <f>SUM(AD474:AD483)</f>
        <v>0</v>
      </c>
      <c r="AE484" s="62">
        <f>SUM(AE474:AE483)</f>
        <v>0</v>
      </c>
      <c r="AF484" s="63">
        <f>SUM(H484:AE484)</f>
        <v>3271140.0000000005</v>
      </c>
      <c r="AG484" s="58" t="str">
        <f>IF(ABS(AF484-F484)&lt;1,"ok","err")</f>
        <v>ok</v>
      </c>
    </row>
    <row r="485" spans="1:33">
      <c r="A485" s="60"/>
      <c r="B485" s="60"/>
      <c r="F485" s="79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G485" s="58"/>
    </row>
    <row r="486" spans="1:33">
      <c r="A486" s="60" t="s">
        <v>110</v>
      </c>
      <c r="B486" s="60"/>
      <c r="D486" s="44" t="s">
        <v>935</v>
      </c>
      <c r="F486" s="76">
        <f>F484+F465</f>
        <v>12780969</v>
      </c>
      <c r="G486" s="63">
        <f>G465+G484</f>
        <v>0</v>
      </c>
      <c r="H486" s="63">
        <f t="shared" ref="H486:M486" si="205">H484+H465</f>
        <v>0</v>
      </c>
      <c r="I486" s="63">
        <f t="shared" si="205"/>
        <v>0</v>
      </c>
      <c r="J486" s="63">
        <f t="shared" si="205"/>
        <v>0</v>
      </c>
      <c r="K486" s="63">
        <f t="shared" si="205"/>
        <v>0</v>
      </c>
      <c r="L486" s="63">
        <f t="shared" si="205"/>
        <v>0</v>
      </c>
      <c r="M486" s="63">
        <f t="shared" si="205"/>
        <v>0</v>
      </c>
      <c r="N486" s="63">
        <f>N484+N465</f>
        <v>0</v>
      </c>
      <c r="O486" s="63">
        <f>O484+O465</f>
        <v>0</v>
      </c>
      <c r="P486" s="63">
        <f>P484+P465</f>
        <v>0</v>
      </c>
      <c r="Q486" s="63">
        <f t="shared" ref="Q486:AB486" si="206">Q484+Q465</f>
        <v>0</v>
      </c>
      <c r="R486" s="63">
        <f t="shared" si="206"/>
        <v>1963504.0735617669</v>
      </c>
      <c r="S486" s="63">
        <f t="shared" si="206"/>
        <v>0</v>
      </c>
      <c r="T486" s="63">
        <f t="shared" si="206"/>
        <v>1857014.0576206709</v>
      </c>
      <c r="U486" s="63">
        <f t="shared" si="206"/>
        <v>2805242.9198604217</v>
      </c>
      <c r="V486" s="63">
        <f t="shared" si="206"/>
        <v>607913.578950066</v>
      </c>
      <c r="W486" s="63">
        <f t="shared" si="206"/>
        <v>896815.90948473196</v>
      </c>
      <c r="X486" s="63">
        <f t="shared" si="206"/>
        <v>169514.89924627161</v>
      </c>
      <c r="Y486" s="63">
        <f t="shared" si="206"/>
        <v>118550.6438408878</v>
      </c>
      <c r="Z486" s="63">
        <f t="shared" si="206"/>
        <v>42990.765535061459</v>
      </c>
      <c r="AA486" s="63">
        <f t="shared" si="206"/>
        <v>4175979.9089850918</v>
      </c>
      <c r="AB486" s="63">
        <f t="shared" si="206"/>
        <v>143442.24291502949</v>
      </c>
      <c r="AC486" s="63">
        <f>AC484+AC465</f>
        <v>0</v>
      </c>
      <c r="AD486" s="63">
        <f>AD484+AD465</f>
        <v>0</v>
      </c>
      <c r="AE486" s="63">
        <f>AE484+AE465</f>
        <v>0</v>
      </c>
      <c r="AF486" s="63">
        <f>SUM(H486:AE486)</f>
        <v>12780969</v>
      </c>
      <c r="AG486" s="58" t="str">
        <f>IF(ABS(AF486-F486)&lt;1,"ok","err")</f>
        <v>ok</v>
      </c>
    </row>
    <row r="487" spans="1:33">
      <c r="A487" s="60"/>
      <c r="B487" s="60"/>
      <c r="F487" s="79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G487" s="58"/>
    </row>
    <row r="488" spans="1:33">
      <c r="A488" s="60" t="s">
        <v>111</v>
      </c>
      <c r="B488" s="60"/>
      <c r="F488" s="76">
        <f t="shared" ref="F488:M488" si="207">F486+F450</f>
        <v>15916386</v>
      </c>
      <c r="G488" s="63">
        <f t="shared" si="207"/>
        <v>0</v>
      </c>
      <c r="H488" s="63">
        <f t="shared" si="207"/>
        <v>0</v>
      </c>
      <c r="I488" s="63">
        <f t="shared" si="207"/>
        <v>0</v>
      </c>
      <c r="J488" s="63">
        <f t="shared" si="207"/>
        <v>0</v>
      </c>
      <c r="K488" s="63">
        <f t="shared" si="207"/>
        <v>0</v>
      </c>
      <c r="L488" s="63">
        <f t="shared" si="207"/>
        <v>0</v>
      </c>
      <c r="M488" s="63">
        <f t="shared" si="207"/>
        <v>0</v>
      </c>
      <c r="N488" s="63">
        <f>N486+N450</f>
        <v>3135417</v>
      </c>
      <c r="O488" s="63">
        <f>O486+O450</f>
        <v>0</v>
      </c>
      <c r="P488" s="63">
        <f>P486+P450</f>
        <v>0</v>
      </c>
      <c r="Q488" s="63">
        <f t="shared" ref="Q488:AB488" si="208">Q486+Q450</f>
        <v>0</v>
      </c>
      <c r="R488" s="63">
        <f t="shared" si="208"/>
        <v>1963504.0735617669</v>
      </c>
      <c r="S488" s="63">
        <f t="shared" si="208"/>
        <v>0</v>
      </c>
      <c r="T488" s="63">
        <f t="shared" si="208"/>
        <v>1857014.0576206709</v>
      </c>
      <c r="U488" s="63">
        <f t="shared" si="208"/>
        <v>2805242.9198604217</v>
      </c>
      <c r="V488" s="63">
        <f t="shared" si="208"/>
        <v>607913.578950066</v>
      </c>
      <c r="W488" s="63">
        <f t="shared" si="208"/>
        <v>896815.90948473196</v>
      </c>
      <c r="X488" s="63">
        <f t="shared" si="208"/>
        <v>169514.89924627161</v>
      </c>
      <c r="Y488" s="63">
        <f t="shared" si="208"/>
        <v>118550.6438408878</v>
      </c>
      <c r="Z488" s="63">
        <f t="shared" si="208"/>
        <v>42990.765535061459</v>
      </c>
      <c r="AA488" s="63">
        <f t="shared" si="208"/>
        <v>4175979.9089850918</v>
      </c>
      <c r="AB488" s="63">
        <f t="shared" si="208"/>
        <v>143442.24291502949</v>
      </c>
      <c r="AC488" s="63">
        <f>AC486+AC450</f>
        <v>0</v>
      </c>
      <c r="AD488" s="63">
        <f>AD486+AD450</f>
        <v>0</v>
      </c>
      <c r="AE488" s="63">
        <f>AE486+AE450</f>
        <v>0</v>
      </c>
      <c r="AF488" s="63">
        <f>SUM(H488:AE488)</f>
        <v>15916386</v>
      </c>
      <c r="AG488" s="58" t="str">
        <f>IF(ABS(AF488-F488)&lt;1,"ok","err")</f>
        <v>ok</v>
      </c>
    </row>
    <row r="489" spans="1:33">
      <c r="A489" s="60"/>
      <c r="B489" s="60"/>
      <c r="F489" s="79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G489" s="58"/>
    </row>
    <row r="490" spans="1:33">
      <c r="A490" s="60" t="s">
        <v>340</v>
      </c>
      <c r="B490" s="60"/>
      <c r="C490" s="44" t="s">
        <v>74</v>
      </c>
      <c r="F490" s="76">
        <f>F488+F427+F434</f>
        <v>46834191</v>
      </c>
      <c r="G490" s="62">
        <f>G488+G434</f>
        <v>0</v>
      </c>
      <c r="H490" s="62">
        <f>H488+H427+H434</f>
        <v>6084771.3260635436</v>
      </c>
      <c r="I490" s="62">
        <f t="shared" ref="I490:AE490" si="209">I488+I427+I434</f>
        <v>6374183.0955313304</v>
      </c>
      <c r="J490" s="62">
        <f t="shared" si="209"/>
        <v>5239557.0106498227</v>
      </c>
      <c r="K490" s="62">
        <f t="shared" si="209"/>
        <v>13219293.567755304</v>
      </c>
      <c r="L490" s="62">
        <f t="shared" si="209"/>
        <v>0</v>
      </c>
      <c r="M490" s="62">
        <f t="shared" si="209"/>
        <v>0</v>
      </c>
      <c r="N490" s="62">
        <f t="shared" si="209"/>
        <v>3135417</v>
      </c>
      <c r="O490" s="62">
        <f t="shared" si="209"/>
        <v>0</v>
      </c>
      <c r="P490" s="62">
        <f t="shared" si="209"/>
        <v>0</v>
      </c>
      <c r="Q490" s="62">
        <f t="shared" si="209"/>
        <v>0</v>
      </c>
      <c r="R490" s="62">
        <f t="shared" si="209"/>
        <v>1963504.0735617669</v>
      </c>
      <c r="S490" s="62">
        <f t="shared" si="209"/>
        <v>0</v>
      </c>
      <c r="T490" s="62">
        <f t="shared" si="209"/>
        <v>1857014.0576206709</v>
      </c>
      <c r="U490" s="62">
        <f t="shared" si="209"/>
        <v>2805242.9198604217</v>
      </c>
      <c r="V490" s="62">
        <f t="shared" si="209"/>
        <v>607913.578950066</v>
      </c>
      <c r="W490" s="62">
        <f t="shared" si="209"/>
        <v>896815.90948473196</v>
      </c>
      <c r="X490" s="62">
        <f t="shared" si="209"/>
        <v>169514.89924627161</v>
      </c>
      <c r="Y490" s="62">
        <f t="shared" si="209"/>
        <v>118550.6438408878</v>
      </c>
      <c r="Z490" s="62">
        <f t="shared" si="209"/>
        <v>42990.765535061459</v>
      </c>
      <c r="AA490" s="62">
        <f t="shared" si="209"/>
        <v>4175979.9089850918</v>
      </c>
      <c r="AB490" s="62">
        <f t="shared" si="209"/>
        <v>143442.24291502949</v>
      </c>
      <c r="AC490" s="62">
        <f t="shared" si="209"/>
        <v>0</v>
      </c>
      <c r="AD490" s="62">
        <f t="shared" si="209"/>
        <v>0</v>
      </c>
      <c r="AE490" s="62">
        <f t="shared" si="209"/>
        <v>0</v>
      </c>
      <c r="AF490" s="63">
        <f>SUM(H490:AE490)</f>
        <v>46834190.999999993</v>
      </c>
      <c r="AG490" s="58" t="str">
        <f>IF(ABS(AF490-F490)&lt;1,"ok","err")</f>
        <v>ok</v>
      </c>
    </row>
    <row r="491" spans="1:33" ht="15">
      <c r="A491" s="65"/>
      <c r="B491" s="60"/>
      <c r="F491" s="79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G491" s="58"/>
    </row>
    <row r="492" spans="1:33" ht="15">
      <c r="A492" s="65" t="s">
        <v>1025</v>
      </c>
      <c r="B492" s="60"/>
      <c r="F492" s="79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G492" s="58"/>
    </row>
    <row r="493" spans="1:33">
      <c r="A493" s="60">
        <v>901</v>
      </c>
      <c r="B493" s="60" t="s">
        <v>1026</v>
      </c>
      <c r="C493" s="44" t="s">
        <v>75</v>
      </c>
      <c r="D493" s="44" t="s">
        <v>662</v>
      </c>
      <c r="F493" s="76">
        <v>869231.40000000014</v>
      </c>
      <c r="H493" s="63">
        <f t="shared" ref="H493:Q497" si="210">IF(VLOOKUP($D493,$C$6:$AE$653,H$2,)=0,0,((VLOOKUP($D493,$C$6:$AE$653,H$2,)/VLOOKUP($D493,$C$6:$AE$653,4,))*$F493))</f>
        <v>0</v>
      </c>
      <c r="I493" s="63">
        <f t="shared" si="210"/>
        <v>0</v>
      </c>
      <c r="J493" s="63">
        <f t="shared" si="210"/>
        <v>0</v>
      </c>
      <c r="K493" s="63">
        <f t="shared" si="210"/>
        <v>0</v>
      </c>
      <c r="L493" s="63">
        <f t="shared" si="210"/>
        <v>0</v>
      </c>
      <c r="M493" s="63">
        <f t="shared" si="210"/>
        <v>0</v>
      </c>
      <c r="N493" s="63">
        <f t="shared" si="210"/>
        <v>0</v>
      </c>
      <c r="O493" s="63">
        <f t="shared" si="210"/>
        <v>0</v>
      </c>
      <c r="P493" s="63">
        <f t="shared" si="210"/>
        <v>0</v>
      </c>
      <c r="Q493" s="63">
        <f t="shared" si="210"/>
        <v>0</v>
      </c>
      <c r="R493" s="63">
        <f t="shared" ref="R493:AE497" si="211">IF(VLOOKUP($D493,$C$6:$AE$653,R$2,)=0,0,((VLOOKUP($D493,$C$6:$AE$653,R$2,)/VLOOKUP($D493,$C$6:$AE$653,4,))*$F493))</f>
        <v>0</v>
      </c>
      <c r="S493" s="63">
        <f t="shared" si="211"/>
        <v>0</v>
      </c>
      <c r="T493" s="63">
        <f t="shared" si="211"/>
        <v>0</v>
      </c>
      <c r="U493" s="63">
        <f t="shared" si="211"/>
        <v>0</v>
      </c>
      <c r="V493" s="63">
        <f t="shared" si="211"/>
        <v>0</v>
      </c>
      <c r="W493" s="63">
        <f t="shared" si="211"/>
        <v>0</v>
      </c>
      <c r="X493" s="63">
        <f t="shared" si="211"/>
        <v>0</v>
      </c>
      <c r="Y493" s="63">
        <f t="shared" si="211"/>
        <v>0</v>
      </c>
      <c r="Z493" s="63">
        <f t="shared" si="211"/>
        <v>0</v>
      </c>
      <c r="AA493" s="63">
        <f t="shared" si="211"/>
        <v>0</v>
      </c>
      <c r="AB493" s="63">
        <f t="shared" si="211"/>
        <v>0</v>
      </c>
      <c r="AC493" s="63">
        <f t="shared" si="211"/>
        <v>869231.40000000014</v>
      </c>
      <c r="AD493" s="63">
        <f t="shared" si="211"/>
        <v>0</v>
      </c>
      <c r="AE493" s="63">
        <f t="shared" si="211"/>
        <v>0</v>
      </c>
      <c r="AF493" s="63">
        <f>SUM(H493:AE493)</f>
        <v>869231.40000000014</v>
      </c>
      <c r="AG493" s="58" t="str">
        <f>IF(ABS(AF493-F493)&lt;1,"ok","err")</f>
        <v>ok</v>
      </c>
    </row>
    <row r="494" spans="1:33">
      <c r="A494" s="60">
        <v>902</v>
      </c>
      <c r="B494" s="60" t="s">
        <v>1029</v>
      </c>
      <c r="C494" s="44" t="s">
        <v>76</v>
      </c>
      <c r="D494" s="44" t="s">
        <v>662</v>
      </c>
      <c r="F494" s="79">
        <v>340095.28</v>
      </c>
      <c r="H494" s="63">
        <f t="shared" si="210"/>
        <v>0</v>
      </c>
      <c r="I494" s="63">
        <f t="shared" si="210"/>
        <v>0</v>
      </c>
      <c r="J494" s="63">
        <f t="shared" si="210"/>
        <v>0</v>
      </c>
      <c r="K494" s="63">
        <f t="shared" si="210"/>
        <v>0</v>
      </c>
      <c r="L494" s="63">
        <f t="shared" si="210"/>
        <v>0</v>
      </c>
      <c r="M494" s="63">
        <f t="shared" si="210"/>
        <v>0</v>
      </c>
      <c r="N494" s="63">
        <f t="shared" si="210"/>
        <v>0</v>
      </c>
      <c r="O494" s="63">
        <f t="shared" si="210"/>
        <v>0</v>
      </c>
      <c r="P494" s="63">
        <f t="shared" si="210"/>
        <v>0</v>
      </c>
      <c r="Q494" s="63">
        <f t="shared" si="210"/>
        <v>0</v>
      </c>
      <c r="R494" s="63">
        <f t="shared" si="211"/>
        <v>0</v>
      </c>
      <c r="S494" s="63">
        <f t="shared" si="211"/>
        <v>0</v>
      </c>
      <c r="T494" s="63">
        <f t="shared" si="211"/>
        <v>0</v>
      </c>
      <c r="U494" s="63">
        <f t="shared" si="211"/>
        <v>0</v>
      </c>
      <c r="V494" s="63">
        <f t="shared" si="211"/>
        <v>0</v>
      </c>
      <c r="W494" s="63">
        <f t="shared" si="211"/>
        <v>0</v>
      </c>
      <c r="X494" s="63">
        <f t="shared" si="211"/>
        <v>0</v>
      </c>
      <c r="Y494" s="63">
        <f t="shared" si="211"/>
        <v>0</v>
      </c>
      <c r="Z494" s="63">
        <f t="shared" si="211"/>
        <v>0</v>
      </c>
      <c r="AA494" s="63">
        <f t="shared" si="211"/>
        <v>0</v>
      </c>
      <c r="AB494" s="63">
        <f t="shared" si="211"/>
        <v>0</v>
      </c>
      <c r="AC494" s="63">
        <f t="shared" si="211"/>
        <v>340095.28</v>
      </c>
      <c r="AD494" s="63">
        <f t="shared" si="211"/>
        <v>0</v>
      </c>
      <c r="AE494" s="63">
        <f t="shared" si="211"/>
        <v>0</v>
      </c>
      <c r="AF494" s="63">
        <f>SUM(H494:AE494)</f>
        <v>340095.28</v>
      </c>
      <c r="AG494" s="58" t="str">
        <f>IF(ABS(AF494-F494)&lt;1,"ok","err")</f>
        <v>ok</v>
      </c>
    </row>
    <row r="495" spans="1:33">
      <c r="A495" s="60">
        <v>903</v>
      </c>
      <c r="B495" s="60" t="s">
        <v>29</v>
      </c>
      <c r="C495" s="44" t="s">
        <v>77</v>
      </c>
      <c r="D495" s="44" t="s">
        <v>662</v>
      </c>
      <c r="F495" s="79">
        <v>3084679.3600000008</v>
      </c>
      <c r="H495" s="63">
        <f t="shared" si="210"/>
        <v>0</v>
      </c>
      <c r="I495" s="63">
        <f t="shared" si="210"/>
        <v>0</v>
      </c>
      <c r="J495" s="63">
        <f t="shared" si="210"/>
        <v>0</v>
      </c>
      <c r="K495" s="63">
        <f t="shared" si="210"/>
        <v>0</v>
      </c>
      <c r="L495" s="63">
        <f t="shared" si="210"/>
        <v>0</v>
      </c>
      <c r="M495" s="63">
        <f t="shared" si="210"/>
        <v>0</v>
      </c>
      <c r="N495" s="63">
        <f t="shared" si="210"/>
        <v>0</v>
      </c>
      <c r="O495" s="63">
        <f t="shared" si="210"/>
        <v>0</v>
      </c>
      <c r="P495" s="63">
        <f t="shared" si="210"/>
        <v>0</v>
      </c>
      <c r="Q495" s="63">
        <f t="shared" si="210"/>
        <v>0</v>
      </c>
      <c r="R495" s="63">
        <f t="shared" si="211"/>
        <v>0</v>
      </c>
      <c r="S495" s="63">
        <f t="shared" si="211"/>
        <v>0</v>
      </c>
      <c r="T495" s="63">
        <f t="shared" si="211"/>
        <v>0</v>
      </c>
      <c r="U495" s="63">
        <f t="shared" si="211"/>
        <v>0</v>
      </c>
      <c r="V495" s="63">
        <f t="shared" si="211"/>
        <v>0</v>
      </c>
      <c r="W495" s="63">
        <f t="shared" si="211"/>
        <v>0</v>
      </c>
      <c r="X495" s="63">
        <f t="shared" si="211"/>
        <v>0</v>
      </c>
      <c r="Y495" s="63">
        <f t="shared" si="211"/>
        <v>0</v>
      </c>
      <c r="Z495" s="63">
        <f t="shared" si="211"/>
        <v>0</v>
      </c>
      <c r="AA495" s="63">
        <f t="shared" si="211"/>
        <v>0</v>
      </c>
      <c r="AB495" s="63">
        <f t="shared" si="211"/>
        <v>0</v>
      </c>
      <c r="AC495" s="63">
        <f t="shared" si="211"/>
        <v>3084679.3600000008</v>
      </c>
      <c r="AD495" s="63">
        <f t="shared" si="211"/>
        <v>0</v>
      </c>
      <c r="AE495" s="63">
        <f t="shared" si="211"/>
        <v>0</v>
      </c>
      <c r="AF495" s="63">
        <f>SUM(H495:AE495)</f>
        <v>3084679.3600000008</v>
      </c>
      <c r="AG495" s="58" t="str">
        <f>IF(ABS(AF495-F495)&lt;1,"ok","err")</f>
        <v>ok</v>
      </c>
    </row>
    <row r="496" spans="1:33">
      <c r="A496" s="60">
        <v>904</v>
      </c>
      <c r="B496" s="60" t="s">
        <v>1032</v>
      </c>
      <c r="C496" s="44" t="s">
        <v>78</v>
      </c>
      <c r="D496" s="44" t="s">
        <v>662</v>
      </c>
      <c r="F496" s="79">
        <v>0</v>
      </c>
      <c r="H496" s="63">
        <f t="shared" si="210"/>
        <v>0</v>
      </c>
      <c r="I496" s="63">
        <f t="shared" si="210"/>
        <v>0</v>
      </c>
      <c r="J496" s="63">
        <f t="shared" si="210"/>
        <v>0</v>
      </c>
      <c r="K496" s="63">
        <f t="shared" si="210"/>
        <v>0</v>
      </c>
      <c r="L496" s="63">
        <f t="shared" si="210"/>
        <v>0</v>
      </c>
      <c r="M496" s="63">
        <f t="shared" si="210"/>
        <v>0</v>
      </c>
      <c r="N496" s="63">
        <f t="shared" si="210"/>
        <v>0</v>
      </c>
      <c r="O496" s="63">
        <f t="shared" si="210"/>
        <v>0</v>
      </c>
      <c r="P496" s="63">
        <f t="shared" si="210"/>
        <v>0</v>
      </c>
      <c r="Q496" s="63">
        <f t="shared" si="210"/>
        <v>0</v>
      </c>
      <c r="R496" s="63">
        <f t="shared" si="211"/>
        <v>0</v>
      </c>
      <c r="S496" s="63">
        <f t="shared" si="211"/>
        <v>0</v>
      </c>
      <c r="T496" s="63">
        <f t="shared" si="211"/>
        <v>0</v>
      </c>
      <c r="U496" s="63">
        <f t="shared" si="211"/>
        <v>0</v>
      </c>
      <c r="V496" s="63">
        <f t="shared" si="211"/>
        <v>0</v>
      </c>
      <c r="W496" s="63">
        <f t="shared" si="211"/>
        <v>0</v>
      </c>
      <c r="X496" s="63">
        <f t="shared" si="211"/>
        <v>0</v>
      </c>
      <c r="Y496" s="63">
        <f t="shared" si="211"/>
        <v>0</v>
      </c>
      <c r="Z496" s="63">
        <f t="shared" si="211"/>
        <v>0</v>
      </c>
      <c r="AA496" s="63">
        <f t="shared" si="211"/>
        <v>0</v>
      </c>
      <c r="AB496" s="63">
        <f t="shared" si="211"/>
        <v>0</v>
      </c>
      <c r="AC496" s="63">
        <f t="shared" si="211"/>
        <v>0</v>
      </c>
      <c r="AD496" s="63">
        <f t="shared" si="211"/>
        <v>0</v>
      </c>
      <c r="AE496" s="63">
        <f t="shared" si="211"/>
        <v>0</v>
      </c>
      <c r="AF496" s="63">
        <f>SUM(H496:AE496)</f>
        <v>0</v>
      </c>
      <c r="AG496" s="58" t="str">
        <f>IF(ABS(AF496-F496)&lt;1,"ok","err")</f>
        <v>ok</v>
      </c>
    </row>
    <row r="497" spans="1:33">
      <c r="A497" s="60">
        <v>905</v>
      </c>
      <c r="B497" s="60" t="s">
        <v>30</v>
      </c>
      <c r="C497" s="44" t="s">
        <v>77</v>
      </c>
      <c r="D497" s="44" t="s">
        <v>662</v>
      </c>
      <c r="F497" s="79">
        <v>0</v>
      </c>
      <c r="H497" s="63">
        <f t="shared" si="210"/>
        <v>0</v>
      </c>
      <c r="I497" s="63">
        <f t="shared" si="210"/>
        <v>0</v>
      </c>
      <c r="J497" s="63">
        <f t="shared" si="210"/>
        <v>0</v>
      </c>
      <c r="K497" s="63">
        <f t="shared" si="210"/>
        <v>0</v>
      </c>
      <c r="L497" s="63">
        <f t="shared" si="210"/>
        <v>0</v>
      </c>
      <c r="M497" s="63">
        <f t="shared" si="210"/>
        <v>0</v>
      </c>
      <c r="N497" s="63">
        <f t="shared" si="210"/>
        <v>0</v>
      </c>
      <c r="O497" s="63">
        <f t="shared" si="210"/>
        <v>0</v>
      </c>
      <c r="P497" s="63">
        <f t="shared" si="210"/>
        <v>0</v>
      </c>
      <c r="Q497" s="63">
        <f t="shared" si="210"/>
        <v>0</v>
      </c>
      <c r="R497" s="63">
        <f t="shared" si="211"/>
        <v>0</v>
      </c>
      <c r="S497" s="63">
        <f t="shared" si="211"/>
        <v>0</v>
      </c>
      <c r="T497" s="63">
        <f t="shared" si="211"/>
        <v>0</v>
      </c>
      <c r="U497" s="63">
        <f t="shared" si="211"/>
        <v>0</v>
      </c>
      <c r="V497" s="63">
        <f t="shared" si="211"/>
        <v>0</v>
      </c>
      <c r="W497" s="63">
        <f t="shared" si="211"/>
        <v>0</v>
      </c>
      <c r="X497" s="63">
        <f t="shared" si="211"/>
        <v>0</v>
      </c>
      <c r="Y497" s="63">
        <f t="shared" si="211"/>
        <v>0</v>
      </c>
      <c r="Z497" s="63">
        <f t="shared" si="211"/>
        <v>0</v>
      </c>
      <c r="AA497" s="63">
        <f t="shared" si="211"/>
        <v>0</v>
      </c>
      <c r="AB497" s="63">
        <f t="shared" si="211"/>
        <v>0</v>
      </c>
      <c r="AC497" s="63">
        <f t="shared" si="211"/>
        <v>0</v>
      </c>
      <c r="AD497" s="63">
        <f t="shared" si="211"/>
        <v>0</v>
      </c>
      <c r="AE497" s="63">
        <f t="shared" si="211"/>
        <v>0</v>
      </c>
      <c r="AF497" s="63">
        <f>SUM(H497:AE497)</f>
        <v>0</v>
      </c>
      <c r="AG497" s="58" t="str">
        <f>IF(ABS(AF497-F497)&lt;1,"ok","err")</f>
        <v>ok</v>
      </c>
    </row>
    <row r="498" spans="1:33" ht="15">
      <c r="A498" s="65"/>
      <c r="B498" s="60"/>
      <c r="F498" s="79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58"/>
    </row>
    <row r="499" spans="1:33">
      <c r="A499" s="60" t="s">
        <v>112</v>
      </c>
      <c r="B499" s="60"/>
      <c r="C499" s="44" t="s">
        <v>79</v>
      </c>
      <c r="F499" s="76">
        <f>SUM(F493:F498)</f>
        <v>4294006.040000001</v>
      </c>
      <c r="G499" s="62">
        <f>SUM(G493:G498)</f>
        <v>0</v>
      </c>
      <c r="H499" s="62">
        <f t="shared" ref="H499:M499" si="212">SUM(H493:H498)</f>
        <v>0</v>
      </c>
      <c r="I499" s="62">
        <f t="shared" si="212"/>
        <v>0</v>
      </c>
      <c r="J499" s="62">
        <f t="shared" si="212"/>
        <v>0</v>
      </c>
      <c r="K499" s="62">
        <f t="shared" si="212"/>
        <v>0</v>
      </c>
      <c r="L499" s="62">
        <f t="shared" si="212"/>
        <v>0</v>
      </c>
      <c r="M499" s="62">
        <f t="shared" si="212"/>
        <v>0</v>
      </c>
      <c r="N499" s="62">
        <f>SUM(N493:N498)</f>
        <v>0</v>
      </c>
      <c r="O499" s="62">
        <f>SUM(O493:O498)</f>
        <v>0</v>
      </c>
      <c r="P499" s="62">
        <f>SUM(P493:P498)</f>
        <v>0</v>
      </c>
      <c r="Q499" s="62">
        <f t="shared" ref="Q499:AB499" si="213">SUM(Q493:Q498)</f>
        <v>0</v>
      </c>
      <c r="R499" s="62">
        <f t="shared" si="213"/>
        <v>0</v>
      </c>
      <c r="S499" s="62">
        <f t="shared" si="213"/>
        <v>0</v>
      </c>
      <c r="T499" s="62">
        <f t="shared" si="213"/>
        <v>0</v>
      </c>
      <c r="U499" s="62">
        <f t="shared" si="213"/>
        <v>0</v>
      </c>
      <c r="V499" s="62">
        <f t="shared" si="213"/>
        <v>0</v>
      </c>
      <c r="W499" s="62">
        <f t="shared" si="213"/>
        <v>0</v>
      </c>
      <c r="X499" s="62">
        <f t="shared" si="213"/>
        <v>0</v>
      </c>
      <c r="Y499" s="62">
        <f t="shared" si="213"/>
        <v>0</v>
      </c>
      <c r="Z499" s="62">
        <f t="shared" si="213"/>
        <v>0</v>
      </c>
      <c r="AA499" s="62">
        <f t="shared" si="213"/>
        <v>0</v>
      </c>
      <c r="AB499" s="62">
        <f t="shared" si="213"/>
        <v>0</v>
      </c>
      <c r="AC499" s="62">
        <f>SUM(AC493:AC498)</f>
        <v>4294006.040000001</v>
      </c>
      <c r="AD499" s="62">
        <f>SUM(AD493:AD498)</f>
        <v>0</v>
      </c>
      <c r="AE499" s="62">
        <f>SUM(AE493:AE498)</f>
        <v>0</v>
      </c>
      <c r="AF499" s="63">
        <f>SUM(H499:AE499)</f>
        <v>4294006.040000001</v>
      </c>
      <c r="AG499" s="58" t="str">
        <f>IF(ABS(AF499-F499)&lt;1,"ok","err")</f>
        <v>ok</v>
      </c>
    </row>
    <row r="500" spans="1:33">
      <c r="A500" s="60"/>
      <c r="B500" s="60"/>
      <c r="F500" s="79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G500" s="58"/>
    </row>
    <row r="501" spans="1:33" ht="15">
      <c r="A501" s="65" t="s">
        <v>1036</v>
      </c>
      <c r="B501" s="60"/>
      <c r="F501" s="79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G501" s="58"/>
    </row>
    <row r="502" spans="1:33">
      <c r="A502" s="60">
        <v>907</v>
      </c>
      <c r="B502" s="60" t="s">
        <v>1157</v>
      </c>
      <c r="C502" s="44" t="s">
        <v>80</v>
      </c>
      <c r="D502" s="44" t="s">
        <v>663</v>
      </c>
      <c r="F502" s="76">
        <v>262520.7</v>
      </c>
      <c r="H502" s="63">
        <f t="shared" ref="H502:Q512" si="214">IF(VLOOKUP($D502,$C$6:$AE$653,H$2,)=0,0,((VLOOKUP($D502,$C$6:$AE$653,H$2,)/VLOOKUP($D502,$C$6:$AE$653,4,))*$F502))</f>
        <v>0</v>
      </c>
      <c r="I502" s="63">
        <f t="shared" si="214"/>
        <v>0</v>
      </c>
      <c r="J502" s="63">
        <f t="shared" si="214"/>
        <v>0</v>
      </c>
      <c r="K502" s="63">
        <f t="shared" si="214"/>
        <v>0</v>
      </c>
      <c r="L502" s="63">
        <f t="shared" si="214"/>
        <v>0</v>
      </c>
      <c r="M502" s="63">
        <f t="shared" si="214"/>
        <v>0</v>
      </c>
      <c r="N502" s="63">
        <f t="shared" si="214"/>
        <v>0</v>
      </c>
      <c r="O502" s="63">
        <f t="shared" si="214"/>
        <v>0</v>
      </c>
      <c r="P502" s="63">
        <f t="shared" si="214"/>
        <v>0</v>
      </c>
      <c r="Q502" s="63">
        <f t="shared" si="214"/>
        <v>0</v>
      </c>
      <c r="R502" s="63">
        <f t="shared" ref="R502:AE512" si="215">IF(VLOOKUP($D502,$C$6:$AE$653,R$2,)=0,0,((VLOOKUP($D502,$C$6:$AE$653,R$2,)/VLOOKUP($D502,$C$6:$AE$653,4,))*$F502))</f>
        <v>0</v>
      </c>
      <c r="S502" s="63">
        <f t="shared" si="215"/>
        <v>0</v>
      </c>
      <c r="T502" s="63">
        <f t="shared" si="215"/>
        <v>0</v>
      </c>
      <c r="U502" s="63">
        <f t="shared" si="215"/>
        <v>0</v>
      </c>
      <c r="V502" s="63">
        <f t="shared" si="215"/>
        <v>0</v>
      </c>
      <c r="W502" s="63">
        <f t="shared" si="215"/>
        <v>0</v>
      </c>
      <c r="X502" s="63">
        <f t="shared" si="215"/>
        <v>0</v>
      </c>
      <c r="Y502" s="63">
        <f t="shared" si="215"/>
        <v>0</v>
      </c>
      <c r="Z502" s="63">
        <f t="shared" si="215"/>
        <v>0</v>
      </c>
      <c r="AA502" s="63">
        <f t="shared" si="215"/>
        <v>0</v>
      </c>
      <c r="AB502" s="63">
        <f t="shared" si="215"/>
        <v>0</v>
      </c>
      <c r="AC502" s="63">
        <f t="shared" si="215"/>
        <v>0</v>
      </c>
      <c r="AD502" s="63">
        <f t="shared" si="215"/>
        <v>262520.7</v>
      </c>
      <c r="AE502" s="63">
        <f t="shared" si="215"/>
        <v>0</v>
      </c>
      <c r="AF502" s="63">
        <f t="shared" ref="AF502:AF512" si="216">SUM(H502:AE502)</f>
        <v>262520.7</v>
      </c>
      <c r="AG502" s="58" t="str">
        <f t="shared" ref="AG502:AG512" si="217">IF(ABS(AF502-F502)&lt;1,"ok","err")</f>
        <v>ok</v>
      </c>
    </row>
    <row r="503" spans="1:33">
      <c r="A503" s="60">
        <v>908</v>
      </c>
      <c r="B503" s="60" t="s">
        <v>1039</v>
      </c>
      <c r="C503" s="44" t="s">
        <v>81</v>
      </c>
      <c r="D503" s="44" t="s">
        <v>663</v>
      </c>
      <c r="F503" s="79">
        <v>916351.68</v>
      </c>
      <c r="H503" s="63">
        <f t="shared" si="214"/>
        <v>0</v>
      </c>
      <c r="I503" s="63">
        <f t="shared" si="214"/>
        <v>0</v>
      </c>
      <c r="J503" s="63">
        <f t="shared" si="214"/>
        <v>0</v>
      </c>
      <c r="K503" s="63">
        <f t="shared" si="214"/>
        <v>0</v>
      </c>
      <c r="L503" s="63">
        <f t="shared" si="214"/>
        <v>0</v>
      </c>
      <c r="M503" s="63">
        <f t="shared" si="214"/>
        <v>0</v>
      </c>
      <c r="N503" s="63">
        <f t="shared" si="214"/>
        <v>0</v>
      </c>
      <c r="O503" s="63">
        <f t="shared" si="214"/>
        <v>0</v>
      </c>
      <c r="P503" s="63">
        <f t="shared" si="214"/>
        <v>0</v>
      </c>
      <c r="Q503" s="63">
        <f t="shared" si="214"/>
        <v>0</v>
      </c>
      <c r="R503" s="63">
        <f t="shared" si="215"/>
        <v>0</v>
      </c>
      <c r="S503" s="63">
        <f t="shared" si="215"/>
        <v>0</v>
      </c>
      <c r="T503" s="63">
        <f t="shared" si="215"/>
        <v>0</v>
      </c>
      <c r="U503" s="63">
        <f t="shared" si="215"/>
        <v>0</v>
      </c>
      <c r="V503" s="63">
        <f t="shared" si="215"/>
        <v>0</v>
      </c>
      <c r="W503" s="63">
        <f t="shared" si="215"/>
        <v>0</v>
      </c>
      <c r="X503" s="63">
        <f t="shared" si="215"/>
        <v>0</v>
      </c>
      <c r="Y503" s="63">
        <f t="shared" si="215"/>
        <v>0</v>
      </c>
      <c r="Z503" s="63">
        <f t="shared" si="215"/>
        <v>0</v>
      </c>
      <c r="AA503" s="63">
        <f t="shared" si="215"/>
        <v>0</v>
      </c>
      <c r="AB503" s="63">
        <f t="shared" si="215"/>
        <v>0</v>
      </c>
      <c r="AC503" s="63">
        <f t="shared" si="215"/>
        <v>0</v>
      </c>
      <c r="AD503" s="63">
        <f t="shared" si="215"/>
        <v>916351.68</v>
      </c>
      <c r="AE503" s="63">
        <f t="shared" si="215"/>
        <v>0</v>
      </c>
      <c r="AF503" s="63">
        <f t="shared" si="216"/>
        <v>916351.68</v>
      </c>
      <c r="AG503" s="58" t="str">
        <f t="shared" si="217"/>
        <v>ok</v>
      </c>
    </row>
    <row r="504" spans="1:33">
      <c r="A504" s="60">
        <v>908</v>
      </c>
      <c r="B504" s="60" t="s">
        <v>31</v>
      </c>
      <c r="C504" s="44" t="s">
        <v>82</v>
      </c>
      <c r="D504" s="44" t="s">
        <v>663</v>
      </c>
      <c r="F504" s="79"/>
      <c r="H504" s="63">
        <f t="shared" si="214"/>
        <v>0</v>
      </c>
      <c r="I504" s="63">
        <f t="shared" si="214"/>
        <v>0</v>
      </c>
      <c r="J504" s="63">
        <f t="shared" si="214"/>
        <v>0</v>
      </c>
      <c r="K504" s="63">
        <f t="shared" si="214"/>
        <v>0</v>
      </c>
      <c r="L504" s="63">
        <f t="shared" si="214"/>
        <v>0</v>
      </c>
      <c r="M504" s="63">
        <f t="shared" si="214"/>
        <v>0</v>
      </c>
      <c r="N504" s="63">
        <f t="shared" si="214"/>
        <v>0</v>
      </c>
      <c r="O504" s="63">
        <f t="shared" si="214"/>
        <v>0</v>
      </c>
      <c r="P504" s="63">
        <f t="shared" si="214"/>
        <v>0</v>
      </c>
      <c r="Q504" s="63">
        <f t="shared" si="214"/>
        <v>0</v>
      </c>
      <c r="R504" s="63">
        <f t="shared" si="215"/>
        <v>0</v>
      </c>
      <c r="S504" s="63">
        <f t="shared" si="215"/>
        <v>0</v>
      </c>
      <c r="T504" s="63">
        <f t="shared" si="215"/>
        <v>0</v>
      </c>
      <c r="U504" s="63">
        <f t="shared" si="215"/>
        <v>0</v>
      </c>
      <c r="V504" s="63">
        <f t="shared" si="215"/>
        <v>0</v>
      </c>
      <c r="W504" s="63">
        <f t="shared" si="215"/>
        <v>0</v>
      </c>
      <c r="X504" s="63">
        <f t="shared" si="215"/>
        <v>0</v>
      </c>
      <c r="Y504" s="63">
        <f t="shared" si="215"/>
        <v>0</v>
      </c>
      <c r="Z504" s="63">
        <f t="shared" si="215"/>
        <v>0</v>
      </c>
      <c r="AA504" s="63">
        <f t="shared" si="215"/>
        <v>0</v>
      </c>
      <c r="AB504" s="63">
        <f t="shared" si="215"/>
        <v>0</v>
      </c>
      <c r="AC504" s="63">
        <f t="shared" si="215"/>
        <v>0</v>
      </c>
      <c r="AD504" s="63">
        <f t="shared" si="215"/>
        <v>0</v>
      </c>
      <c r="AE504" s="63">
        <f t="shared" si="215"/>
        <v>0</v>
      </c>
      <c r="AF504" s="63">
        <f t="shared" si="216"/>
        <v>0</v>
      </c>
      <c r="AG504" s="58" t="str">
        <f t="shared" si="217"/>
        <v>ok</v>
      </c>
    </row>
    <row r="505" spans="1:33">
      <c r="A505" s="60">
        <v>909</v>
      </c>
      <c r="B505" s="60" t="s">
        <v>1041</v>
      </c>
      <c r="C505" s="44" t="s">
        <v>83</v>
      </c>
      <c r="D505" s="44" t="s">
        <v>663</v>
      </c>
      <c r="F505" s="79"/>
      <c r="H505" s="63">
        <f t="shared" si="214"/>
        <v>0</v>
      </c>
      <c r="I505" s="63">
        <f t="shared" si="214"/>
        <v>0</v>
      </c>
      <c r="J505" s="63">
        <f t="shared" si="214"/>
        <v>0</v>
      </c>
      <c r="K505" s="63">
        <f t="shared" si="214"/>
        <v>0</v>
      </c>
      <c r="L505" s="63">
        <f t="shared" si="214"/>
        <v>0</v>
      </c>
      <c r="M505" s="63">
        <f t="shared" si="214"/>
        <v>0</v>
      </c>
      <c r="N505" s="63">
        <f t="shared" si="214"/>
        <v>0</v>
      </c>
      <c r="O505" s="63">
        <f t="shared" si="214"/>
        <v>0</v>
      </c>
      <c r="P505" s="63">
        <f t="shared" si="214"/>
        <v>0</v>
      </c>
      <c r="Q505" s="63">
        <f t="shared" si="214"/>
        <v>0</v>
      </c>
      <c r="R505" s="63">
        <f t="shared" si="215"/>
        <v>0</v>
      </c>
      <c r="S505" s="63">
        <f t="shared" si="215"/>
        <v>0</v>
      </c>
      <c r="T505" s="63">
        <f t="shared" si="215"/>
        <v>0</v>
      </c>
      <c r="U505" s="63">
        <f t="shared" si="215"/>
        <v>0</v>
      </c>
      <c r="V505" s="63">
        <f t="shared" si="215"/>
        <v>0</v>
      </c>
      <c r="W505" s="63">
        <f t="shared" si="215"/>
        <v>0</v>
      </c>
      <c r="X505" s="63">
        <f t="shared" si="215"/>
        <v>0</v>
      </c>
      <c r="Y505" s="63">
        <f t="shared" si="215"/>
        <v>0</v>
      </c>
      <c r="Z505" s="63">
        <f t="shared" si="215"/>
        <v>0</v>
      </c>
      <c r="AA505" s="63">
        <f t="shared" si="215"/>
        <v>0</v>
      </c>
      <c r="AB505" s="63">
        <f t="shared" si="215"/>
        <v>0</v>
      </c>
      <c r="AC505" s="63">
        <f t="shared" si="215"/>
        <v>0</v>
      </c>
      <c r="AD505" s="63">
        <f t="shared" si="215"/>
        <v>0</v>
      </c>
      <c r="AE505" s="63">
        <f t="shared" si="215"/>
        <v>0</v>
      </c>
      <c r="AF505" s="63">
        <f t="shared" si="216"/>
        <v>0</v>
      </c>
      <c r="AG505" s="58" t="str">
        <f t="shared" si="217"/>
        <v>ok</v>
      </c>
    </row>
    <row r="506" spans="1:33">
      <c r="A506" s="60">
        <v>909</v>
      </c>
      <c r="B506" s="60" t="s">
        <v>33</v>
      </c>
      <c r="C506" s="44" t="s">
        <v>84</v>
      </c>
      <c r="D506" s="44" t="s">
        <v>663</v>
      </c>
      <c r="F506" s="79"/>
      <c r="H506" s="63">
        <f t="shared" si="214"/>
        <v>0</v>
      </c>
      <c r="I506" s="63">
        <f t="shared" si="214"/>
        <v>0</v>
      </c>
      <c r="J506" s="63">
        <f t="shared" si="214"/>
        <v>0</v>
      </c>
      <c r="K506" s="63">
        <f t="shared" si="214"/>
        <v>0</v>
      </c>
      <c r="L506" s="63">
        <f t="shared" si="214"/>
        <v>0</v>
      </c>
      <c r="M506" s="63">
        <f t="shared" si="214"/>
        <v>0</v>
      </c>
      <c r="N506" s="63">
        <f t="shared" si="214"/>
        <v>0</v>
      </c>
      <c r="O506" s="63">
        <f t="shared" si="214"/>
        <v>0</v>
      </c>
      <c r="P506" s="63">
        <f t="shared" si="214"/>
        <v>0</v>
      </c>
      <c r="Q506" s="63">
        <f t="shared" si="214"/>
        <v>0</v>
      </c>
      <c r="R506" s="63">
        <f t="shared" si="215"/>
        <v>0</v>
      </c>
      <c r="S506" s="63">
        <f t="shared" si="215"/>
        <v>0</v>
      </c>
      <c r="T506" s="63">
        <f t="shared" si="215"/>
        <v>0</v>
      </c>
      <c r="U506" s="63">
        <f t="shared" si="215"/>
        <v>0</v>
      </c>
      <c r="V506" s="63">
        <f t="shared" si="215"/>
        <v>0</v>
      </c>
      <c r="W506" s="63">
        <f t="shared" si="215"/>
        <v>0</v>
      </c>
      <c r="X506" s="63">
        <f t="shared" si="215"/>
        <v>0</v>
      </c>
      <c r="Y506" s="63">
        <f t="shared" si="215"/>
        <v>0</v>
      </c>
      <c r="Z506" s="63">
        <f t="shared" si="215"/>
        <v>0</v>
      </c>
      <c r="AA506" s="63">
        <f t="shared" si="215"/>
        <v>0</v>
      </c>
      <c r="AB506" s="63">
        <f t="shared" si="215"/>
        <v>0</v>
      </c>
      <c r="AC506" s="63">
        <f t="shared" si="215"/>
        <v>0</v>
      </c>
      <c r="AD506" s="63">
        <f t="shared" si="215"/>
        <v>0</v>
      </c>
      <c r="AE506" s="63">
        <f t="shared" si="215"/>
        <v>0</v>
      </c>
      <c r="AF506" s="63">
        <f t="shared" si="216"/>
        <v>0</v>
      </c>
      <c r="AG506" s="58" t="str">
        <f t="shared" si="217"/>
        <v>ok</v>
      </c>
    </row>
    <row r="507" spans="1:33">
      <c r="A507" s="60">
        <v>910</v>
      </c>
      <c r="B507" s="60" t="s">
        <v>1043</v>
      </c>
      <c r="C507" s="44" t="s">
        <v>85</v>
      </c>
      <c r="D507" s="44" t="s">
        <v>663</v>
      </c>
      <c r="F507" s="79"/>
      <c r="H507" s="63">
        <f t="shared" si="214"/>
        <v>0</v>
      </c>
      <c r="I507" s="63">
        <f t="shared" si="214"/>
        <v>0</v>
      </c>
      <c r="J507" s="63">
        <f t="shared" si="214"/>
        <v>0</v>
      </c>
      <c r="K507" s="63">
        <f t="shared" si="214"/>
        <v>0</v>
      </c>
      <c r="L507" s="63">
        <f t="shared" si="214"/>
        <v>0</v>
      </c>
      <c r="M507" s="63">
        <f t="shared" si="214"/>
        <v>0</v>
      </c>
      <c r="N507" s="63">
        <f t="shared" si="214"/>
        <v>0</v>
      </c>
      <c r="O507" s="63">
        <f t="shared" si="214"/>
        <v>0</v>
      </c>
      <c r="P507" s="63">
        <f t="shared" si="214"/>
        <v>0</v>
      </c>
      <c r="Q507" s="63">
        <f t="shared" si="214"/>
        <v>0</v>
      </c>
      <c r="R507" s="63">
        <f t="shared" si="215"/>
        <v>0</v>
      </c>
      <c r="S507" s="63">
        <f t="shared" si="215"/>
        <v>0</v>
      </c>
      <c r="T507" s="63">
        <f t="shared" si="215"/>
        <v>0</v>
      </c>
      <c r="U507" s="63">
        <f t="shared" si="215"/>
        <v>0</v>
      </c>
      <c r="V507" s="63">
        <f t="shared" si="215"/>
        <v>0</v>
      </c>
      <c r="W507" s="63">
        <f t="shared" si="215"/>
        <v>0</v>
      </c>
      <c r="X507" s="63">
        <f t="shared" si="215"/>
        <v>0</v>
      </c>
      <c r="Y507" s="63">
        <f t="shared" si="215"/>
        <v>0</v>
      </c>
      <c r="Z507" s="63">
        <f t="shared" si="215"/>
        <v>0</v>
      </c>
      <c r="AA507" s="63">
        <f t="shared" si="215"/>
        <v>0</v>
      </c>
      <c r="AB507" s="63">
        <f t="shared" si="215"/>
        <v>0</v>
      </c>
      <c r="AC507" s="63">
        <f t="shared" si="215"/>
        <v>0</v>
      </c>
      <c r="AD507" s="63">
        <f t="shared" si="215"/>
        <v>0</v>
      </c>
      <c r="AE507" s="63">
        <f t="shared" si="215"/>
        <v>0</v>
      </c>
      <c r="AF507" s="63">
        <f t="shared" si="216"/>
        <v>0</v>
      </c>
      <c r="AG507" s="58" t="str">
        <f t="shared" si="217"/>
        <v>ok</v>
      </c>
    </row>
    <row r="508" spans="1:33">
      <c r="A508" s="60">
        <v>911</v>
      </c>
      <c r="B508" s="60" t="s">
        <v>149</v>
      </c>
      <c r="C508" s="44" t="s">
        <v>172</v>
      </c>
      <c r="D508" s="44" t="s">
        <v>663</v>
      </c>
      <c r="F508" s="79"/>
      <c r="H508" s="63">
        <f t="shared" si="214"/>
        <v>0</v>
      </c>
      <c r="I508" s="63">
        <f t="shared" si="214"/>
        <v>0</v>
      </c>
      <c r="J508" s="63">
        <f t="shared" si="214"/>
        <v>0</v>
      </c>
      <c r="K508" s="63">
        <f t="shared" si="214"/>
        <v>0</v>
      </c>
      <c r="L508" s="63">
        <f t="shared" si="214"/>
        <v>0</v>
      </c>
      <c r="M508" s="63">
        <f t="shared" si="214"/>
        <v>0</v>
      </c>
      <c r="N508" s="63">
        <f t="shared" si="214"/>
        <v>0</v>
      </c>
      <c r="O508" s="63">
        <f t="shared" si="214"/>
        <v>0</v>
      </c>
      <c r="P508" s="63">
        <f t="shared" si="214"/>
        <v>0</v>
      </c>
      <c r="Q508" s="63">
        <f t="shared" si="214"/>
        <v>0</v>
      </c>
      <c r="R508" s="63">
        <f t="shared" si="215"/>
        <v>0</v>
      </c>
      <c r="S508" s="63">
        <f t="shared" si="215"/>
        <v>0</v>
      </c>
      <c r="T508" s="63">
        <f t="shared" si="215"/>
        <v>0</v>
      </c>
      <c r="U508" s="63">
        <f t="shared" si="215"/>
        <v>0</v>
      </c>
      <c r="V508" s="63">
        <f t="shared" si="215"/>
        <v>0</v>
      </c>
      <c r="W508" s="63">
        <f t="shared" si="215"/>
        <v>0</v>
      </c>
      <c r="X508" s="63">
        <f t="shared" si="215"/>
        <v>0</v>
      </c>
      <c r="Y508" s="63">
        <f t="shared" si="215"/>
        <v>0</v>
      </c>
      <c r="Z508" s="63">
        <f t="shared" si="215"/>
        <v>0</v>
      </c>
      <c r="AA508" s="63">
        <f t="shared" si="215"/>
        <v>0</v>
      </c>
      <c r="AB508" s="63">
        <f t="shared" si="215"/>
        <v>0</v>
      </c>
      <c r="AC508" s="63">
        <f t="shared" si="215"/>
        <v>0</v>
      </c>
      <c r="AD508" s="63">
        <f t="shared" si="215"/>
        <v>0</v>
      </c>
      <c r="AE508" s="63">
        <f t="shared" si="215"/>
        <v>0</v>
      </c>
      <c r="AF508" s="63">
        <f t="shared" si="216"/>
        <v>0</v>
      </c>
      <c r="AG508" s="58" t="str">
        <f t="shared" si="217"/>
        <v>ok</v>
      </c>
    </row>
    <row r="509" spans="1:33">
      <c r="A509" s="60">
        <v>912</v>
      </c>
      <c r="B509" s="60" t="s">
        <v>149</v>
      </c>
      <c r="C509" s="44" t="s">
        <v>152</v>
      </c>
      <c r="D509" s="44" t="s">
        <v>663</v>
      </c>
      <c r="F509" s="79"/>
      <c r="H509" s="63">
        <f t="shared" si="214"/>
        <v>0</v>
      </c>
      <c r="I509" s="63">
        <f t="shared" si="214"/>
        <v>0</v>
      </c>
      <c r="J509" s="63">
        <f t="shared" si="214"/>
        <v>0</v>
      </c>
      <c r="K509" s="63">
        <f t="shared" si="214"/>
        <v>0</v>
      </c>
      <c r="L509" s="63">
        <f t="shared" si="214"/>
        <v>0</v>
      </c>
      <c r="M509" s="63">
        <f t="shared" si="214"/>
        <v>0</v>
      </c>
      <c r="N509" s="63">
        <f t="shared" si="214"/>
        <v>0</v>
      </c>
      <c r="O509" s="63">
        <f t="shared" si="214"/>
        <v>0</v>
      </c>
      <c r="P509" s="63">
        <f t="shared" si="214"/>
        <v>0</v>
      </c>
      <c r="Q509" s="63">
        <f t="shared" si="214"/>
        <v>0</v>
      </c>
      <c r="R509" s="63">
        <f t="shared" si="215"/>
        <v>0</v>
      </c>
      <c r="S509" s="63">
        <f t="shared" si="215"/>
        <v>0</v>
      </c>
      <c r="T509" s="63">
        <f t="shared" si="215"/>
        <v>0</v>
      </c>
      <c r="U509" s="63">
        <f t="shared" si="215"/>
        <v>0</v>
      </c>
      <c r="V509" s="63">
        <f t="shared" si="215"/>
        <v>0</v>
      </c>
      <c r="W509" s="63">
        <f t="shared" si="215"/>
        <v>0</v>
      </c>
      <c r="X509" s="63">
        <f t="shared" si="215"/>
        <v>0</v>
      </c>
      <c r="Y509" s="63">
        <f t="shared" si="215"/>
        <v>0</v>
      </c>
      <c r="Z509" s="63">
        <f t="shared" si="215"/>
        <v>0</v>
      </c>
      <c r="AA509" s="63">
        <f t="shared" si="215"/>
        <v>0</v>
      </c>
      <c r="AB509" s="63">
        <f t="shared" si="215"/>
        <v>0</v>
      </c>
      <c r="AC509" s="63">
        <f t="shared" si="215"/>
        <v>0</v>
      </c>
      <c r="AD509" s="63">
        <f t="shared" si="215"/>
        <v>0</v>
      </c>
      <c r="AE509" s="63">
        <f t="shared" si="215"/>
        <v>0</v>
      </c>
      <c r="AF509" s="63">
        <f t="shared" si="216"/>
        <v>0</v>
      </c>
      <c r="AG509" s="58" t="str">
        <f t="shared" si="217"/>
        <v>ok</v>
      </c>
    </row>
    <row r="510" spans="1:33">
      <c r="A510" s="60">
        <v>913</v>
      </c>
      <c r="B510" s="60" t="s">
        <v>138</v>
      </c>
      <c r="C510" s="44" t="s">
        <v>153</v>
      </c>
      <c r="D510" s="44" t="s">
        <v>663</v>
      </c>
      <c r="F510" s="79"/>
      <c r="H510" s="63">
        <f t="shared" si="214"/>
        <v>0</v>
      </c>
      <c r="I510" s="63">
        <f t="shared" si="214"/>
        <v>0</v>
      </c>
      <c r="J510" s="63">
        <f t="shared" si="214"/>
        <v>0</v>
      </c>
      <c r="K510" s="63">
        <f t="shared" si="214"/>
        <v>0</v>
      </c>
      <c r="L510" s="63">
        <f t="shared" si="214"/>
        <v>0</v>
      </c>
      <c r="M510" s="63">
        <f t="shared" si="214"/>
        <v>0</v>
      </c>
      <c r="N510" s="63">
        <f t="shared" si="214"/>
        <v>0</v>
      </c>
      <c r="O510" s="63">
        <f t="shared" si="214"/>
        <v>0</v>
      </c>
      <c r="P510" s="63">
        <f t="shared" si="214"/>
        <v>0</v>
      </c>
      <c r="Q510" s="63">
        <f t="shared" si="214"/>
        <v>0</v>
      </c>
      <c r="R510" s="63">
        <f t="shared" si="215"/>
        <v>0</v>
      </c>
      <c r="S510" s="63">
        <f t="shared" si="215"/>
        <v>0</v>
      </c>
      <c r="T510" s="63">
        <f t="shared" si="215"/>
        <v>0</v>
      </c>
      <c r="U510" s="63">
        <f t="shared" si="215"/>
        <v>0</v>
      </c>
      <c r="V510" s="63">
        <f t="shared" si="215"/>
        <v>0</v>
      </c>
      <c r="W510" s="63">
        <f t="shared" si="215"/>
        <v>0</v>
      </c>
      <c r="X510" s="63">
        <f t="shared" si="215"/>
        <v>0</v>
      </c>
      <c r="Y510" s="63">
        <f t="shared" si="215"/>
        <v>0</v>
      </c>
      <c r="Z510" s="63">
        <f t="shared" si="215"/>
        <v>0</v>
      </c>
      <c r="AA510" s="63">
        <f t="shared" si="215"/>
        <v>0</v>
      </c>
      <c r="AB510" s="63">
        <f t="shared" si="215"/>
        <v>0</v>
      </c>
      <c r="AC510" s="63">
        <f t="shared" si="215"/>
        <v>0</v>
      </c>
      <c r="AD510" s="63">
        <f t="shared" si="215"/>
        <v>0</v>
      </c>
      <c r="AE510" s="63">
        <f t="shared" si="215"/>
        <v>0</v>
      </c>
      <c r="AF510" s="63">
        <f t="shared" si="216"/>
        <v>0</v>
      </c>
      <c r="AG510" s="58" t="str">
        <f t="shared" si="217"/>
        <v>ok</v>
      </c>
    </row>
    <row r="511" spans="1:33">
      <c r="A511" s="60">
        <v>915</v>
      </c>
      <c r="B511" s="60" t="s">
        <v>160</v>
      </c>
      <c r="C511" s="44" t="s">
        <v>164</v>
      </c>
      <c r="D511" s="44" t="s">
        <v>663</v>
      </c>
      <c r="F511" s="79"/>
      <c r="H511" s="63">
        <f t="shared" si="214"/>
        <v>0</v>
      </c>
      <c r="I511" s="63">
        <f t="shared" si="214"/>
        <v>0</v>
      </c>
      <c r="J511" s="63">
        <f t="shared" si="214"/>
        <v>0</v>
      </c>
      <c r="K511" s="63">
        <f t="shared" si="214"/>
        <v>0</v>
      </c>
      <c r="L511" s="63">
        <f t="shared" si="214"/>
        <v>0</v>
      </c>
      <c r="M511" s="63">
        <f t="shared" si="214"/>
        <v>0</v>
      </c>
      <c r="N511" s="63">
        <f t="shared" si="214"/>
        <v>0</v>
      </c>
      <c r="O511" s="63">
        <f t="shared" si="214"/>
        <v>0</v>
      </c>
      <c r="P511" s="63">
        <f t="shared" si="214"/>
        <v>0</v>
      </c>
      <c r="Q511" s="63">
        <f t="shared" si="214"/>
        <v>0</v>
      </c>
      <c r="R511" s="63">
        <f t="shared" si="215"/>
        <v>0</v>
      </c>
      <c r="S511" s="63">
        <f t="shared" si="215"/>
        <v>0</v>
      </c>
      <c r="T511" s="63">
        <f t="shared" si="215"/>
        <v>0</v>
      </c>
      <c r="U511" s="63">
        <f t="shared" si="215"/>
        <v>0</v>
      </c>
      <c r="V511" s="63">
        <f t="shared" si="215"/>
        <v>0</v>
      </c>
      <c r="W511" s="63">
        <f t="shared" si="215"/>
        <v>0</v>
      </c>
      <c r="X511" s="63">
        <f t="shared" si="215"/>
        <v>0</v>
      </c>
      <c r="Y511" s="63">
        <f t="shared" si="215"/>
        <v>0</v>
      </c>
      <c r="Z511" s="63">
        <f t="shared" si="215"/>
        <v>0</v>
      </c>
      <c r="AA511" s="63">
        <f t="shared" si="215"/>
        <v>0</v>
      </c>
      <c r="AB511" s="63">
        <f t="shared" si="215"/>
        <v>0</v>
      </c>
      <c r="AC511" s="63">
        <f t="shared" si="215"/>
        <v>0</v>
      </c>
      <c r="AD511" s="63">
        <f t="shared" si="215"/>
        <v>0</v>
      </c>
      <c r="AE511" s="63">
        <f t="shared" si="215"/>
        <v>0</v>
      </c>
      <c r="AF511" s="63">
        <f t="shared" si="216"/>
        <v>0</v>
      </c>
      <c r="AG511" s="58" t="str">
        <f t="shared" si="217"/>
        <v>ok</v>
      </c>
    </row>
    <row r="512" spans="1:33">
      <c r="A512" s="60">
        <v>916</v>
      </c>
      <c r="B512" s="60" t="s">
        <v>161</v>
      </c>
      <c r="C512" s="44" t="s">
        <v>165</v>
      </c>
      <c r="D512" s="44" t="s">
        <v>663</v>
      </c>
      <c r="F512" s="79"/>
      <c r="H512" s="63">
        <f t="shared" si="214"/>
        <v>0</v>
      </c>
      <c r="I512" s="63">
        <f t="shared" si="214"/>
        <v>0</v>
      </c>
      <c r="J512" s="63">
        <f t="shared" si="214"/>
        <v>0</v>
      </c>
      <c r="K512" s="63">
        <f t="shared" si="214"/>
        <v>0</v>
      </c>
      <c r="L512" s="63">
        <f t="shared" si="214"/>
        <v>0</v>
      </c>
      <c r="M512" s="63">
        <f t="shared" si="214"/>
        <v>0</v>
      </c>
      <c r="N512" s="63">
        <f t="shared" si="214"/>
        <v>0</v>
      </c>
      <c r="O512" s="63">
        <f t="shared" si="214"/>
        <v>0</v>
      </c>
      <c r="P512" s="63">
        <f t="shared" si="214"/>
        <v>0</v>
      </c>
      <c r="Q512" s="63">
        <f t="shared" si="214"/>
        <v>0</v>
      </c>
      <c r="R512" s="63">
        <f t="shared" si="215"/>
        <v>0</v>
      </c>
      <c r="S512" s="63">
        <f t="shared" si="215"/>
        <v>0</v>
      </c>
      <c r="T512" s="63">
        <f t="shared" si="215"/>
        <v>0</v>
      </c>
      <c r="U512" s="63">
        <f t="shared" si="215"/>
        <v>0</v>
      </c>
      <c r="V512" s="63">
        <f t="shared" si="215"/>
        <v>0</v>
      </c>
      <c r="W512" s="63">
        <f t="shared" si="215"/>
        <v>0</v>
      </c>
      <c r="X512" s="63">
        <f t="shared" si="215"/>
        <v>0</v>
      </c>
      <c r="Y512" s="63">
        <f t="shared" si="215"/>
        <v>0</v>
      </c>
      <c r="Z512" s="63">
        <f t="shared" si="215"/>
        <v>0</v>
      </c>
      <c r="AA512" s="63">
        <f t="shared" si="215"/>
        <v>0</v>
      </c>
      <c r="AB512" s="63">
        <f t="shared" si="215"/>
        <v>0</v>
      </c>
      <c r="AC512" s="63">
        <f t="shared" si="215"/>
        <v>0</v>
      </c>
      <c r="AD512" s="63">
        <f t="shared" si="215"/>
        <v>0</v>
      </c>
      <c r="AE512" s="63">
        <f t="shared" si="215"/>
        <v>0</v>
      </c>
      <c r="AF512" s="63">
        <f t="shared" si="216"/>
        <v>0</v>
      </c>
      <c r="AG512" s="58" t="str">
        <f t="shared" si="217"/>
        <v>ok</v>
      </c>
    </row>
    <row r="513" spans="1:33">
      <c r="A513" s="60"/>
      <c r="B513" s="60"/>
      <c r="F513" s="79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58"/>
    </row>
    <row r="514" spans="1:33">
      <c r="A514" s="60" t="s">
        <v>113</v>
      </c>
      <c r="B514" s="60"/>
      <c r="C514" s="44" t="s">
        <v>86</v>
      </c>
      <c r="F514" s="76">
        <f>SUM(F502:F513)</f>
        <v>1178872.3800000001</v>
      </c>
      <c r="G514" s="62">
        <f>SUM(G502:G513)</f>
        <v>0</v>
      </c>
      <c r="H514" s="62">
        <f t="shared" ref="H514:M514" si="218">SUM(H502:H513)</f>
        <v>0</v>
      </c>
      <c r="I514" s="62">
        <f t="shared" si="218"/>
        <v>0</v>
      </c>
      <c r="J514" s="62">
        <f t="shared" si="218"/>
        <v>0</v>
      </c>
      <c r="K514" s="62">
        <f t="shared" si="218"/>
        <v>0</v>
      </c>
      <c r="L514" s="62">
        <f t="shared" si="218"/>
        <v>0</v>
      </c>
      <c r="M514" s="62">
        <f t="shared" si="218"/>
        <v>0</v>
      </c>
      <c r="N514" s="62">
        <f>SUM(N502:N513)</f>
        <v>0</v>
      </c>
      <c r="O514" s="62">
        <f>SUM(O502:O513)</f>
        <v>0</v>
      </c>
      <c r="P514" s="62">
        <f>SUM(P502:P513)</f>
        <v>0</v>
      </c>
      <c r="Q514" s="62">
        <f t="shared" ref="Q514:AB514" si="219">SUM(Q502:Q513)</f>
        <v>0</v>
      </c>
      <c r="R514" s="62">
        <f t="shared" si="219"/>
        <v>0</v>
      </c>
      <c r="S514" s="62">
        <f t="shared" si="219"/>
        <v>0</v>
      </c>
      <c r="T514" s="62">
        <f t="shared" si="219"/>
        <v>0</v>
      </c>
      <c r="U514" s="62">
        <f t="shared" si="219"/>
        <v>0</v>
      </c>
      <c r="V514" s="62">
        <f t="shared" si="219"/>
        <v>0</v>
      </c>
      <c r="W514" s="62">
        <f t="shared" si="219"/>
        <v>0</v>
      </c>
      <c r="X514" s="62">
        <f t="shared" si="219"/>
        <v>0</v>
      </c>
      <c r="Y514" s="62">
        <f t="shared" si="219"/>
        <v>0</v>
      </c>
      <c r="Z514" s="62">
        <f t="shared" si="219"/>
        <v>0</v>
      </c>
      <c r="AA514" s="62">
        <f t="shared" si="219"/>
        <v>0</v>
      </c>
      <c r="AB514" s="62">
        <f t="shared" si="219"/>
        <v>0</v>
      </c>
      <c r="AC514" s="62">
        <f>SUM(AC502:AC513)</f>
        <v>0</v>
      </c>
      <c r="AD514" s="62">
        <f>SUM(AD502:AD513)</f>
        <v>1178872.3800000001</v>
      </c>
      <c r="AE514" s="62">
        <f>SUM(AE502:AE513)</f>
        <v>0</v>
      </c>
      <c r="AF514" s="63">
        <f>SUM(H514:AE514)</f>
        <v>1178872.3800000001</v>
      </c>
      <c r="AG514" s="58" t="str">
        <f>IF(ABS(AF514-F514)&lt;1,"ok","err")</f>
        <v>ok</v>
      </c>
    </row>
    <row r="515" spans="1:33">
      <c r="A515" s="60"/>
      <c r="B515" s="60"/>
      <c r="F515" s="79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G515" s="58"/>
    </row>
    <row r="516" spans="1:33">
      <c r="A516" s="60" t="s">
        <v>846</v>
      </c>
      <c r="B516" s="60"/>
      <c r="C516" s="44" t="s">
        <v>664</v>
      </c>
      <c r="F516" s="76">
        <f>F490+F499+F514</f>
        <v>52307069.420000002</v>
      </c>
      <c r="G516" s="63"/>
      <c r="H516" s="63">
        <f t="shared" ref="H516:AE516" si="220">H490+H499+H514</f>
        <v>6084771.3260635436</v>
      </c>
      <c r="I516" s="63">
        <f t="shared" si="220"/>
        <v>6374183.0955313304</v>
      </c>
      <c r="J516" s="63">
        <f t="shared" si="220"/>
        <v>5239557.0106498227</v>
      </c>
      <c r="K516" s="63">
        <f t="shared" si="220"/>
        <v>13219293.567755304</v>
      </c>
      <c r="L516" s="63">
        <f t="shared" si="220"/>
        <v>0</v>
      </c>
      <c r="M516" s="63">
        <f t="shared" si="220"/>
        <v>0</v>
      </c>
      <c r="N516" s="63">
        <f t="shared" si="220"/>
        <v>3135417</v>
      </c>
      <c r="O516" s="63">
        <f t="shared" si="220"/>
        <v>0</v>
      </c>
      <c r="P516" s="63">
        <f t="shared" si="220"/>
        <v>0</v>
      </c>
      <c r="Q516" s="63">
        <f t="shared" si="220"/>
        <v>0</v>
      </c>
      <c r="R516" s="63">
        <f t="shared" si="220"/>
        <v>1963504.0735617669</v>
      </c>
      <c r="S516" s="63">
        <f t="shared" si="220"/>
        <v>0</v>
      </c>
      <c r="T516" s="63">
        <f t="shared" si="220"/>
        <v>1857014.0576206709</v>
      </c>
      <c r="U516" s="63">
        <f t="shared" si="220"/>
        <v>2805242.9198604217</v>
      </c>
      <c r="V516" s="63">
        <f t="shared" si="220"/>
        <v>607913.578950066</v>
      </c>
      <c r="W516" s="63">
        <f t="shared" si="220"/>
        <v>896815.90948473196</v>
      </c>
      <c r="X516" s="63">
        <f t="shared" si="220"/>
        <v>169514.89924627161</v>
      </c>
      <c r="Y516" s="63">
        <f t="shared" si="220"/>
        <v>118550.6438408878</v>
      </c>
      <c r="Z516" s="63">
        <f t="shared" si="220"/>
        <v>42990.765535061459</v>
      </c>
      <c r="AA516" s="63">
        <f t="shared" si="220"/>
        <v>4175979.9089850918</v>
      </c>
      <c r="AB516" s="63">
        <f t="shared" si="220"/>
        <v>143442.24291502949</v>
      </c>
      <c r="AC516" s="63">
        <f t="shared" si="220"/>
        <v>4294006.040000001</v>
      </c>
      <c r="AD516" s="63">
        <f t="shared" si="220"/>
        <v>1178872.3800000001</v>
      </c>
      <c r="AE516" s="63">
        <f t="shared" si="220"/>
        <v>0</v>
      </c>
      <c r="AF516" s="63">
        <f>SUM(H516:AE516)</f>
        <v>52307069.419999994</v>
      </c>
      <c r="AG516" s="58" t="str">
        <f>IF(ABS(AF516-F516)&lt;1,"ok","err")</f>
        <v>ok</v>
      </c>
    </row>
    <row r="517" spans="1:33">
      <c r="A517" s="60"/>
      <c r="B517" s="60"/>
      <c r="F517" s="79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G517" s="58"/>
    </row>
    <row r="518" spans="1:33">
      <c r="A518" s="60"/>
      <c r="B518" s="60"/>
      <c r="F518" s="79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G518" s="58"/>
    </row>
    <row r="519" spans="1:33">
      <c r="A519" s="60"/>
      <c r="B519" s="60"/>
      <c r="F519" s="79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G519" s="58"/>
    </row>
    <row r="520" spans="1:33">
      <c r="A520" s="60"/>
      <c r="B520" s="60"/>
      <c r="F520" s="79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G520" s="58"/>
    </row>
    <row r="521" spans="1:33">
      <c r="A521" s="60"/>
      <c r="B521" s="60"/>
      <c r="F521" s="79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G521" s="58"/>
    </row>
    <row r="522" spans="1:33" ht="15">
      <c r="A522" s="59" t="s">
        <v>45</v>
      </c>
      <c r="B522" s="60"/>
      <c r="F522" s="79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G522" s="58"/>
    </row>
    <row r="523" spans="1:33">
      <c r="A523" s="60"/>
      <c r="B523" s="60"/>
      <c r="F523" s="79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G523" s="58"/>
    </row>
    <row r="524" spans="1:33" ht="15">
      <c r="A524" s="65" t="s">
        <v>1047</v>
      </c>
      <c r="B524" s="60"/>
      <c r="F524" s="79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G524" s="58"/>
    </row>
    <row r="525" spans="1:33">
      <c r="A525" s="60">
        <v>920</v>
      </c>
      <c r="B525" s="60" t="s">
        <v>1048</v>
      </c>
      <c r="C525" s="44" t="s">
        <v>88</v>
      </c>
      <c r="D525" s="44" t="s">
        <v>664</v>
      </c>
      <c r="F525" s="76">
        <v>21224500.219999999</v>
      </c>
      <c r="H525" s="63">
        <f t="shared" ref="H525:Q536" si="221">IF(VLOOKUP($D525,$C$6:$AE$653,H$2,)=0,0,((VLOOKUP($D525,$C$6:$AE$653,H$2,)/VLOOKUP($D525,$C$6:$AE$653,4,))*$F525))</f>
        <v>2469001.4520160696</v>
      </c>
      <c r="I525" s="63">
        <f t="shared" si="221"/>
        <v>2586435.2947614435</v>
      </c>
      <c r="J525" s="63">
        <f t="shared" si="221"/>
        <v>2126041.090780721</v>
      </c>
      <c r="K525" s="63">
        <f t="shared" si="221"/>
        <v>5363957.5366802691</v>
      </c>
      <c r="L525" s="63">
        <f t="shared" si="221"/>
        <v>0</v>
      </c>
      <c r="M525" s="63">
        <f t="shared" si="221"/>
        <v>0</v>
      </c>
      <c r="N525" s="63">
        <f t="shared" si="221"/>
        <v>1272249.803787454</v>
      </c>
      <c r="O525" s="63">
        <f t="shared" si="221"/>
        <v>0</v>
      </c>
      <c r="P525" s="63">
        <f t="shared" si="221"/>
        <v>0</v>
      </c>
      <c r="Q525" s="63">
        <f t="shared" si="221"/>
        <v>0</v>
      </c>
      <c r="R525" s="63">
        <f t="shared" ref="R525:AE536" si="222">IF(VLOOKUP($D525,$C$6:$AE$653,R$2,)=0,0,((VLOOKUP($D525,$C$6:$AE$653,R$2,)/VLOOKUP($D525,$C$6:$AE$653,4,))*$F525))</f>
        <v>796725.81743507308</v>
      </c>
      <c r="S525" s="63">
        <f t="shared" si="222"/>
        <v>0</v>
      </c>
      <c r="T525" s="63">
        <f t="shared" si="222"/>
        <v>753515.64734082972</v>
      </c>
      <c r="U525" s="63">
        <f t="shared" si="222"/>
        <v>1138275.9468257544</v>
      </c>
      <c r="V525" s="63">
        <f t="shared" si="222"/>
        <v>246671.47353572122</v>
      </c>
      <c r="W525" s="63">
        <f t="shared" si="222"/>
        <v>363898.60260227503</v>
      </c>
      <c r="X525" s="63">
        <f t="shared" si="222"/>
        <v>68783.609103707451</v>
      </c>
      <c r="Y525" s="63">
        <f t="shared" si="222"/>
        <v>48103.978949353739</v>
      </c>
      <c r="Z525" s="63">
        <f t="shared" si="222"/>
        <v>17444.248409909873</v>
      </c>
      <c r="AA525" s="63">
        <f t="shared" si="222"/>
        <v>1694476.2434555381</v>
      </c>
      <c r="AB525" s="63">
        <f t="shared" si="222"/>
        <v>58204.176798007597</v>
      </c>
      <c r="AC525" s="63">
        <f t="shared" si="222"/>
        <v>1742367.3922327217</v>
      </c>
      <c r="AD525" s="63">
        <f t="shared" si="222"/>
        <v>478347.90528514993</v>
      </c>
      <c r="AE525" s="63">
        <f t="shared" si="222"/>
        <v>0</v>
      </c>
      <c r="AF525" s="63">
        <f t="shared" ref="AF525:AF536" si="223">SUM(H525:AE525)</f>
        <v>21224500.219999991</v>
      </c>
      <c r="AG525" s="58" t="str">
        <f t="shared" ref="AG525:AG536" si="224">IF(ABS(AF525-F525)&lt;1,"ok","err")</f>
        <v>ok</v>
      </c>
    </row>
    <row r="526" spans="1:33">
      <c r="A526" s="60">
        <v>921</v>
      </c>
      <c r="B526" s="60" t="s">
        <v>1050</v>
      </c>
      <c r="C526" s="60" t="s">
        <v>88</v>
      </c>
      <c r="D526" s="60" t="s">
        <v>664</v>
      </c>
      <c r="F526" s="76"/>
      <c r="H526" s="63">
        <f t="shared" si="221"/>
        <v>0</v>
      </c>
      <c r="I526" s="63">
        <f t="shared" si="221"/>
        <v>0</v>
      </c>
      <c r="J526" s="63">
        <f t="shared" si="221"/>
        <v>0</v>
      </c>
      <c r="K526" s="63">
        <f t="shared" si="221"/>
        <v>0</v>
      </c>
      <c r="L526" s="63">
        <f t="shared" si="221"/>
        <v>0</v>
      </c>
      <c r="M526" s="63">
        <f t="shared" si="221"/>
        <v>0</v>
      </c>
      <c r="N526" s="63">
        <f t="shared" si="221"/>
        <v>0</v>
      </c>
      <c r="O526" s="63">
        <f t="shared" si="221"/>
        <v>0</v>
      </c>
      <c r="P526" s="63">
        <f t="shared" si="221"/>
        <v>0</v>
      </c>
      <c r="Q526" s="63">
        <f t="shared" si="221"/>
        <v>0</v>
      </c>
      <c r="R526" s="63">
        <f t="shared" si="222"/>
        <v>0</v>
      </c>
      <c r="S526" s="63">
        <f t="shared" si="222"/>
        <v>0</v>
      </c>
      <c r="T526" s="63">
        <f t="shared" si="222"/>
        <v>0</v>
      </c>
      <c r="U526" s="63">
        <f t="shared" si="222"/>
        <v>0</v>
      </c>
      <c r="V526" s="63">
        <f t="shared" si="222"/>
        <v>0</v>
      </c>
      <c r="W526" s="63">
        <f t="shared" si="222"/>
        <v>0</v>
      </c>
      <c r="X526" s="63">
        <f t="shared" si="222"/>
        <v>0</v>
      </c>
      <c r="Y526" s="63">
        <f t="shared" si="222"/>
        <v>0</v>
      </c>
      <c r="Z526" s="63">
        <f t="shared" si="222"/>
        <v>0</v>
      </c>
      <c r="AA526" s="63">
        <f t="shared" si="222"/>
        <v>0</v>
      </c>
      <c r="AB526" s="63">
        <f t="shared" si="222"/>
        <v>0</v>
      </c>
      <c r="AC526" s="63">
        <f t="shared" si="222"/>
        <v>0</v>
      </c>
      <c r="AD526" s="63">
        <f t="shared" si="222"/>
        <v>0</v>
      </c>
      <c r="AE526" s="63">
        <f t="shared" si="222"/>
        <v>0</v>
      </c>
      <c r="AF526" s="63">
        <f>SUM(H526:AE526)</f>
        <v>0</v>
      </c>
      <c r="AG526" s="58" t="str">
        <f t="shared" si="224"/>
        <v>ok</v>
      </c>
    </row>
    <row r="527" spans="1:33">
      <c r="A527" s="60">
        <v>922</v>
      </c>
      <c r="B527" s="60" t="s">
        <v>615</v>
      </c>
      <c r="C527" s="44" t="s">
        <v>616</v>
      </c>
      <c r="D527" s="44" t="s">
        <v>664</v>
      </c>
      <c r="F527" s="79">
        <v>-2423558.2800000003</v>
      </c>
      <c r="H527" s="63">
        <f t="shared" si="221"/>
        <v>-281927.43529136298</v>
      </c>
      <c r="I527" s="63">
        <f t="shared" si="221"/>
        <v>-295336.83287376544</v>
      </c>
      <c r="J527" s="63">
        <f t="shared" si="221"/>
        <v>-242765.88074034039</v>
      </c>
      <c r="K527" s="63">
        <f t="shared" si="221"/>
        <v>-612493.27743133414</v>
      </c>
      <c r="L527" s="63">
        <f t="shared" si="221"/>
        <v>0</v>
      </c>
      <c r="M527" s="63">
        <f t="shared" si="221"/>
        <v>0</v>
      </c>
      <c r="N527" s="63">
        <f t="shared" si="221"/>
        <v>-145274.16496205534</v>
      </c>
      <c r="O527" s="63">
        <f t="shared" si="221"/>
        <v>0</v>
      </c>
      <c r="P527" s="63">
        <f t="shared" si="221"/>
        <v>0</v>
      </c>
      <c r="Q527" s="63">
        <f t="shared" si="221"/>
        <v>0</v>
      </c>
      <c r="R527" s="63">
        <f t="shared" si="222"/>
        <v>-90975.591025461617</v>
      </c>
      <c r="S527" s="63">
        <f t="shared" si="222"/>
        <v>0</v>
      </c>
      <c r="T527" s="63">
        <f t="shared" si="222"/>
        <v>-86041.558919799543</v>
      </c>
      <c r="U527" s="63">
        <f t="shared" si="222"/>
        <v>-129976.1156804472</v>
      </c>
      <c r="V527" s="63">
        <f t="shared" si="222"/>
        <v>-28166.632237774225</v>
      </c>
      <c r="W527" s="63">
        <f t="shared" si="222"/>
        <v>-41552.42584162829</v>
      </c>
      <c r="X527" s="63">
        <f t="shared" si="222"/>
        <v>-7854.1818956231518</v>
      </c>
      <c r="Y527" s="63">
        <f t="shared" si="222"/>
        <v>-5492.8405981402166</v>
      </c>
      <c r="Z527" s="63">
        <f t="shared" si="222"/>
        <v>-1991.9033303020178</v>
      </c>
      <c r="AA527" s="63">
        <f t="shared" si="222"/>
        <v>-193486.86129345128</v>
      </c>
      <c r="AB527" s="63">
        <f t="shared" si="222"/>
        <v>-6646.1501164805859</v>
      </c>
      <c r="AC527" s="63">
        <f t="shared" si="222"/>
        <v>-198955.39949009084</v>
      </c>
      <c r="AD527" s="63">
        <f t="shared" si="222"/>
        <v>-54621.028271943032</v>
      </c>
      <c r="AE527" s="63">
        <f t="shared" si="222"/>
        <v>0</v>
      </c>
      <c r="AF527" s="63">
        <f t="shared" si="223"/>
        <v>-2423558.2800000007</v>
      </c>
      <c r="AG527" s="58" t="str">
        <f t="shared" si="224"/>
        <v>ok</v>
      </c>
    </row>
    <row r="528" spans="1:33">
      <c r="A528" s="60">
        <v>923</v>
      </c>
      <c r="B528" s="60" t="s">
        <v>1052</v>
      </c>
      <c r="C528" s="44" t="s">
        <v>89</v>
      </c>
      <c r="D528" s="44" t="s">
        <v>664</v>
      </c>
      <c r="F528" s="79"/>
      <c r="H528" s="63">
        <f t="shared" si="221"/>
        <v>0</v>
      </c>
      <c r="I528" s="63">
        <f t="shared" si="221"/>
        <v>0</v>
      </c>
      <c r="J528" s="63">
        <f t="shared" si="221"/>
        <v>0</v>
      </c>
      <c r="K528" s="63">
        <f t="shared" si="221"/>
        <v>0</v>
      </c>
      <c r="L528" s="63">
        <f t="shared" si="221"/>
        <v>0</v>
      </c>
      <c r="M528" s="63">
        <f t="shared" si="221"/>
        <v>0</v>
      </c>
      <c r="N528" s="63">
        <f t="shared" si="221"/>
        <v>0</v>
      </c>
      <c r="O528" s="63">
        <f t="shared" si="221"/>
        <v>0</v>
      </c>
      <c r="P528" s="63">
        <f t="shared" si="221"/>
        <v>0</v>
      </c>
      <c r="Q528" s="63">
        <f t="shared" si="221"/>
        <v>0</v>
      </c>
      <c r="R528" s="63">
        <f t="shared" si="222"/>
        <v>0</v>
      </c>
      <c r="S528" s="63">
        <f t="shared" si="222"/>
        <v>0</v>
      </c>
      <c r="T528" s="63">
        <f t="shared" si="222"/>
        <v>0</v>
      </c>
      <c r="U528" s="63">
        <f t="shared" si="222"/>
        <v>0</v>
      </c>
      <c r="V528" s="63">
        <f t="shared" si="222"/>
        <v>0</v>
      </c>
      <c r="W528" s="63">
        <f t="shared" si="222"/>
        <v>0</v>
      </c>
      <c r="X528" s="63">
        <f t="shared" si="222"/>
        <v>0</v>
      </c>
      <c r="Y528" s="63">
        <f t="shared" si="222"/>
        <v>0</v>
      </c>
      <c r="Z528" s="63">
        <f t="shared" si="222"/>
        <v>0</v>
      </c>
      <c r="AA528" s="63">
        <f t="shared" si="222"/>
        <v>0</v>
      </c>
      <c r="AB528" s="63">
        <f t="shared" si="222"/>
        <v>0</v>
      </c>
      <c r="AC528" s="63">
        <f t="shared" si="222"/>
        <v>0</v>
      </c>
      <c r="AD528" s="63">
        <f t="shared" si="222"/>
        <v>0</v>
      </c>
      <c r="AE528" s="63">
        <f t="shared" si="222"/>
        <v>0</v>
      </c>
      <c r="AF528" s="63">
        <f t="shared" si="223"/>
        <v>0</v>
      </c>
      <c r="AG528" s="58" t="str">
        <f t="shared" si="224"/>
        <v>ok</v>
      </c>
    </row>
    <row r="529" spans="1:33">
      <c r="A529" s="60">
        <v>924</v>
      </c>
      <c r="B529" s="60" t="s">
        <v>1054</v>
      </c>
      <c r="C529" s="44" t="s">
        <v>90</v>
      </c>
      <c r="D529" s="44" t="s">
        <v>968</v>
      </c>
      <c r="F529" s="79"/>
      <c r="H529" s="63">
        <f t="shared" si="221"/>
        <v>0</v>
      </c>
      <c r="I529" s="63">
        <f t="shared" si="221"/>
        <v>0</v>
      </c>
      <c r="J529" s="63">
        <f t="shared" si="221"/>
        <v>0</v>
      </c>
      <c r="K529" s="63">
        <f t="shared" si="221"/>
        <v>0</v>
      </c>
      <c r="L529" s="63">
        <f t="shared" si="221"/>
        <v>0</v>
      </c>
      <c r="M529" s="63">
        <f t="shared" si="221"/>
        <v>0</v>
      </c>
      <c r="N529" s="63">
        <f t="shared" si="221"/>
        <v>0</v>
      </c>
      <c r="O529" s="63">
        <f t="shared" si="221"/>
        <v>0</v>
      </c>
      <c r="P529" s="63">
        <f t="shared" si="221"/>
        <v>0</v>
      </c>
      <c r="Q529" s="63">
        <f t="shared" si="221"/>
        <v>0</v>
      </c>
      <c r="R529" s="63">
        <f t="shared" si="222"/>
        <v>0</v>
      </c>
      <c r="S529" s="63">
        <f t="shared" si="222"/>
        <v>0</v>
      </c>
      <c r="T529" s="63">
        <f t="shared" si="222"/>
        <v>0</v>
      </c>
      <c r="U529" s="63">
        <f t="shared" si="222"/>
        <v>0</v>
      </c>
      <c r="V529" s="63">
        <f t="shared" si="222"/>
        <v>0</v>
      </c>
      <c r="W529" s="63">
        <f t="shared" si="222"/>
        <v>0</v>
      </c>
      <c r="X529" s="63">
        <f t="shared" si="222"/>
        <v>0</v>
      </c>
      <c r="Y529" s="63">
        <f t="shared" si="222"/>
        <v>0</v>
      </c>
      <c r="Z529" s="63">
        <f t="shared" si="222"/>
        <v>0</v>
      </c>
      <c r="AA529" s="63">
        <f t="shared" si="222"/>
        <v>0</v>
      </c>
      <c r="AB529" s="63">
        <f t="shared" si="222"/>
        <v>0</v>
      </c>
      <c r="AC529" s="63">
        <f t="shared" si="222"/>
        <v>0</v>
      </c>
      <c r="AD529" s="63">
        <f t="shared" si="222"/>
        <v>0</v>
      </c>
      <c r="AE529" s="63">
        <f t="shared" si="222"/>
        <v>0</v>
      </c>
      <c r="AF529" s="63">
        <f t="shared" si="223"/>
        <v>0</v>
      </c>
      <c r="AG529" s="58" t="str">
        <f t="shared" si="224"/>
        <v>ok</v>
      </c>
    </row>
    <row r="530" spans="1:33">
      <c r="A530" s="60">
        <v>925</v>
      </c>
      <c r="B530" s="60" t="s">
        <v>1369</v>
      </c>
      <c r="C530" s="44" t="s">
        <v>91</v>
      </c>
      <c r="D530" s="44" t="s">
        <v>664</v>
      </c>
      <c r="F530" s="79"/>
      <c r="H530" s="63">
        <f t="shared" si="221"/>
        <v>0</v>
      </c>
      <c r="I530" s="63">
        <f t="shared" si="221"/>
        <v>0</v>
      </c>
      <c r="J530" s="63">
        <f t="shared" si="221"/>
        <v>0</v>
      </c>
      <c r="K530" s="63">
        <f t="shared" si="221"/>
        <v>0</v>
      </c>
      <c r="L530" s="63">
        <f t="shared" si="221"/>
        <v>0</v>
      </c>
      <c r="M530" s="63">
        <f t="shared" si="221"/>
        <v>0</v>
      </c>
      <c r="N530" s="63">
        <f t="shared" si="221"/>
        <v>0</v>
      </c>
      <c r="O530" s="63">
        <f t="shared" si="221"/>
        <v>0</v>
      </c>
      <c r="P530" s="63">
        <f t="shared" si="221"/>
        <v>0</v>
      </c>
      <c r="Q530" s="63">
        <f t="shared" si="221"/>
        <v>0</v>
      </c>
      <c r="R530" s="63">
        <f t="shared" si="222"/>
        <v>0</v>
      </c>
      <c r="S530" s="63">
        <f t="shared" si="222"/>
        <v>0</v>
      </c>
      <c r="T530" s="63">
        <f t="shared" si="222"/>
        <v>0</v>
      </c>
      <c r="U530" s="63">
        <f t="shared" si="222"/>
        <v>0</v>
      </c>
      <c r="V530" s="63">
        <f t="shared" si="222"/>
        <v>0</v>
      </c>
      <c r="W530" s="63">
        <f t="shared" si="222"/>
        <v>0</v>
      </c>
      <c r="X530" s="63">
        <f t="shared" si="222"/>
        <v>0</v>
      </c>
      <c r="Y530" s="63">
        <f t="shared" si="222"/>
        <v>0</v>
      </c>
      <c r="Z530" s="63">
        <f t="shared" si="222"/>
        <v>0</v>
      </c>
      <c r="AA530" s="63">
        <f t="shared" si="222"/>
        <v>0</v>
      </c>
      <c r="AB530" s="63">
        <f t="shared" si="222"/>
        <v>0</v>
      </c>
      <c r="AC530" s="63">
        <f t="shared" si="222"/>
        <v>0</v>
      </c>
      <c r="AD530" s="63">
        <f t="shared" si="222"/>
        <v>0</v>
      </c>
      <c r="AE530" s="63">
        <f t="shared" si="222"/>
        <v>0</v>
      </c>
      <c r="AF530" s="63">
        <f t="shared" si="223"/>
        <v>0</v>
      </c>
      <c r="AG530" s="58" t="str">
        <f t="shared" si="224"/>
        <v>ok</v>
      </c>
    </row>
    <row r="531" spans="1:33">
      <c r="A531" s="60">
        <v>926</v>
      </c>
      <c r="B531" s="60" t="s">
        <v>1057</v>
      </c>
      <c r="C531" s="44" t="s">
        <v>92</v>
      </c>
      <c r="D531" s="44" t="s">
        <v>664</v>
      </c>
      <c r="F531" s="79"/>
      <c r="H531" s="63">
        <f t="shared" si="221"/>
        <v>0</v>
      </c>
      <c r="I531" s="63">
        <f t="shared" si="221"/>
        <v>0</v>
      </c>
      <c r="J531" s="63">
        <f t="shared" si="221"/>
        <v>0</v>
      </c>
      <c r="K531" s="63">
        <f t="shared" si="221"/>
        <v>0</v>
      </c>
      <c r="L531" s="63">
        <f t="shared" si="221"/>
        <v>0</v>
      </c>
      <c r="M531" s="63">
        <f t="shared" si="221"/>
        <v>0</v>
      </c>
      <c r="N531" s="63">
        <f t="shared" si="221"/>
        <v>0</v>
      </c>
      <c r="O531" s="63">
        <f t="shared" si="221"/>
        <v>0</v>
      </c>
      <c r="P531" s="63">
        <f t="shared" si="221"/>
        <v>0</v>
      </c>
      <c r="Q531" s="63">
        <f t="shared" si="221"/>
        <v>0</v>
      </c>
      <c r="R531" s="63">
        <f t="shared" si="222"/>
        <v>0</v>
      </c>
      <c r="S531" s="63">
        <f t="shared" si="222"/>
        <v>0</v>
      </c>
      <c r="T531" s="63">
        <f t="shared" si="222"/>
        <v>0</v>
      </c>
      <c r="U531" s="63">
        <f t="shared" si="222"/>
        <v>0</v>
      </c>
      <c r="V531" s="63">
        <f t="shared" si="222"/>
        <v>0</v>
      </c>
      <c r="W531" s="63">
        <f t="shared" si="222"/>
        <v>0</v>
      </c>
      <c r="X531" s="63">
        <f t="shared" si="222"/>
        <v>0</v>
      </c>
      <c r="Y531" s="63">
        <f t="shared" si="222"/>
        <v>0</v>
      </c>
      <c r="Z531" s="63">
        <f t="shared" si="222"/>
        <v>0</v>
      </c>
      <c r="AA531" s="63">
        <f t="shared" si="222"/>
        <v>0</v>
      </c>
      <c r="AB531" s="63">
        <f t="shared" si="222"/>
        <v>0</v>
      </c>
      <c r="AC531" s="63">
        <f t="shared" si="222"/>
        <v>0</v>
      </c>
      <c r="AD531" s="63">
        <f t="shared" si="222"/>
        <v>0</v>
      </c>
      <c r="AE531" s="63">
        <f t="shared" si="222"/>
        <v>0</v>
      </c>
      <c r="AF531" s="63">
        <f t="shared" si="223"/>
        <v>0</v>
      </c>
      <c r="AG531" s="58" t="str">
        <f t="shared" si="224"/>
        <v>ok</v>
      </c>
    </row>
    <row r="532" spans="1:33">
      <c r="A532" s="60">
        <v>928</v>
      </c>
      <c r="B532" s="60" t="s">
        <v>887</v>
      </c>
      <c r="C532" s="44" t="s">
        <v>93</v>
      </c>
      <c r="D532" s="44" t="s">
        <v>968</v>
      </c>
      <c r="F532" s="79"/>
      <c r="H532" s="63">
        <f t="shared" si="221"/>
        <v>0</v>
      </c>
      <c r="I532" s="63">
        <f t="shared" si="221"/>
        <v>0</v>
      </c>
      <c r="J532" s="63">
        <f t="shared" si="221"/>
        <v>0</v>
      </c>
      <c r="K532" s="63">
        <f t="shared" si="221"/>
        <v>0</v>
      </c>
      <c r="L532" s="63">
        <f t="shared" si="221"/>
        <v>0</v>
      </c>
      <c r="M532" s="63">
        <f t="shared" si="221"/>
        <v>0</v>
      </c>
      <c r="N532" s="63">
        <f t="shared" si="221"/>
        <v>0</v>
      </c>
      <c r="O532" s="63">
        <f t="shared" si="221"/>
        <v>0</v>
      </c>
      <c r="P532" s="63">
        <f t="shared" si="221"/>
        <v>0</v>
      </c>
      <c r="Q532" s="63">
        <f t="shared" si="221"/>
        <v>0</v>
      </c>
      <c r="R532" s="63">
        <f t="shared" si="222"/>
        <v>0</v>
      </c>
      <c r="S532" s="63">
        <f t="shared" si="222"/>
        <v>0</v>
      </c>
      <c r="T532" s="63">
        <f t="shared" si="222"/>
        <v>0</v>
      </c>
      <c r="U532" s="63">
        <f t="shared" si="222"/>
        <v>0</v>
      </c>
      <c r="V532" s="63">
        <f t="shared" si="222"/>
        <v>0</v>
      </c>
      <c r="W532" s="63">
        <f t="shared" si="222"/>
        <v>0</v>
      </c>
      <c r="X532" s="63">
        <f t="shared" si="222"/>
        <v>0</v>
      </c>
      <c r="Y532" s="63">
        <f t="shared" si="222"/>
        <v>0</v>
      </c>
      <c r="Z532" s="63">
        <f t="shared" si="222"/>
        <v>0</v>
      </c>
      <c r="AA532" s="63">
        <f t="shared" si="222"/>
        <v>0</v>
      </c>
      <c r="AB532" s="63">
        <f t="shared" si="222"/>
        <v>0</v>
      </c>
      <c r="AC532" s="63">
        <f t="shared" si="222"/>
        <v>0</v>
      </c>
      <c r="AD532" s="63">
        <f t="shared" si="222"/>
        <v>0</v>
      </c>
      <c r="AE532" s="63">
        <f t="shared" si="222"/>
        <v>0</v>
      </c>
      <c r="AF532" s="63">
        <f t="shared" si="223"/>
        <v>0</v>
      </c>
      <c r="AG532" s="58" t="str">
        <f t="shared" si="224"/>
        <v>ok</v>
      </c>
    </row>
    <row r="533" spans="1:33">
      <c r="A533" s="60">
        <v>929</v>
      </c>
      <c r="B533" s="60" t="s">
        <v>1158</v>
      </c>
      <c r="C533" s="44" t="s">
        <v>94</v>
      </c>
      <c r="D533" s="44" t="s">
        <v>664</v>
      </c>
      <c r="F533" s="79"/>
      <c r="H533" s="63">
        <f t="shared" si="221"/>
        <v>0</v>
      </c>
      <c r="I533" s="63">
        <f t="shared" si="221"/>
        <v>0</v>
      </c>
      <c r="J533" s="63">
        <f t="shared" si="221"/>
        <v>0</v>
      </c>
      <c r="K533" s="63">
        <f t="shared" si="221"/>
        <v>0</v>
      </c>
      <c r="L533" s="63">
        <f t="shared" si="221"/>
        <v>0</v>
      </c>
      <c r="M533" s="63">
        <f t="shared" si="221"/>
        <v>0</v>
      </c>
      <c r="N533" s="63">
        <f t="shared" si="221"/>
        <v>0</v>
      </c>
      <c r="O533" s="63">
        <f t="shared" si="221"/>
        <v>0</v>
      </c>
      <c r="P533" s="63">
        <f t="shared" si="221"/>
        <v>0</v>
      </c>
      <c r="Q533" s="63">
        <f t="shared" si="221"/>
        <v>0</v>
      </c>
      <c r="R533" s="63">
        <f t="shared" si="222"/>
        <v>0</v>
      </c>
      <c r="S533" s="63">
        <f t="shared" si="222"/>
        <v>0</v>
      </c>
      <c r="T533" s="63">
        <f t="shared" si="222"/>
        <v>0</v>
      </c>
      <c r="U533" s="63">
        <f t="shared" si="222"/>
        <v>0</v>
      </c>
      <c r="V533" s="63">
        <f t="shared" si="222"/>
        <v>0</v>
      </c>
      <c r="W533" s="63">
        <f t="shared" si="222"/>
        <v>0</v>
      </c>
      <c r="X533" s="63">
        <f t="shared" si="222"/>
        <v>0</v>
      </c>
      <c r="Y533" s="63">
        <f t="shared" si="222"/>
        <v>0</v>
      </c>
      <c r="Z533" s="63">
        <f t="shared" si="222"/>
        <v>0</v>
      </c>
      <c r="AA533" s="63">
        <f t="shared" si="222"/>
        <v>0</v>
      </c>
      <c r="AB533" s="63">
        <f t="shared" si="222"/>
        <v>0</v>
      </c>
      <c r="AC533" s="63">
        <f t="shared" si="222"/>
        <v>0</v>
      </c>
      <c r="AD533" s="63">
        <f t="shared" si="222"/>
        <v>0</v>
      </c>
      <c r="AE533" s="63">
        <f t="shared" si="222"/>
        <v>0</v>
      </c>
      <c r="AF533" s="63">
        <f t="shared" si="223"/>
        <v>0</v>
      </c>
      <c r="AG533" s="58" t="str">
        <f t="shared" si="224"/>
        <v>ok</v>
      </c>
    </row>
    <row r="534" spans="1:33">
      <c r="A534" s="60">
        <v>930</v>
      </c>
      <c r="B534" s="60" t="s">
        <v>1060</v>
      </c>
      <c r="C534" s="44" t="s">
        <v>95</v>
      </c>
      <c r="D534" s="44" t="s">
        <v>664</v>
      </c>
      <c r="F534" s="79"/>
      <c r="H534" s="63">
        <f t="shared" si="221"/>
        <v>0</v>
      </c>
      <c r="I534" s="63">
        <f t="shared" si="221"/>
        <v>0</v>
      </c>
      <c r="J534" s="63">
        <f t="shared" si="221"/>
        <v>0</v>
      </c>
      <c r="K534" s="63">
        <f t="shared" si="221"/>
        <v>0</v>
      </c>
      <c r="L534" s="63">
        <f t="shared" si="221"/>
        <v>0</v>
      </c>
      <c r="M534" s="63">
        <f t="shared" si="221"/>
        <v>0</v>
      </c>
      <c r="N534" s="63">
        <f t="shared" si="221"/>
        <v>0</v>
      </c>
      <c r="O534" s="63">
        <f t="shared" si="221"/>
        <v>0</v>
      </c>
      <c r="P534" s="63">
        <f t="shared" si="221"/>
        <v>0</v>
      </c>
      <c r="Q534" s="63">
        <f t="shared" si="221"/>
        <v>0</v>
      </c>
      <c r="R534" s="63">
        <f t="shared" si="222"/>
        <v>0</v>
      </c>
      <c r="S534" s="63">
        <f t="shared" si="222"/>
        <v>0</v>
      </c>
      <c r="T534" s="63">
        <f t="shared" si="222"/>
        <v>0</v>
      </c>
      <c r="U534" s="63">
        <f t="shared" si="222"/>
        <v>0</v>
      </c>
      <c r="V534" s="63">
        <f t="shared" si="222"/>
        <v>0</v>
      </c>
      <c r="W534" s="63">
        <f t="shared" si="222"/>
        <v>0</v>
      </c>
      <c r="X534" s="63">
        <f t="shared" si="222"/>
        <v>0</v>
      </c>
      <c r="Y534" s="63">
        <f t="shared" si="222"/>
        <v>0</v>
      </c>
      <c r="Z534" s="63">
        <f t="shared" si="222"/>
        <v>0</v>
      </c>
      <c r="AA534" s="63">
        <f t="shared" si="222"/>
        <v>0</v>
      </c>
      <c r="AB534" s="63">
        <f t="shared" si="222"/>
        <v>0</v>
      </c>
      <c r="AC534" s="63">
        <f t="shared" si="222"/>
        <v>0</v>
      </c>
      <c r="AD534" s="63">
        <f t="shared" si="222"/>
        <v>0</v>
      </c>
      <c r="AE534" s="63">
        <f t="shared" si="222"/>
        <v>0</v>
      </c>
      <c r="AF534" s="63">
        <f t="shared" si="223"/>
        <v>0</v>
      </c>
      <c r="AG534" s="58" t="str">
        <f t="shared" si="224"/>
        <v>ok</v>
      </c>
    </row>
    <row r="535" spans="1:33">
      <c r="A535" s="60">
        <v>931</v>
      </c>
      <c r="B535" s="60" t="s">
        <v>1062</v>
      </c>
      <c r="C535" s="44" t="s">
        <v>96</v>
      </c>
      <c r="D535" s="44" t="s">
        <v>958</v>
      </c>
      <c r="F535" s="79"/>
      <c r="H535" s="63">
        <f t="shared" si="221"/>
        <v>0</v>
      </c>
      <c r="I535" s="63">
        <f t="shared" si="221"/>
        <v>0</v>
      </c>
      <c r="J535" s="63">
        <f t="shared" si="221"/>
        <v>0</v>
      </c>
      <c r="K535" s="63">
        <f t="shared" si="221"/>
        <v>0</v>
      </c>
      <c r="L535" s="63">
        <f t="shared" si="221"/>
        <v>0</v>
      </c>
      <c r="M535" s="63">
        <f t="shared" si="221"/>
        <v>0</v>
      </c>
      <c r="N535" s="63">
        <f t="shared" si="221"/>
        <v>0</v>
      </c>
      <c r="O535" s="63">
        <f t="shared" si="221"/>
        <v>0</v>
      </c>
      <c r="P535" s="63">
        <f t="shared" si="221"/>
        <v>0</v>
      </c>
      <c r="Q535" s="63">
        <f t="shared" si="221"/>
        <v>0</v>
      </c>
      <c r="R535" s="63">
        <f t="shared" si="222"/>
        <v>0</v>
      </c>
      <c r="S535" s="63">
        <f t="shared" si="222"/>
        <v>0</v>
      </c>
      <c r="T535" s="63">
        <f t="shared" si="222"/>
        <v>0</v>
      </c>
      <c r="U535" s="63">
        <f t="shared" si="222"/>
        <v>0</v>
      </c>
      <c r="V535" s="63">
        <f t="shared" si="222"/>
        <v>0</v>
      </c>
      <c r="W535" s="63">
        <f t="shared" si="222"/>
        <v>0</v>
      </c>
      <c r="X535" s="63">
        <f t="shared" si="222"/>
        <v>0</v>
      </c>
      <c r="Y535" s="63">
        <f t="shared" si="222"/>
        <v>0</v>
      </c>
      <c r="Z535" s="63">
        <f t="shared" si="222"/>
        <v>0</v>
      </c>
      <c r="AA535" s="63">
        <f t="shared" si="222"/>
        <v>0</v>
      </c>
      <c r="AB535" s="63">
        <f t="shared" si="222"/>
        <v>0</v>
      </c>
      <c r="AC535" s="63">
        <f t="shared" si="222"/>
        <v>0</v>
      </c>
      <c r="AD535" s="63">
        <f t="shared" si="222"/>
        <v>0</v>
      </c>
      <c r="AE535" s="63">
        <f t="shared" si="222"/>
        <v>0</v>
      </c>
      <c r="AF535" s="63">
        <f t="shared" si="223"/>
        <v>0</v>
      </c>
      <c r="AG535" s="58" t="str">
        <f t="shared" si="224"/>
        <v>ok</v>
      </c>
    </row>
    <row r="536" spans="1:33">
      <c r="A536" s="60">
        <v>935</v>
      </c>
      <c r="B536" s="60" t="s">
        <v>1064</v>
      </c>
      <c r="C536" s="44" t="s">
        <v>97</v>
      </c>
      <c r="D536" s="44" t="s">
        <v>958</v>
      </c>
      <c r="F536" s="79">
        <v>430712.79999999993</v>
      </c>
      <c r="H536" s="63">
        <f t="shared" si="221"/>
        <v>83058.253487253809</v>
      </c>
      <c r="I536" s="63">
        <f t="shared" si="221"/>
        <v>87008.777643796129</v>
      </c>
      <c r="J536" s="63">
        <f t="shared" si="221"/>
        <v>71520.921827806756</v>
      </c>
      <c r="K536" s="63">
        <f t="shared" si="221"/>
        <v>0</v>
      </c>
      <c r="L536" s="63">
        <f t="shared" si="221"/>
        <v>0</v>
      </c>
      <c r="M536" s="63">
        <f t="shared" si="221"/>
        <v>0</v>
      </c>
      <c r="N536" s="63">
        <f t="shared" si="221"/>
        <v>46338.533719054532</v>
      </c>
      <c r="O536" s="63">
        <f t="shared" si="221"/>
        <v>0</v>
      </c>
      <c r="P536" s="63">
        <f t="shared" si="221"/>
        <v>0</v>
      </c>
      <c r="Q536" s="63">
        <f t="shared" si="221"/>
        <v>0</v>
      </c>
      <c r="R536" s="63">
        <f t="shared" si="222"/>
        <v>15998.114439020788</v>
      </c>
      <c r="S536" s="63">
        <f t="shared" si="222"/>
        <v>0</v>
      </c>
      <c r="T536" s="63">
        <f t="shared" si="222"/>
        <v>27358.421257728867</v>
      </c>
      <c r="U536" s="63">
        <f t="shared" si="222"/>
        <v>43537.416460110828</v>
      </c>
      <c r="V536" s="63">
        <f t="shared" si="222"/>
        <v>7520.9328171211573</v>
      </c>
      <c r="W536" s="63">
        <f t="shared" si="222"/>
        <v>11429.231173530683</v>
      </c>
      <c r="X536" s="63">
        <f t="shared" si="222"/>
        <v>10396.198263774761</v>
      </c>
      <c r="Y536" s="63">
        <f t="shared" si="222"/>
        <v>7270.605729337537</v>
      </c>
      <c r="Z536" s="63">
        <f t="shared" si="222"/>
        <v>3610.7187483921398</v>
      </c>
      <c r="AA536" s="63">
        <f t="shared" si="222"/>
        <v>4188.3328937878196</v>
      </c>
      <c r="AB536" s="63">
        <f t="shared" si="222"/>
        <v>11476.341539284123</v>
      </c>
      <c r="AC536" s="63">
        <f t="shared" si="222"/>
        <v>0</v>
      </c>
      <c r="AD536" s="63">
        <f t="shared" si="222"/>
        <v>0</v>
      </c>
      <c r="AE536" s="63">
        <f t="shared" si="222"/>
        <v>0</v>
      </c>
      <c r="AF536" s="63">
        <f t="shared" si="223"/>
        <v>430712.79999999993</v>
      </c>
      <c r="AG536" s="58" t="str">
        <f t="shared" si="224"/>
        <v>ok</v>
      </c>
    </row>
    <row r="537" spans="1:33">
      <c r="A537" s="60"/>
      <c r="B537" s="60"/>
      <c r="F537" s="79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58"/>
    </row>
    <row r="538" spans="1:33">
      <c r="A538" s="60" t="s">
        <v>1065</v>
      </c>
      <c r="B538" s="60"/>
      <c r="C538" s="44" t="s">
        <v>98</v>
      </c>
      <c r="F538" s="76">
        <f t="shared" ref="F538:M538" si="225">SUM(F525:F537)</f>
        <v>19231654.739999998</v>
      </c>
      <c r="G538" s="62">
        <f t="shared" si="225"/>
        <v>0</v>
      </c>
      <c r="H538" s="62">
        <f t="shared" si="225"/>
        <v>2270132.2702119607</v>
      </c>
      <c r="I538" s="62">
        <f t="shared" si="225"/>
        <v>2378107.2395314742</v>
      </c>
      <c r="J538" s="62">
        <f t="shared" si="225"/>
        <v>1954796.1318681876</v>
      </c>
      <c r="K538" s="62">
        <f t="shared" si="225"/>
        <v>4751464.2592489347</v>
      </c>
      <c r="L538" s="62">
        <f t="shared" si="225"/>
        <v>0</v>
      </c>
      <c r="M538" s="62">
        <f t="shared" si="225"/>
        <v>0</v>
      </c>
      <c r="N538" s="62">
        <f>SUM(N525:N537)</f>
        <v>1173314.1725444531</v>
      </c>
      <c r="O538" s="62">
        <f>SUM(O525:O537)</f>
        <v>0</v>
      </c>
      <c r="P538" s="62">
        <f>SUM(P525:P537)</f>
        <v>0</v>
      </c>
      <c r="Q538" s="62">
        <f t="shared" ref="Q538:AB538" si="226">SUM(Q525:Q537)</f>
        <v>0</v>
      </c>
      <c r="R538" s="62">
        <f t="shared" si="226"/>
        <v>721748.34084863227</v>
      </c>
      <c r="S538" s="62">
        <f t="shared" si="226"/>
        <v>0</v>
      </c>
      <c r="T538" s="62">
        <f t="shared" si="226"/>
        <v>694832.50967875903</v>
      </c>
      <c r="U538" s="62">
        <f t="shared" si="226"/>
        <v>1051837.2476054181</v>
      </c>
      <c r="V538" s="62">
        <f t="shared" si="226"/>
        <v>226025.77411506814</v>
      </c>
      <c r="W538" s="62">
        <f t="shared" si="226"/>
        <v>333775.40793417743</v>
      </c>
      <c r="X538" s="62">
        <f t="shared" si="226"/>
        <v>71325.625471859064</v>
      </c>
      <c r="Y538" s="62">
        <f t="shared" si="226"/>
        <v>49881.744080551056</v>
      </c>
      <c r="Z538" s="62">
        <f t="shared" si="226"/>
        <v>19063.063827999995</v>
      </c>
      <c r="AA538" s="62">
        <f t="shared" si="226"/>
        <v>1505177.7150558745</v>
      </c>
      <c r="AB538" s="62">
        <f t="shared" si="226"/>
        <v>63034.368220811128</v>
      </c>
      <c r="AC538" s="62">
        <f>SUM(AC525:AC537)</f>
        <v>1543411.9927426309</v>
      </c>
      <c r="AD538" s="62">
        <f>SUM(AD525:AD537)</f>
        <v>423726.87701320689</v>
      </c>
      <c r="AE538" s="62">
        <f>SUM(AE525:AE537)</f>
        <v>0</v>
      </c>
      <c r="AF538" s="63">
        <f>SUM(H538:AE538)</f>
        <v>19231654.739999998</v>
      </c>
      <c r="AG538" s="58" t="str">
        <f>IF(ABS(AF538-F538)&lt;1,"ok","err")</f>
        <v>ok</v>
      </c>
    </row>
    <row r="539" spans="1:33">
      <c r="A539" s="60"/>
      <c r="B539" s="60"/>
      <c r="F539" s="79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58"/>
    </row>
    <row r="540" spans="1:33">
      <c r="A540" s="60" t="s">
        <v>1067</v>
      </c>
      <c r="B540" s="60"/>
      <c r="C540" s="44" t="s">
        <v>99</v>
      </c>
      <c r="F540" s="76">
        <f>F490+F499+F514+F538</f>
        <v>71538724.159999996</v>
      </c>
      <c r="G540" s="62"/>
      <c r="H540" s="62">
        <f t="shared" ref="H540:M540" si="227">H490+H499+H514+H538</f>
        <v>8354903.5962755047</v>
      </c>
      <c r="I540" s="62">
        <f t="shared" si="227"/>
        <v>8752290.3350628056</v>
      </c>
      <c r="J540" s="62">
        <f t="shared" si="227"/>
        <v>7194353.14251801</v>
      </c>
      <c r="K540" s="62">
        <f t="shared" si="227"/>
        <v>17970757.827004239</v>
      </c>
      <c r="L540" s="62">
        <f t="shared" si="227"/>
        <v>0</v>
      </c>
      <c r="M540" s="62">
        <f t="shared" si="227"/>
        <v>0</v>
      </c>
      <c r="N540" s="62">
        <f>N490+N499+N514+N538</f>
        <v>4308731.1725444533</v>
      </c>
      <c r="O540" s="62">
        <f>O490+O499+O514+O538</f>
        <v>0</v>
      </c>
      <c r="P540" s="62">
        <f>P490+P499+P514+P538</f>
        <v>0</v>
      </c>
      <c r="Q540" s="62">
        <f t="shared" ref="Q540:AB540" si="228">Q490+Q499+Q514+Q538</f>
        <v>0</v>
      </c>
      <c r="R540" s="62">
        <f t="shared" si="228"/>
        <v>2685252.4144103993</v>
      </c>
      <c r="S540" s="62">
        <f t="shared" si="228"/>
        <v>0</v>
      </c>
      <c r="T540" s="62">
        <f t="shared" si="228"/>
        <v>2551846.5672994298</v>
      </c>
      <c r="U540" s="62">
        <f t="shared" si="228"/>
        <v>3857080.1674658395</v>
      </c>
      <c r="V540" s="62">
        <f t="shared" si="228"/>
        <v>833939.35306513414</v>
      </c>
      <c r="W540" s="62">
        <f t="shared" si="228"/>
        <v>1230591.3174189094</v>
      </c>
      <c r="X540" s="62">
        <f t="shared" si="228"/>
        <v>240840.52471813068</v>
      </c>
      <c r="Y540" s="62">
        <f t="shared" si="228"/>
        <v>168432.38792143884</v>
      </c>
      <c r="Z540" s="62">
        <f t="shared" si="228"/>
        <v>62053.82936306145</v>
      </c>
      <c r="AA540" s="62">
        <f t="shared" si="228"/>
        <v>5681157.6240409669</v>
      </c>
      <c r="AB540" s="62">
        <f t="shared" si="228"/>
        <v>206476.61113584062</v>
      </c>
      <c r="AC540" s="62">
        <f>AC490+AC499+AC514+AC538</f>
        <v>5837418.0327426316</v>
      </c>
      <c r="AD540" s="62">
        <f>AD490+AD499+AD514+AD538</f>
        <v>1602599.2570132071</v>
      </c>
      <c r="AE540" s="62">
        <f>AE490+AE499+AE514+AE538</f>
        <v>0</v>
      </c>
      <c r="AF540" s="63">
        <f>SUM(H540:AE540)</f>
        <v>71538724.159999996</v>
      </c>
      <c r="AG540" s="58" t="str">
        <f>IF(ABS(AF540-F540)&lt;1,"ok","err")</f>
        <v>ok</v>
      </c>
    </row>
    <row r="541" spans="1:33">
      <c r="A541" s="60"/>
      <c r="B541" s="60"/>
      <c r="F541" s="79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58"/>
    </row>
    <row r="542" spans="1:33">
      <c r="A542" s="60" t="s">
        <v>19</v>
      </c>
      <c r="B542" s="60"/>
      <c r="C542" s="44" t="s">
        <v>100</v>
      </c>
      <c r="F542" s="80">
        <f t="shared" ref="F542:M542" si="229">F540-F430</f>
        <v>71538724.159999996</v>
      </c>
      <c r="G542" s="64">
        <f t="shared" si="229"/>
        <v>0</v>
      </c>
      <c r="H542" s="64">
        <f t="shared" si="229"/>
        <v>8354903.5962755047</v>
      </c>
      <c r="I542" s="64">
        <f t="shared" si="229"/>
        <v>8752290.3350628056</v>
      </c>
      <c r="J542" s="64">
        <f t="shared" si="229"/>
        <v>7194353.14251801</v>
      </c>
      <c r="K542" s="64">
        <f t="shared" si="229"/>
        <v>17970757.827004239</v>
      </c>
      <c r="L542" s="64">
        <f t="shared" si="229"/>
        <v>0</v>
      </c>
      <c r="M542" s="64">
        <f t="shared" si="229"/>
        <v>0</v>
      </c>
      <c r="N542" s="64">
        <f>N540-N430</f>
        <v>4308731.1725444533</v>
      </c>
      <c r="O542" s="64">
        <f>O540-O430</f>
        <v>0</v>
      </c>
      <c r="P542" s="64">
        <f>P540-P430</f>
        <v>0</v>
      </c>
      <c r="Q542" s="64">
        <f t="shared" ref="Q542:AB542" si="230">Q540-Q430</f>
        <v>0</v>
      </c>
      <c r="R542" s="64">
        <f t="shared" si="230"/>
        <v>2685252.4144103993</v>
      </c>
      <c r="S542" s="64">
        <f t="shared" si="230"/>
        <v>0</v>
      </c>
      <c r="T542" s="64">
        <f t="shared" si="230"/>
        <v>2551846.5672994298</v>
      </c>
      <c r="U542" s="64">
        <f t="shared" si="230"/>
        <v>3857080.1674658395</v>
      </c>
      <c r="V542" s="64">
        <f t="shared" si="230"/>
        <v>833939.35306513414</v>
      </c>
      <c r="W542" s="64">
        <f t="shared" si="230"/>
        <v>1230591.3174189094</v>
      </c>
      <c r="X542" s="64">
        <f t="shared" si="230"/>
        <v>240840.52471813068</v>
      </c>
      <c r="Y542" s="64">
        <f t="shared" si="230"/>
        <v>168432.38792143884</v>
      </c>
      <c r="Z542" s="64">
        <f t="shared" si="230"/>
        <v>62053.82936306145</v>
      </c>
      <c r="AA542" s="64">
        <f t="shared" si="230"/>
        <v>5681157.6240409669</v>
      </c>
      <c r="AB542" s="64">
        <f t="shared" si="230"/>
        <v>206476.61113584062</v>
      </c>
      <c r="AC542" s="64">
        <f>AC540-AC430</f>
        <v>5837418.0327426316</v>
      </c>
      <c r="AD542" s="64">
        <f>AD540-AD430</f>
        <v>1602599.2570132071</v>
      </c>
      <c r="AE542" s="64">
        <f>AE540-AE430</f>
        <v>0</v>
      </c>
      <c r="AF542" s="63">
        <f>SUM(H542:AE542)</f>
        <v>71538724.159999996</v>
      </c>
      <c r="AG542" s="58" t="str">
        <f>IF(ABS(AF542-F542)&lt;1,"ok","err")</f>
        <v>ok</v>
      </c>
    </row>
    <row r="543" spans="1:33">
      <c r="A543" s="60"/>
      <c r="B543" s="60"/>
      <c r="F543" s="80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3"/>
      <c r="AG543" s="58"/>
    </row>
    <row r="544" spans="1:33">
      <c r="A544" s="60"/>
      <c r="B544" s="60"/>
      <c r="F544" s="80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3"/>
      <c r="AG544" s="58"/>
    </row>
    <row r="545" spans="1:33">
      <c r="A545" s="60"/>
      <c r="B545" s="60"/>
      <c r="F545" s="80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3"/>
      <c r="AG545" s="58"/>
    </row>
    <row r="546" spans="1:33">
      <c r="A546" s="60"/>
      <c r="B546" s="60"/>
      <c r="F546" s="80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3"/>
      <c r="AG546" s="58"/>
    </row>
    <row r="547" spans="1:33">
      <c r="A547" s="60"/>
      <c r="B547" s="60"/>
      <c r="F547" s="80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3"/>
      <c r="AG547" s="58"/>
    </row>
    <row r="548" spans="1:33">
      <c r="A548" s="60"/>
      <c r="B548" s="60"/>
      <c r="F548" s="80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3"/>
      <c r="AG548" s="58"/>
    </row>
    <row r="549" spans="1:33">
      <c r="A549" s="60"/>
      <c r="B549" s="60"/>
      <c r="F549" s="80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3"/>
      <c r="AG549" s="58"/>
    </row>
    <row r="550" spans="1:33">
      <c r="A550" s="60"/>
      <c r="B550" s="60"/>
      <c r="F550" s="80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3"/>
      <c r="AG550" s="58"/>
    </row>
    <row r="551" spans="1:33">
      <c r="A551" s="60"/>
      <c r="B551" s="60"/>
      <c r="F551" s="80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3"/>
      <c r="AG551" s="58"/>
    </row>
    <row r="552" spans="1:33">
      <c r="A552" s="60"/>
      <c r="B552" s="60"/>
      <c r="F552" s="80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3"/>
      <c r="AG552" s="58"/>
    </row>
    <row r="553" spans="1:33">
      <c r="A553" s="60"/>
      <c r="B553" s="60"/>
      <c r="F553" s="80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3"/>
      <c r="AG553" s="58"/>
    </row>
    <row r="554" spans="1:33">
      <c r="A554" s="60"/>
      <c r="B554" s="60"/>
      <c r="F554" s="80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3"/>
      <c r="AG554" s="58"/>
    </row>
    <row r="555" spans="1:33">
      <c r="A555" s="60"/>
      <c r="B555" s="60"/>
      <c r="F555" s="80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3"/>
      <c r="AG555" s="58"/>
    </row>
    <row r="556" spans="1:33">
      <c r="A556" s="60"/>
      <c r="B556" s="60"/>
      <c r="F556" s="80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3"/>
      <c r="AG556" s="58"/>
    </row>
    <row r="557" spans="1:33">
      <c r="A557" s="60"/>
      <c r="B557" s="60"/>
      <c r="F557" s="80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3"/>
      <c r="AG557" s="58"/>
    </row>
    <row r="558" spans="1:33">
      <c r="A558" s="60"/>
      <c r="B558" s="60"/>
      <c r="F558" s="80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3"/>
      <c r="AG558" s="58"/>
    </row>
    <row r="559" spans="1:33">
      <c r="A559" s="60"/>
      <c r="B559" s="60"/>
      <c r="F559" s="80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3"/>
      <c r="AG559" s="58"/>
    </row>
    <row r="560" spans="1:33">
      <c r="A560" s="60"/>
      <c r="B560" s="60"/>
      <c r="F560" s="80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3"/>
      <c r="AG560" s="58"/>
    </row>
    <row r="561" spans="1:33">
      <c r="A561" s="60"/>
      <c r="B561" s="60"/>
      <c r="F561" s="80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3"/>
      <c r="AG561" s="58"/>
    </row>
    <row r="562" spans="1:33">
      <c r="A562" s="60"/>
      <c r="B562" s="60"/>
      <c r="F562" s="80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3"/>
      <c r="AG562" s="58"/>
    </row>
    <row r="563" spans="1:33">
      <c r="A563" s="60"/>
      <c r="B563" s="60"/>
      <c r="F563" s="80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3"/>
      <c r="AG563" s="58"/>
    </row>
    <row r="564" spans="1:33">
      <c r="A564" s="60"/>
      <c r="B564" s="60"/>
      <c r="F564" s="80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3"/>
      <c r="AG564" s="58"/>
    </row>
    <row r="565" spans="1:33">
      <c r="A565" s="60"/>
      <c r="B565" s="60"/>
      <c r="F565" s="80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3"/>
      <c r="AG565" s="58"/>
    </row>
    <row r="566" spans="1:33">
      <c r="A566" s="60"/>
      <c r="B566" s="60"/>
      <c r="F566" s="80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3"/>
      <c r="AG566" s="58"/>
    </row>
    <row r="567" spans="1:33">
      <c r="A567" s="60"/>
      <c r="B567" s="60"/>
      <c r="F567" s="80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3"/>
      <c r="AG567" s="58"/>
    </row>
    <row r="568" spans="1:33" ht="15">
      <c r="A568" s="59" t="s">
        <v>1070</v>
      </c>
      <c r="B568" s="60"/>
      <c r="AG568" s="58"/>
    </row>
    <row r="569" spans="1:33">
      <c r="A569" s="60"/>
      <c r="B569" s="60"/>
      <c r="AG569" s="58"/>
    </row>
    <row r="570" spans="1:33" ht="15">
      <c r="A570" s="65" t="s">
        <v>1071</v>
      </c>
      <c r="B570" s="60"/>
      <c r="AG570" s="58"/>
    </row>
    <row r="571" spans="1:33">
      <c r="A571" s="68" t="s">
        <v>314</v>
      </c>
      <c r="B571" s="60"/>
      <c r="C571" s="44" t="s">
        <v>21</v>
      </c>
      <c r="D571" s="44" t="s">
        <v>201</v>
      </c>
      <c r="F571" s="76">
        <v>51173948.915298611</v>
      </c>
      <c r="H571" s="63">
        <f t="shared" ref="H571:Q578" si="231">IF(VLOOKUP($D571,$C$6:$AE$653,H$2,)=0,0,((VLOOKUP($D571,$C$6:$AE$653,H$2,)/VLOOKUP($D571,$C$6:$AE$653,4,))*$F571))</f>
        <v>17593670.416481867</v>
      </c>
      <c r="I571" s="63">
        <f t="shared" si="231"/>
        <v>18430483.340717282</v>
      </c>
      <c r="J571" s="63">
        <f t="shared" si="231"/>
        <v>15149795.158099467</v>
      </c>
      <c r="K571" s="63">
        <f t="shared" si="231"/>
        <v>0</v>
      </c>
      <c r="L571" s="63">
        <f t="shared" si="231"/>
        <v>0</v>
      </c>
      <c r="M571" s="63">
        <f t="shared" si="231"/>
        <v>0</v>
      </c>
      <c r="N571" s="63">
        <f t="shared" si="231"/>
        <v>0</v>
      </c>
      <c r="O571" s="63">
        <f t="shared" si="231"/>
        <v>0</v>
      </c>
      <c r="P571" s="63">
        <f t="shared" si="231"/>
        <v>0</v>
      </c>
      <c r="Q571" s="63">
        <f t="shared" si="231"/>
        <v>0</v>
      </c>
      <c r="R571" s="63">
        <f t="shared" ref="R571:AE578" si="232">IF(VLOOKUP($D571,$C$6:$AE$653,R$2,)=0,0,((VLOOKUP($D571,$C$6:$AE$653,R$2,)/VLOOKUP($D571,$C$6:$AE$653,4,))*$F571))</f>
        <v>0</v>
      </c>
      <c r="S571" s="63">
        <f t="shared" si="232"/>
        <v>0</v>
      </c>
      <c r="T571" s="63">
        <f t="shared" si="232"/>
        <v>0</v>
      </c>
      <c r="U571" s="63">
        <f t="shared" si="232"/>
        <v>0</v>
      </c>
      <c r="V571" s="63">
        <f t="shared" si="232"/>
        <v>0</v>
      </c>
      <c r="W571" s="63">
        <f t="shared" si="232"/>
        <v>0</v>
      </c>
      <c r="X571" s="63">
        <f t="shared" si="232"/>
        <v>0</v>
      </c>
      <c r="Y571" s="63">
        <f t="shared" si="232"/>
        <v>0</v>
      </c>
      <c r="Z571" s="63">
        <f t="shared" si="232"/>
        <v>0</v>
      </c>
      <c r="AA571" s="63">
        <f t="shared" si="232"/>
        <v>0</v>
      </c>
      <c r="AB571" s="63">
        <f t="shared" si="232"/>
        <v>0</v>
      </c>
      <c r="AC571" s="63">
        <f t="shared" si="232"/>
        <v>0</v>
      </c>
      <c r="AD571" s="63">
        <f t="shared" si="232"/>
        <v>0</v>
      </c>
      <c r="AE571" s="63">
        <f t="shared" si="232"/>
        <v>0</v>
      </c>
      <c r="AF571" s="63">
        <f t="shared" ref="AF571:AF578" si="233">SUM(H571:AE571)</f>
        <v>51173948.915298618</v>
      </c>
      <c r="AG571" s="58" t="str">
        <f t="shared" ref="AG571:AG578" si="234">IF(ABS(AF571-F571)&lt;1,"ok","err")</f>
        <v>ok</v>
      </c>
    </row>
    <row r="572" spans="1:33">
      <c r="A572" s="68" t="s">
        <v>313</v>
      </c>
      <c r="B572" s="60"/>
      <c r="C572" s="44" t="s">
        <v>35</v>
      </c>
      <c r="D572" s="44" t="s">
        <v>201</v>
      </c>
      <c r="F572" s="79">
        <v>4023932.7831582283</v>
      </c>
      <c r="H572" s="63">
        <f t="shared" si="231"/>
        <v>1383433.3418775478</v>
      </c>
      <c r="I572" s="63">
        <f t="shared" si="231"/>
        <v>1449233.989093083</v>
      </c>
      <c r="J572" s="63">
        <f t="shared" si="231"/>
        <v>1191265.452187598</v>
      </c>
      <c r="K572" s="63">
        <f t="shared" si="231"/>
        <v>0</v>
      </c>
      <c r="L572" s="63">
        <f t="shared" si="231"/>
        <v>0</v>
      </c>
      <c r="M572" s="63">
        <f t="shared" si="231"/>
        <v>0</v>
      </c>
      <c r="N572" s="63">
        <f t="shared" si="231"/>
        <v>0</v>
      </c>
      <c r="O572" s="63">
        <f t="shared" si="231"/>
        <v>0</v>
      </c>
      <c r="P572" s="63">
        <f t="shared" si="231"/>
        <v>0</v>
      </c>
      <c r="Q572" s="63">
        <f t="shared" si="231"/>
        <v>0</v>
      </c>
      <c r="R572" s="63">
        <f t="shared" si="232"/>
        <v>0</v>
      </c>
      <c r="S572" s="63">
        <f t="shared" si="232"/>
        <v>0</v>
      </c>
      <c r="T572" s="63">
        <f t="shared" si="232"/>
        <v>0</v>
      </c>
      <c r="U572" s="63">
        <f t="shared" si="232"/>
        <v>0</v>
      </c>
      <c r="V572" s="63">
        <f t="shared" si="232"/>
        <v>0</v>
      </c>
      <c r="W572" s="63">
        <f t="shared" si="232"/>
        <v>0</v>
      </c>
      <c r="X572" s="63">
        <f t="shared" si="232"/>
        <v>0</v>
      </c>
      <c r="Y572" s="63">
        <f t="shared" si="232"/>
        <v>0</v>
      </c>
      <c r="Z572" s="63">
        <f t="shared" si="232"/>
        <v>0</v>
      </c>
      <c r="AA572" s="63">
        <f t="shared" si="232"/>
        <v>0</v>
      </c>
      <c r="AB572" s="63">
        <f t="shared" si="232"/>
        <v>0</v>
      </c>
      <c r="AC572" s="63">
        <f t="shared" si="232"/>
        <v>0</v>
      </c>
      <c r="AD572" s="63">
        <f t="shared" si="232"/>
        <v>0</v>
      </c>
      <c r="AE572" s="63">
        <f t="shared" si="232"/>
        <v>0</v>
      </c>
      <c r="AF572" s="63">
        <f t="shared" si="233"/>
        <v>4023932.7831582287</v>
      </c>
      <c r="AG572" s="58" t="str">
        <f t="shared" si="234"/>
        <v>ok</v>
      </c>
    </row>
    <row r="573" spans="1:33">
      <c r="A573" s="286" t="s">
        <v>312</v>
      </c>
      <c r="B573" s="60"/>
      <c r="C573" s="44" t="s">
        <v>36</v>
      </c>
      <c r="D573" s="44" t="s">
        <v>201</v>
      </c>
      <c r="F573" s="79">
        <v>16258222</v>
      </c>
      <c r="H573" s="63">
        <f t="shared" si="231"/>
        <v>5589597.9397533182</v>
      </c>
      <c r="I573" s="63">
        <f t="shared" si="231"/>
        <v>5855457.6317072697</v>
      </c>
      <c r="J573" s="63">
        <f t="shared" si="231"/>
        <v>4813166.428539414</v>
      </c>
      <c r="K573" s="63">
        <f t="shared" si="231"/>
        <v>0</v>
      </c>
      <c r="L573" s="63">
        <f t="shared" si="231"/>
        <v>0</v>
      </c>
      <c r="M573" s="63">
        <f t="shared" si="231"/>
        <v>0</v>
      </c>
      <c r="N573" s="63">
        <f t="shared" si="231"/>
        <v>0</v>
      </c>
      <c r="O573" s="63">
        <f t="shared" si="231"/>
        <v>0</v>
      </c>
      <c r="P573" s="63">
        <f t="shared" si="231"/>
        <v>0</v>
      </c>
      <c r="Q573" s="63">
        <f t="shared" si="231"/>
        <v>0</v>
      </c>
      <c r="R573" s="63">
        <f t="shared" si="232"/>
        <v>0</v>
      </c>
      <c r="S573" s="63">
        <f t="shared" si="232"/>
        <v>0</v>
      </c>
      <c r="T573" s="63">
        <f t="shared" si="232"/>
        <v>0</v>
      </c>
      <c r="U573" s="63">
        <f t="shared" si="232"/>
        <v>0</v>
      </c>
      <c r="V573" s="63">
        <f t="shared" si="232"/>
        <v>0</v>
      </c>
      <c r="W573" s="63">
        <f t="shared" si="232"/>
        <v>0</v>
      </c>
      <c r="X573" s="63">
        <f t="shared" si="232"/>
        <v>0</v>
      </c>
      <c r="Y573" s="63">
        <f t="shared" si="232"/>
        <v>0</v>
      </c>
      <c r="Z573" s="63">
        <f t="shared" si="232"/>
        <v>0</v>
      </c>
      <c r="AA573" s="63">
        <f t="shared" si="232"/>
        <v>0</v>
      </c>
      <c r="AB573" s="63">
        <f t="shared" si="232"/>
        <v>0</v>
      </c>
      <c r="AC573" s="63">
        <f t="shared" si="232"/>
        <v>0</v>
      </c>
      <c r="AD573" s="63">
        <f t="shared" si="232"/>
        <v>0</v>
      </c>
      <c r="AE573" s="63">
        <f t="shared" si="232"/>
        <v>0</v>
      </c>
      <c r="AF573" s="63">
        <f t="shared" si="233"/>
        <v>16258222.000000002</v>
      </c>
      <c r="AG573" s="58" t="str">
        <f t="shared" si="234"/>
        <v>ok</v>
      </c>
    </row>
    <row r="574" spans="1:33">
      <c r="A574" s="60" t="s">
        <v>315</v>
      </c>
      <c r="B574" s="60"/>
      <c r="C574" s="44" t="s">
        <v>37</v>
      </c>
      <c r="D574" s="44" t="s">
        <v>1161</v>
      </c>
      <c r="F574" s="79">
        <v>9613104.5034347512</v>
      </c>
      <c r="H574" s="63">
        <f t="shared" si="231"/>
        <v>0</v>
      </c>
      <c r="I574" s="63">
        <f t="shared" si="231"/>
        <v>0</v>
      </c>
      <c r="J574" s="63">
        <f t="shared" si="231"/>
        <v>0</v>
      </c>
      <c r="K574" s="63">
        <f t="shared" si="231"/>
        <v>0</v>
      </c>
      <c r="L574" s="63">
        <f t="shared" si="231"/>
        <v>0</v>
      </c>
      <c r="M574" s="63">
        <f t="shared" si="231"/>
        <v>0</v>
      </c>
      <c r="N574" s="63">
        <f t="shared" si="231"/>
        <v>9613104.5034347512</v>
      </c>
      <c r="O574" s="63">
        <f t="shared" si="231"/>
        <v>0</v>
      </c>
      <c r="P574" s="63">
        <f t="shared" si="231"/>
        <v>0</v>
      </c>
      <c r="Q574" s="63">
        <f t="shared" si="231"/>
        <v>0</v>
      </c>
      <c r="R574" s="63">
        <f t="shared" si="232"/>
        <v>0</v>
      </c>
      <c r="S574" s="63">
        <f t="shared" si="232"/>
        <v>0</v>
      </c>
      <c r="T574" s="63">
        <f t="shared" si="232"/>
        <v>0</v>
      </c>
      <c r="U574" s="63">
        <f t="shared" si="232"/>
        <v>0</v>
      </c>
      <c r="V574" s="63">
        <f t="shared" si="232"/>
        <v>0</v>
      </c>
      <c r="W574" s="63">
        <f t="shared" si="232"/>
        <v>0</v>
      </c>
      <c r="X574" s="63">
        <f t="shared" si="232"/>
        <v>0</v>
      </c>
      <c r="Y574" s="63">
        <f t="shared" si="232"/>
        <v>0</v>
      </c>
      <c r="Z574" s="63">
        <f t="shared" si="232"/>
        <v>0</v>
      </c>
      <c r="AA574" s="63">
        <f t="shared" si="232"/>
        <v>0</v>
      </c>
      <c r="AB574" s="63">
        <f t="shared" si="232"/>
        <v>0</v>
      </c>
      <c r="AC574" s="63">
        <f t="shared" si="232"/>
        <v>0</v>
      </c>
      <c r="AD574" s="63">
        <f t="shared" si="232"/>
        <v>0</v>
      </c>
      <c r="AE574" s="63">
        <f t="shared" si="232"/>
        <v>0</v>
      </c>
      <c r="AF574" s="63">
        <f t="shared" si="233"/>
        <v>9613104.5034347512</v>
      </c>
      <c r="AG574" s="58" t="str">
        <f t="shared" si="234"/>
        <v>ok</v>
      </c>
    </row>
    <row r="575" spans="1:33">
      <c r="A575" s="60" t="s">
        <v>316</v>
      </c>
      <c r="B575" s="60"/>
      <c r="C575" s="44" t="s">
        <v>38</v>
      </c>
      <c r="D575" s="44" t="s">
        <v>1161</v>
      </c>
      <c r="F575" s="79"/>
      <c r="H575" s="63">
        <f t="shared" si="231"/>
        <v>0</v>
      </c>
      <c r="I575" s="63">
        <f t="shared" si="231"/>
        <v>0</v>
      </c>
      <c r="J575" s="63">
        <f t="shared" si="231"/>
        <v>0</v>
      </c>
      <c r="K575" s="63">
        <f t="shared" si="231"/>
        <v>0</v>
      </c>
      <c r="L575" s="63">
        <f t="shared" si="231"/>
        <v>0</v>
      </c>
      <c r="M575" s="63">
        <f t="shared" si="231"/>
        <v>0</v>
      </c>
      <c r="N575" s="63">
        <f t="shared" si="231"/>
        <v>0</v>
      </c>
      <c r="O575" s="63">
        <f t="shared" si="231"/>
        <v>0</v>
      </c>
      <c r="P575" s="63">
        <f t="shared" si="231"/>
        <v>0</v>
      </c>
      <c r="Q575" s="63">
        <f t="shared" si="231"/>
        <v>0</v>
      </c>
      <c r="R575" s="63">
        <f t="shared" si="232"/>
        <v>0</v>
      </c>
      <c r="S575" s="63">
        <f t="shared" si="232"/>
        <v>0</v>
      </c>
      <c r="T575" s="63">
        <f t="shared" si="232"/>
        <v>0</v>
      </c>
      <c r="U575" s="63">
        <f t="shared" si="232"/>
        <v>0</v>
      </c>
      <c r="V575" s="63">
        <f t="shared" si="232"/>
        <v>0</v>
      </c>
      <c r="W575" s="63">
        <f t="shared" si="232"/>
        <v>0</v>
      </c>
      <c r="X575" s="63">
        <f t="shared" si="232"/>
        <v>0</v>
      </c>
      <c r="Y575" s="63">
        <f t="shared" si="232"/>
        <v>0</v>
      </c>
      <c r="Z575" s="63">
        <f t="shared" si="232"/>
        <v>0</v>
      </c>
      <c r="AA575" s="63">
        <f t="shared" si="232"/>
        <v>0</v>
      </c>
      <c r="AB575" s="63">
        <f t="shared" si="232"/>
        <v>0</v>
      </c>
      <c r="AC575" s="63">
        <f t="shared" si="232"/>
        <v>0</v>
      </c>
      <c r="AD575" s="63">
        <f t="shared" si="232"/>
        <v>0</v>
      </c>
      <c r="AE575" s="63">
        <f t="shared" si="232"/>
        <v>0</v>
      </c>
      <c r="AF575" s="63">
        <f t="shared" si="233"/>
        <v>0</v>
      </c>
      <c r="AG575" s="58" t="str">
        <f t="shared" si="234"/>
        <v>ok</v>
      </c>
    </row>
    <row r="576" spans="1:33">
      <c r="A576" s="60" t="s">
        <v>318</v>
      </c>
      <c r="B576" s="60"/>
      <c r="C576" s="44" t="s">
        <v>39</v>
      </c>
      <c r="D576" s="44" t="s">
        <v>935</v>
      </c>
      <c r="F576" s="79">
        <v>37717920.303745985</v>
      </c>
      <c r="H576" s="63">
        <f t="shared" si="231"/>
        <v>0</v>
      </c>
      <c r="I576" s="63">
        <f t="shared" si="231"/>
        <v>0</v>
      </c>
      <c r="J576" s="63">
        <f t="shared" si="231"/>
        <v>0</v>
      </c>
      <c r="K576" s="63">
        <f t="shared" si="231"/>
        <v>0</v>
      </c>
      <c r="L576" s="63">
        <f t="shared" si="231"/>
        <v>0</v>
      </c>
      <c r="M576" s="63">
        <f t="shared" si="231"/>
        <v>0</v>
      </c>
      <c r="N576" s="63">
        <f t="shared" si="231"/>
        <v>0</v>
      </c>
      <c r="O576" s="63">
        <f t="shared" si="231"/>
        <v>0</v>
      </c>
      <c r="P576" s="63">
        <f t="shared" si="231"/>
        <v>0</v>
      </c>
      <c r="Q576" s="63">
        <f t="shared" si="231"/>
        <v>0</v>
      </c>
      <c r="R576" s="63">
        <f t="shared" si="232"/>
        <v>4226004.5194951259</v>
      </c>
      <c r="S576" s="63">
        <f t="shared" si="232"/>
        <v>0</v>
      </c>
      <c r="T576" s="63">
        <f t="shared" si="232"/>
        <v>7226902.4154130509</v>
      </c>
      <c r="U576" s="63">
        <f t="shared" si="232"/>
        <v>11500687.748476405</v>
      </c>
      <c r="V576" s="63">
        <f t="shared" si="232"/>
        <v>1986702.6328084341</v>
      </c>
      <c r="W576" s="63">
        <f t="shared" si="232"/>
        <v>3019104.7062325925</v>
      </c>
      <c r="X576" s="63">
        <f t="shared" si="232"/>
        <v>2746222.4386343779</v>
      </c>
      <c r="Y576" s="63">
        <f t="shared" si="232"/>
        <v>1920577.1273085256</v>
      </c>
      <c r="Z576" s="63">
        <f t="shared" si="232"/>
        <v>953794.51169027481</v>
      </c>
      <c r="AA576" s="63">
        <f t="shared" si="232"/>
        <v>1106374.9922381977</v>
      </c>
      <c r="AB576" s="63">
        <f t="shared" si="232"/>
        <v>3031549.2114490019</v>
      </c>
      <c r="AC576" s="63">
        <f t="shared" si="232"/>
        <v>0</v>
      </c>
      <c r="AD576" s="63">
        <f t="shared" si="232"/>
        <v>0</v>
      </c>
      <c r="AE576" s="63">
        <f t="shared" si="232"/>
        <v>0</v>
      </c>
      <c r="AF576" s="63">
        <f t="shared" si="233"/>
        <v>37717920.303745992</v>
      </c>
      <c r="AG576" s="58" t="str">
        <f t="shared" si="234"/>
        <v>ok</v>
      </c>
    </row>
    <row r="577" spans="1:33">
      <c r="A577" s="68" t="s">
        <v>619</v>
      </c>
      <c r="B577" s="60"/>
      <c r="C577" s="44" t="s">
        <v>40</v>
      </c>
      <c r="D577" s="44" t="s">
        <v>958</v>
      </c>
      <c r="F577" s="79">
        <f>339019+19716379</f>
        <v>20055398</v>
      </c>
      <c r="H577" s="63">
        <f t="shared" si="231"/>
        <v>3867464.1916185524</v>
      </c>
      <c r="I577" s="63">
        <f t="shared" si="231"/>
        <v>4051413.5292469454</v>
      </c>
      <c r="J577" s="63">
        <f t="shared" si="231"/>
        <v>3330248.2595909671</v>
      </c>
      <c r="K577" s="63">
        <f t="shared" si="231"/>
        <v>0</v>
      </c>
      <c r="L577" s="63">
        <f t="shared" si="231"/>
        <v>0</v>
      </c>
      <c r="M577" s="63">
        <f t="shared" si="231"/>
        <v>0</v>
      </c>
      <c r="N577" s="63">
        <f t="shared" si="231"/>
        <v>2157673.8292246223</v>
      </c>
      <c r="O577" s="63">
        <f t="shared" si="231"/>
        <v>0</v>
      </c>
      <c r="P577" s="63">
        <f t="shared" si="231"/>
        <v>0</v>
      </c>
      <c r="Q577" s="63">
        <f t="shared" si="231"/>
        <v>0</v>
      </c>
      <c r="R577" s="63">
        <f t="shared" si="232"/>
        <v>744924.58158686874</v>
      </c>
      <c r="S577" s="63">
        <f t="shared" si="232"/>
        <v>0</v>
      </c>
      <c r="T577" s="63">
        <f t="shared" si="232"/>
        <v>1273897.6575003415</v>
      </c>
      <c r="U577" s="63">
        <f t="shared" si="232"/>
        <v>2027244.6395818139</v>
      </c>
      <c r="V577" s="63">
        <f t="shared" si="232"/>
        <v>350199.25337400247</v>
      </c>
      <c r="W577" s="63">
        <f t="shared" si="232"/>
        <v>532182.4195128748</v>
      </c>
      <c r="X577" s="63">
        <f t="shared" si="232"/>
        <v>484081.02537679829</v>
      </c>
      <c r="Y577" s="63">
        <f t="shared" si="232"/>
        <v>338543.20466664701</v>
      </c>
      <c r="Z577" s="63">
        <f t="shared" si="232"/>
        <v>168126.88539803377</v>
      </c>
      <c r="AA577" s="63">
        <f t="shared" si="232"/>
        <v>195022.49095315128</v>
      </c>
      <c r="AB577" s="63">
        <f t="shared" si="232"/>
        <v>534376.03236838046</v>
      </c>
      <c r="AC577" s="63">
        <f t="shared" si="232"/>
        <v>0</v>
      </c>
      <c r="AD577" s="63">
        <f t="shared" si="232"/>
        <v>0</v>
      </c>
      <c r="AE577" s="63">
        <f t="shared" si="232"/>
        <v>0</v>
      </c>
      <c r="AF577" s="63">
        <f t="shared" si="233"/>
        <v>20055398</v>
      </c>
      <c r="AG577" s="58" t="str">
        <f t="shared" si="234"/>
        <v>ok</v>
      </c>
    </row>
    <row r="578" spans="1:33">
      <c r="A578" s="68" t="s">
        <v>317</v>
      </c>
      <c r="B578" s="60"/>
      <c r="C578" s="44" t="s">
        <v>22</v>
      </c>
      <c r="D578" s="44" t="s">
        <v>937</v>
      </c>
      <c r="F578" s="79"/>
      <c r="H578" s="63">
        <f t="shared" si="231"/>
        <v>0</v>
      </c>
      <c r="I578" s="63">
        <f t="shared" si="231"/>
        <v>0</v>
      </c>
      <c r="J578" s="63">
        <f t="shared" si="231"/>
        <v>0</v>
      </c>
      <c r="K578" s="63">
        <f t="shared" si="231"/>
        <v>0</v>
      </c>
      <c r="L578" s="63">
        <f t="shared" si="231"/>
        <v>0</v>
      </c>
      <c r="M578" s="63">
        <f t="shared" si="231"/>
        <v>0</v>
      </c>
      <c r="N578" s="63">
        <f t="shared" si="231"/>
        <v>0</v>
      </c>
      <c r="O578" s="63">
        <f t="shared" si="231"/>
        <v>0</v>
      </c>
      <c r="P578" s="63">
        <f t="shared" si="231"/>
        <v>0</v>
      </c>
      <c r="Q578" s="63">
        <f t="shared" si="231"/>
        <v>0</v>
      </c>
      <c r="R578" s="63">
        <f t="shared" si="232"/>
        <v>0</v>
      </c>
      <c r="S578" s="63">
        <f t="shared" si="232"/>
        <v>0</v>
      </c>
      <c r="T578" s="63">
        <f t="shared" si="232"/>
        <v>0</v>
      </c>
      <c r="U578" s="63">
        <f t="shared" si="232"/>
        <v>0</v>
      </c>
      <c r="V578" s="63">
        <f t="shared" si="232"/>
        <v>0</v>
      </c>
      <c r="W578" s="63">
        <f t="shared" si="232"/>
        <v>0</v>
      </c>
      <c r="X578" s="63">
        <f t="shared" si="232"/>
        <v>0</v>
      </c>
      <c r="Y578" s="63">
        <f t="shared" si="232"/>
        <v>0</v>
      </c>
      <c r="Z578" s="63">
        <f t="shared" si="232"/>
        <v>0</v>
      </c>
      <c r="AA578" s="63">
        <f t="shared" si="232"/>
        <v>0</v>
      </c>
      <c r="AB578" s="63">
        <f t="shared" si="232"/>
        <v>0</v>
      </c>
      <c r="AC578" s="63">
        <f t="shared" si="232"/>
        <v>0</v>
      </c>
      <c r="AD578" s="63">
        <f t="shared" si="232"/>
        <v>0</v>
      </c>
      <c r="AE578" s="63">
        <f t="shared" si="232"/>
        <v>0</v>
      </c>
      <c r="AF578" s="63">
        <f t="shared" si="233"/>
        <v>0</v>
      </c>
      <c r="AG578" s="58" t="str">
        <f t="shared" si="234"/>
        <v>ok</v>
      </c>
    </row>
    <row r="579" spans="1:33">
      <c r="A579" s="60"/>
      <c r="B579" s="60"/>
      <c r="F579" s="79"/>
      <c r="AG579" s="58"/>
    </row>
    <row r="580" spans="1:33">
      <c r="A580" s="60" t="s">
        <v>1072</v>
      </c>
      <c r="B580" s="60"/>
      <c r="C580" s="44" t="s">
        <v>1073</v>
      </c>
      <c r="F580" s="76">
        <f>SUM(F571:F579)</f>
        <v>138842526.50563759</v>
      </c>
      <c r="H580" s="63">
        <f t="shared" ref="H580:M580" si="235">SUM(H571:H579)</f>
        <v>28434165.889731288</v>
      </c>
      <c r="I580" s="63">
        <f t="shared" si="235"/>
        <v>29786588.490764581</v>
      </c>
      <c r="J580" s="63">
        <f t="shared" si="235"/>
        <v>24484475.298417449</v>
      </c>
      <c r="K580" s="63">
        <f t="shared" si="235"/>
        <v>0</v>
      </c>
      <c r="L580" s="63">
        <f t="shared" si="235"/>
        <v>0</v>
      </c>
      <c r="M580" s="63">
        <f t="shared" si="235"/>
        <v>0</v>
      </c>
      <c r="N580" s="63">
        <f>SUM(N571:N579)</f>
        <v>11770778.332659373</v>
      </c>
      <c r="O580" s="63">
        <f>SUM(O571:O579)</f>
        <v>0</v>
      </c>
      <c r="P580" s="63">
        <f>SUM(P571:P579)</f>
        <v>0</v>
      </c>
      <c r="Q580" s="63">
        <f t="shared" ref="Q580:AB580" si="236">SUM(Q571:Q579)</f>
        <v>0</v>
      </c>
      <c r="R580" s="63">
        <f t="shared" si="236"/>
        <v>4970929.1010819944</v>
      </c>
      <c r="S580" s="63">
        <f t="shared" si="236"/>
        <v>0</v>
      </c>
      <c r="T580" s="63">
        <f t="shared" si="236"/>
        <v>8500800.0729133934</v>
      </c>
      <c r="U580" s="63">
        <f t="shared" si="236"/>
        <v>13527932.388058219</v>
      </c>
      <c r="V580" s="63">
        <f t="shared" si="236"/>
        <v>2336901.8861824367</v>
      </c>
      <c r="W580" s="63">
        <f t="shared" si="236"/>
        <v>3551287.1257454674</v>
      </c>
      <c r="X580" s="63">
        <f t="shared" si="236"/>
        <v>3230303.464011176</v>
      </c>
      <c r="Y580" s="63">
        <f t="shared" si="236"/>
        <v>2259120.3319751727</v>
      </c>
      <c r="Z580" s="63">
        <f t="shared" si="236"/>
        <v>1121921.3970883086</v>
      </c>
      <c r="AA580" s="63">
        <f t="shared" si="236"/>
        <v>1301397.4831913491</v>
      </c>
      <c r="AB580" s="63">
        <f t="shared" si="236"/>
        <v>3565925.2438173825</v>
      </c>
      <c r="AC580" s="63">
        <f>SUM(AC571:AC579)</f>
        <v>0</v>
      </c>
      <c r="AD580" s="63">
        <f>SUM(AD571:AD579)</f>
        <v>0</v>
      </c>
      <c r="AE580" s="63">
        <f>SUM(AE571:AE579)</f>
        <v>0</v>
      </c>
      <c r="AF580" s="63">
        <f>SUM(H580:AE580)</f>
        <v>138842526.50563762</v>
      </c>
      <c r="AG580" s="58" t="str">
        <f>IF(ABS(AF580-F580)&lt;1,"ok","err")</f>
        <v>ok</v>
      </c>
    </row>
    <row r="581" spans="1:33">
      <c r="A581" s="60"/>
      <c r="B581" s="60"/>
      <c r="F581" s="76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58"/>
    </row>
    <row r="582" spans="1:33" ht="15">
      <c r="A582" s="65" t="s">
        <v>759</v>
      </c>
      <c r="B582" s="60"/>
      <c r="F582" s="76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58"/>
    </row>
    <row r="583" spans="1:33" ht="15">
      <c r="A583" s="65"/>
      <c r="B583" s="60" t="s">
        <v>721</v>
      </c>
      <c r="C583" s="94" t="s">
        <v>760</v>
      </c>
      <c r="D583" s="44" t="s">
        <v>638</v>
      </c>
      <c r="F583" s="76">
        <v>0</v>
      </c>
      <c r="H583" s="63">
        <f t="shared" ref="H583:Q586" si="237">IF(VLOOKUP($D583,$C$6:$AE$653,H$2,)=0,0,((VLOOKUP($D583,$C$6:$AE$653,H$2,)/VLOOKUP($D583,$C$6:$AE$653,4,))*$F583))</f>
        <v>0</v>
      </c>
      <c r="I583" s="63">
        <f t="shared" si="237"/>
        <v>0</v>
      </c>
      <c r="J583" s="63">
        <f t="shared" si="237"/>
        <v>0</v>
      </c>
      <c r="K583" s="63">
        <f t="shared" si="237"/>
        <v>0</v>
      </c>
      <c r="L583" s="63">
        <f t="shared" si="237"/>
        <v>0</v>
      </c>
      <c r="M583" s="63">
        <f t="shared" si="237"/>
        <v>0</v>
      </c>
      <c r="N583" s="63">
        <f t="shared" si="237"/>
        <v>0</v>
      </c>
      <c r="O583" s="63">
        <f t="shared" si="237"/>
        <v>0</v>
      </c>
      <c r="P583" s="63">
        <f t="shared" si="237"/>
        <v>0</v>
      </c>
      <c r="Q583" s="63">
        <f t="shared" si="237"/>
        <v>0</v>
      </c>
      <c r="R583" s="63">
        <f t="shared" ref="R583:AE586" si="238">IF(VLOOKUP($D583,$C$6:$AE$653,R$2,)=0,0,((VLOOKUP($D583,$C$6:$AE$653,R$2,)/VLOOKUP($D583,$C$6:$AE$653,4,))*$F583))</f>
        <v>0</v>
      </c>
      <c r="S583" s="63">
        <f t="shared" si="238"/>
        <v>0</v>
      </c>
      <c r="T583" s="63">
        <f t="shared" si="238"/>
        <v>0</v>
      </c>
      <c r="U583" s="63">
        <f t="shared" si="238"/>
        <v>0</v>
      </c>
      <c r="V583" s="63">
        <f t="shared" si="238"/>
        <v>0</v>
      </c>
      <c r="W583" s="63">
        <f t="shared" si="238"/>
        <v>0</v>
      </c>
      <c r="X583" s="63">
        <f t="shared" si="238"/>
        <v>0</v>
      </c>
      <c r="Y583" s="63">
        <f t="shared" si="238"/>
        <v>0</v>
      </c>
      <c r="Z583" s="63">
        <f t="shared" si="238"/>
        <v>0</v>
      </c>
      <c r="AA583" s="63">
        <f t="shared" si="238"/>
        <v>0</v>
      </c>
      <c r="AB583" s="63">
        <f t="shared" si="238"/>
        <v>0</v>
      </c>
      <c r="AC583" s="63">
        <f t="shared" si="238"/>
        <v>0</v>
      </c>
      <c r="AD583" s="63">
        <f t="shared" si="238"/>
        <v>0</v>
      </c>
      <c r="AE583" s="63">
        <f t="shared" si="238"/>
        <v>0</v>
      </c>
      <c r="AF583" s="63">
        <f>SUM(H583:AE583)</f>
        <v>0</v>
      </c>
      <c r="AG583" s="58" t="str">
        <f>IF(ABS(AF583-F583)&lt;1,"ok","err")</f>
        <v>ok</v>
      </c>
    </row>
    <row r="584" spans="1:33" ht="15">
      <c r="A584" s="65"/>
      <c r="B584" s="60" t="s">
        <v>1130</v>
      </c>
      <c r="C584" s="94" t="s">
        <v>761</v>
      </c>
      <c r="D584" s="44" t="s">
        <v>1161</v>
      </c>
      <c r="F584" s="79">
        <v>0</v>
      </c>
      <c r="H584" s="63">
        <f t="shared" si="237"/>
        <v>0</v>
      </c>
      <c r="I584" s="63">
        <f t="shared" si="237"/>
        <v>0</v>
      </c>
      <c r="J584" s="63">
        <f t="shared" si="237"/>
        <v>0</v>
      </c>
      <c r="K584" s="63">
        <f t="shared" si="237"/>
        <v>0</v>
      </c>
      <c r="L584" s="63">
        <f t="shared" si="237"/>
        <v>0</v>
      </c>
      <c r="M584" s="63">
        <f t="shared" si="237"/>
        <v>0</v>
      </c>
      <c r="N584" s="63">
        <f t="shared" si="237"/>
        <v>0</v>
      </c>
      <c r="O584" s="63">
        <f t="shared" si="237"/>
        <v>0</v>
      </c>
      <c r="P584" s="63">
        <f t="shared" si="237"/>
        <v>0</v>
      </c>
      <c r="Q584" s="63">
        <f t="shared" si="237"/>
        <v>0</v>
      </c>
      <c r="R584" s="63">
        <f t="shared" si="238"/>
        <v>0</v>
      </c>
      <c r="S584" s="63">
        <f t="shared" si="238"/>
        <v>0</v>
      </c>
      <c r="T584" s="63">
        <f t="shared" si="238"/>
        <v>0</v>
      </c>
      <c r="U584" s="63">
        <f t="shared" si="238"/>
        <v>0</v>
      </c>
      <c r="V584" s="63">
        <f t="shared" si="238"/>
        <v>0</v>
      </c>
      <c r="W584" s="63">
        <f t="shared" si="238"/>
        <v>0</v>
      </c>
      <c r="X584" s="63">
        <f t="shared" si="238"/>
        <v>0</v>
      </c>
      <c r="Y584" s="63">
        <f t="shared" si="238"/>
        <v>0</v>
      </c>
      <c r="Z584" s="63">
        <f t="shared" si="238"/>
        <v>0</v>
      </c>
      <c r="AA584" s="63">
        <f t="shared" si="238"/>
        <v>0</v>
      </c>
      <c r="AB584" s="63">
        <f t="shared" si="238"/>
        <v>0</v>
      </c>
      <c r="AC584" s="63">
        <f t="shared" si="238"/>
        <v>0</v>
      </c>
      <c r="AD584" s="63">
        <f t="shared" si="238"/>
        <v>0</v>
      </c>
      <c r="AE584" s="63">
        <f t="shared" si="238"/>
        <v>0</v>
      </c>
      <c r="AF584" s="63">
        <f>SUM(H584:AE584)</f>
        <v>0</v>
      </c>
      <c r="AG584" s="58" t="str">
        <f>IF(ABS(AF584-F584)&lt;1,"ok","err")</f>
        <v>ok</v>
      </c>
    </row>
    <row r="585" spans="1:33" ht="15">
      <c r="A585" s="65"/>
      <c r="B585" s="60" t="s">
        <v>938</v>
      </c>
      <c r="C585" s="94" t="s">
        <v>762</v>
      </c>
      <c r="D585" s="44" t="s">
        <v>935</v>
      </c>
      <c r="F585" s="79">
        <v>0</v>
      </c>
      <c r="H585" s="63">
        <f t="shared" si="237"/>
        <v>0</v>
      </c>
      <c r="I585" s="63">
        <f t="shared" si="237"/>
        <v>0</v>
      </c>
      <c r="J585" s="63">
        <f t="shared" si="237"/>
        <v>0</v>
      </c>
      <c r="K585" s="63">
        <f t="shared" si="237"/>
        <v>0</v>
      </c>
      <c r="L585" s="63">
        <f t="shared" si="237"/>
        <v>0</v>
      </c>
      <c r="M585" s="63">
        <f t="shared" si="237"/>
        <v>0</v>
      </c>
      <c r="N585" s="63">
        <f t="shared" si="237"/>
        <v>0</v>
      </c>
      <c r="O585" s="63">
        <f t="shared" si="237"/>
        <v>0</v>
      </c>
      <c r="P585" s="63">
        <f t="shared" si="237"/>
        <v>0</v>
      </c>
      <c r="Q585" s="63">
        <f t="shared" si="237"/>
        <v>0</v>
      </c>
      <c r="R585" s="63">
        <f t="shared" si="238"/>
        <v>0</v>
      </c>
      <c r="S585" s="63">
        <f t="shared" si="238"/>
        <v>0</v>
      </c>
      <c r="T585" s="63">
        <f t="shared" si="238"/>
        <v>0</v>
      </c>
      <c r="U585" s="63">
        <f t="shared" si="238"/>
        <v>0</v>
      </c>
      <c r="V585" s="63">
        <f t="shared" si="238"/>
        <v>0</v>
      </c>
      <c r="W585" s="63">
        <f t="shared" si="238"/>
        <v>0</v>
      </c>
      <c r="X585" s="63">
        <f t="shared" si="238"/>
        <v>0</v>
      </c>
      <c r="Y585" s="63">
        <f t="shared" si="238"/>
        <v>0</v>
      </c>
      <c r="Z585" s="63">
        <f t="shared" si="238"/>
        <v>0</v>
      </c>
      <c r="AA585" s="63">
        <f t="shared" si="238"/>
        <v>0</v>
      </c>
      <c r="AB585" s="63">
        <f t="shared" si="238"/>
        <v>0</v>
      </c>
      <c r="AC585" s="63">
        <f t="shared" si="238"/>
        <v>0</v>
      </c>
      <c r="AD585" s="63">
        <f t="shared" si="238"/>
        <v>0</v>
      </c>
      <c r="AE585" s="63">
        <f t="shared" si="238"/>
        <v>0</v>
      </c>
      <c r="AF585" s="63">
        <f>SUM(H585:AE585)</f>
        <v>0</v>
      </c>
      <c r="AG585" s="58" t="str">
        <f>IF(ABS(AF585-F585)&lt;1,"ok","err")</f>
        <v>ok</v>
      </c>
    </row>
    <row r="586" spans="1:33" ht="15">
      <c r="A586" s="65"/>
      <c r="B586" s="60" t="s">
        <v>722</v>
      </c>
      <c r="C586" s="94" t="s">
        <v>763</v>
      </c>
      <c r="D586" s="44" t="s">
        <v>958</v>
      </c>
      <c r="F586" s="79">
        <v>0</v>
      </c>
      <c r="H586" s="63">
        <f t="shared" si="237"/>
        <v>0</v>
      </c>
      <c r="I586" s="63">
        <f t="shared" si="237"/>
        <v>0</v>
      </c>
      <c r="J586" s="63">
        <f t="shared" si="237"/>
        <v>0</v>
      </c>
      <c r="K586" s="63">
        <f t="shared" si="237"/>
        <v>0</v>
      </c>
      <c r="L586" s="63">
        <f t="shared" si="237"/>
        <v>0</v>
      </c>
      <c r="M586" s="63">
        <f t="shared" si="237"/>
        <v>0</v>
      </c>
      <c r="N586" s="63">
        <f t="shared" si="237"/>
        <v>0</v>
      </c>
      <c r="O586" s="63">
        <f t="shared" si="237"/>
        <v>0</v>
      </c>
      <c r="P586" s="63">
        <f t="shared" si="237"/>
        <v>0</v>
      </c>
      <c r="Q586" s="63">
        <f t="shared" si="237"/>
        <v>0</v>
      </c>
      <c r="R586" s="63">
        <f t="shared" si="238"/>
        <v>0</v>
      </c>
      <c r="S586" s="63">
        <f t="shared" si="238"/>
        <v>0</v>
      </c>
      <c r="T586" s="63">
        <f t="shared" si="238"/>
        <v>0</v>
      </c>
      <c r="U586" s="63">
        <f t="shared" si="238"/>
        <v>0</v>
      </c>
      <c r="V586" s="63">
        <f t="shared" si="238"/>
        <v>0</v>
      </c>
      <c r="W586" s="63">
        <f t="shared" si="238"/>
        <v>0</v>
      </c>
      <c r="X586" s="63">
        <f t="shared" si="238"/>
        <v>0</v>
      </c>
      <c r="Y586" s="63">
        <f t="shared" si="238"/>
        <v>0</v>
      </c>
      <c r="Z586" s="63">
        <f t="shared" si="238"/>
        <v>0</v>
      </c>
      <c r="AA586" s="63">
        <f t="shared" si="238"/>
        <v>0</v>
      </c>
      <c r="AB586" s="63">
        <f t="shared" si="238"/>
        <v>0</v>
      </c>
      <c r="AC586" s="63">
        <f t="shared" si="238"/>
        <v>0</v>
      </c>
      <c r="AD586" s="63">
        <f t="shared" si="238"/>
        <v>0</v>
      </c>
      <c r="AE586" s="63">
        <f t="shared" si="238"/>
        <v>0</v>
      </c>
      <c r="AF586" s="63">
        <f>SUM(H586:AE586)</f>
        <v>0</v>
      </c>
      <c r="AG586" s="58" t="str">
        <f>IF(ABS(AF586-F586)&lt;1,"ok","err")</f>
        <v>ok</v>
      </c>
    </row>
    <row r="587" spans="1:33" ht="15">
      <c r="A587" s="65"/>
      <c r="B587" s="60"/>
      <c r="F587" s="76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58"/>
    </row>
    <row r="588" spans="1:33">
      <c r="A588" s="60" t="s">
        <v>758</v>
      </c>
      <c r="B588" s="60"/>
      <c r="C588" s="94" t="s">
        <v>765</v>
      </c>
      <c r="F588" s="76">
        <f>SUM(F583:F587)</f>
        <v>0</v>
      </c>
      <c r="H588" s="62">
        <f t="shared" ref="H588:AE588" si="239">SUM(H583:H587)</f>
        <v>0</v>
      </c>
      <c r="I588" s="62">
        <f t="shared" si="239"/>
        <v>0</v>
      </c>
      <c r="J588" s="62">
        <f t="shared" si="239"/>
        <v>0</v>
      </c>
      <c r="K588" s="62">
        <f t="shared" si="239"/>
        <v>0</v>
      </c>
      <c r="L588" s="62">
        <f t="shared" si="239"/>
        <v>0</v>
      </c>
      <c r="M588" s="62">
        <f t="shared" si="239"/>
        <v>0</v>
      </c>
      <c r="N588" s="62">
        <f t="shared" si="239"/>
        <v>0</v>
      </c>
      <c r="O588" s="62">
        <f t="shared" si="239"/>
        <v>0</v>
      </c>
      <c r="P588" s="62">
        <f t="shared" si="239"/>
        <v>0</v>
      </c>
      <c r="Q588" s="62">
        <f t="shared" si="239"/>
        <v>0</v>
      </c>
      <c r="R588" s="62">
        <f t="shared" si="239"/>
        <v>0</v>
      </c>
      <c r="S588" s="62">
        <f t="shared" si="239"/>
        <v>0</v>
      </c>
      <c r="T588" s="62">
        <f t="shared" si="239"/>
        <v>0</v>
      </c>
      <c r="U588" s="62">
        <f t="shared" si="239"/>
        <v>0</v>
      </c>
      <c r="V588" s="62">
        <f t="shared" si="239"/>
        <v>0</v>
      </c>
      <c r="W588" s="62">
        <f t="shared" si="239"/>
        <v>0</v>
      </c>
      <c r="X588" s="62">
        <f t="shared" si="239"/>
        <v>0</v>
      </c>
      <c r="Y588" s="62">
        <f t="shared" si="239"/>
        <v>0</v>
      </c>
      <c r="Z588" s="62">
        <f t="shared" si="239"/>
        <v>0</v>
      </c>
      <c r="AA588" s="62">
        <f t="shared" si="239"/>
        <v>0</v>
      </c>
      <c r="AB588" s="62">
        <f t="shared" si="239"/>
        <v>0</v>
      </c>
      <c r="AC588" s="62">
        <f t="shared" si="239"/>
        <v>0</v>
      </c>
      <c r="AD588" s="62">
        <f t="shared" si="239"/>
        <v>0</v>
      </c>
      <c r="AE588" s="62">
        <f t="shared" si="239"/>
        <v>0</v>
      </c>
      <c r="AF588" s="63">
        <f>SUM(H588:AE588)</f>
        <v>0</v>
      </c>
      <c r="AG588" s="58" t="str">
        <f>IF(ABS(AF588-F588)&lt;1,"ok","err")</f>
        <v>ok</v>
      </c>
    </row>
    <row r="589" spans="1:33">
      <c r="A589" s="60"/>
      <c r="B589" s="60"/>
      <c r="F589" s="79"/>
      <c r="AG589" s="58"/>
    </row>
    <row r="590" spans="1:33" ht="15">
      <c r="A590" s="65" t="s">
        <v>728</v>
      </c>
      <c r="B590" s="60"/>
      <c r="F590" s="76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58"/>
    </row>
    <row r="591" spans="1:33" ht="15">
      <c r="A591" s="65"/>
      <c r="B591" s="60" t="s">
        <v>721</v>
      </c>
      <c r="C591" s="44" t="s">
        <v>729</v>
      </c>
      <c r="D591" s="44" t="s">
        <v>638</v>
      </c>
      <c r="F591" s="76">
        <v>0</v>
      </c>
      <c r="H591" s="63">
        <f t="shared" ref="H591:Q594" si="240">IF(VLOOKUP($D591,$C$6:$AE$653,H$2,)=0,0,((VLOOKUP($D591,$C$6:$AE$653,H$2,)/VLOOKUP($D591,$C$6:$AE$653,4,))*$F591))</f>
        <v>0</v>
      </c>
      <c r="I591" s="63">
        <f t="shared" si="240"/>
        <v>0</v>
      </c>
      <c r="J591" s="63">
        <f t="shared" si="240"/>
        <v>0</v>
      </c>
      <c r="K591" s="63">
        <f t="shared" si="240"/>
        <v>0</v>
      </c>
      <c r="L591" s="63">
        <f t="shared" si="240"/>
        <v>0</v>
      </c>
      <c r="M591" s="63">
        <f t="shared" si="240"/>
        <v>0</v>
      </c>
      <c r="N591" s="63">
        <f t="shared" si="240"/>
        <v>0</v>
      </c>
      <c r="O591" s="63">
        <f t="shared" si="240"/>
        <v>0</v>
      </c>
      <c r="P591" s="63">
        <f t="shared" si="240"/>
        <v>0</v>
      </c>
      <c r="Q591" s="63">
        <f t="shared" si="240"/>
        <v>0</v>
      </c>
      <c r="R591" s="63">
        <f t="shared" ref="R591:AE594" si="241">IF(VLOOKUP($D591,$C$6:$AE$653,R$2,)=0,0,((VLOOKUP($D591,$C$6:$AE$653,R$2,)/VLOOKUP($D591,$C$6:$AE$653,4,))*$F591))</f>
        <v>0</v>
      </c>
      <c r="S591" s="63">
        <f t="shared" si="241"/>
        <v>0</v>
      </c>
      <c r="T591" s="63">
        <f t="shared" si="241"/>
        <v>0</v>
      </c>
      <c r="U591" s="63">
        <f t="shared" si="241"/>
        <v>0</v>
      </c>
      <c r="V591" s="63">
        <f t="shared" si="241"/>
        <v>0</v>
      </c>
      <c r="W591" s="63">
        <f t="shared" si="241"/>
        <v>0</v>
      </c>
      <c r="X591" s="63">
        <f t="shared" si="241"/>
        <v>0</v>
      </c>
      <c r="Y591" s="63">
        <f t="shared" si="241"/>
        <v>0</v>
      </c>
      <c r="Z591" s="63">
        <f t="shared" si="241"/>
        <v>0</v>
      </c>
      <c r="AA591" s="63">
        <f t="shared" si="241"/>
        <v>0</v>
      </c>
      <c r="AB591" s="63">
        <f t="shared" si="241"/>
        <v>0</v>
      </c>
      <c r="AC591" s="63">
        <f t="shared" si="241"/>
        <v>0</v>
      </c>
      <c r="AD591" s="63">
        <f t="shared" si="241"/>
        <v>0</v>
      </c>
      <c r="AE591" s="63">
        <f t="shared" si="241"/>
        <v>0</v>
      </c>
      <c r="AF591" s="63">
        <f>SUM(H591:AE591)</f>
        <v>0</v>
      </c>
      <c r="AG591" s="58" t="str">
        <f>IF(ABS(AF591-F591)&lt;1,"ok","err")</f>
        <v>ok</v>
      </c>
    </row>
    <row r="592" spans="1:33" ht="15">
      <c r="A592" s="65"/>
      <c r="B592" s="60" t="s">
        <v>1130</v>
      </c>
      <c r="C592" s="44" t="s">
        <v>731</v>
      </c>
      <c r="D592" s="44" t="s">
        <v>1161</v>
      </c>
      <c r="F592" s="79">
        <v>0</v>
      </c>
      <c r="H592" s="63">
        <f t="shared" si="240"/>
        <v>0</v>
      </c>
      <c r="I592" s="63">
        <f t="shared" si="240"/>
        <v>0</v>
      </c>
      <c r="J592" s="63">
        <f t="shared" si="240"/>
        <v>0</v>
      </c>
      <c r="K592" s="63">
        <f t="shared" si="240"/>
        <v>0</v>
      </c>
      <c r="L592" s="63">
        <f t="shared" si="240"/>
        <v>0</v>
      </c>
      <c r="M592" s="63">
        <f t="shared" si="240"/>
        <v>0</v>
      </c>
      <c r="N592" s="63">
        <f t="shared" si="240"/>
        <v>0</v>
      </c>
      <c r="O592" s="63">
        <f t="shared" si="240"/>
        <v>0</v>
      </c>
      <c r="P592" s="63">
        <f t="shared" si="240"/>
        <v>0</v>
      </c>
      <c r="Q592" s="63">
        <f t="shared" si="240"/>
        <v>0</v>
      </c>
      <c r="R592" s="63">
        <f t="shared" si="241"/>
        <v>0</v>
      </c>
      <c r="S592" s="63">
        <f t="shared" si="241"/>
        <v>0</v>
      </c>
      <c r="T592" s="63">
        <f t="shared" si="241"/>
        <v>0</v>
      </c>
      <c r="U592" s="63">
        <f t="shared" si="241"/>
        <v>0</v>
      </c>
      <c r="V592" s="63">
        <f t="shared" si="241"/>
        <v>0</v>
      </c>
      <c r="W592" s="63">
        <f t="shared" si="241"/>
        <v>0</v>
      </c>
      <c r="X592" s="63">
        <f t="shared" si="241"/>
        <v>0</v>
      </c>
      <c r="Y592" s="63">
        <f t="shared" si="241"/>
        <v>0</v>
      </c>
      <c r="Z592" s="63">
        <f t="shared" si="241"/>
        <v>0</v>
      </c>
      <c r="AA592" s="63">
        <f t="shared" si="241"/>
        <v>0</v>
      </c>
      <c r="AB592" s="63">
        <f t="shared" si="241"/>
        <v>0</v>
      </c>
      <c r="AC592" s="63">
        <f t="shared" si="241"/>
        <v>0</v>
      </c>
      <c r="AD592" s="63">
        <f t="shared" si="241"/>
        <v>0</v>
      </c>
      <c r="AE592" s="63">
        <f t="shared" si="241"/>
        <v>0</v>
      </c>
      <c r="AF592" s="63">
        <f>SUM(H592:AE592)</f>
        <v>0</v>
      </c>
      <c r="AG592" s="58" t="str">
        <f>IF(ABS(AF592-F592)&lt;1,"ok","err")</f>
        <v>ok</v>
      </c>
    </row>
    <row r="593" spans="1:33" ht="15">
      <c r="A593" s="65"/>
      <c r="B593" s="60" t="s">
        <v>938</v>
      </c>
      <c r="C593" s="44" t="s">
        <v>730</v>
      </c>
      <c r="D593" s="44" t="s">
        <v>935</v>
      </c>
      <c r="F593" s="79">
        <v>0</v>
      </c>
      <c r="H593" s="63">
        <f t="shared" si="240"/>
        <v>0</v>
      </c>
      <c r="I593" s="63">
        <f t="shared" si="240"/>
        <v>0</v>
      </c>
      <c r="J593" s="63">
        <f t="shared" si="240"/>
        <v>0</v>
      </c>
      <c r="K593" s="63">
        <f t="shared" si="240"/>
        <v>0</v>
      </c>
      <c r="L593" s="63">
        <f t="shared" si="240"/>
        <v>0</v>
      </c>
      <c r="M593" s="63">
        <f t="shared" si="240"/>
        <v>0</v>
      </c>
      <c r="N593" s="63">
        <f t="shared" si="240"/>
        <v>0</v>
      </c>
      <c r="O593" s="63">
        <f t="shared" si="240"/>
        <v>0</v>
      </c>
      <c r="P593" s="63">
        <f t="shared" si="240"/>
        <v>0</v>
      </c>
      <c r="Q593" s="63">
        <f t="shared" si="240"/>
        <v>0</v>
      </c>
      <c r="R593" s="63">
        <f t="shared" si="241"/>
        <v>0</v>
      </c>
      <c r="S593" s="63">
        <f t="shared" si="241"/>
        <v>0</v>
      </c>
      <c r="T593" s="63">
        <f t="shared" si="241"/>
        <v>0</v>
      </c>
      <c r="U593" s="63">
        <f t="shared" si="241"/>
        <v>0</v>
      </c>
      <c r="V593" s="63">
        <f t="shared" si="241"/>
        <v>0</v>
      </c>
      <c r="W593" s="63">
        <f t="shared" si="241"/>
        <v>0</v>
      </c>
      <c r="X593" s="63">
        <f t="shared" si="241"/>
        <v>0</v>
      </c>
      <c r="Y593" s="63">
        <f t="shared" si="241"/>
        <v>0</v>
      </c>
      <c r="Z593" s="63">
        <f t="shared" si="241"/>
        <v>0</v>
      </c>
      <c r="AA593" s="63">
        <f t="shared" si="241"/>
        <v>0</v>
      </c>
      <c r="AB593" s="63">
        <f t="shared" si="241"/>
        <v>0</v>
      </c>
      <c r="AC593" s="63">
        <f t="shared" si="241"/>
        <v>0</v>
      </c>
      <c r="AD593" s="63">
        <f t="shared" si="241"/>
        <v>0</v>
      </c>
      <c r="AE593" s="63">
        <f t="shared" si="241"/>
        <v>0</v>
      </c>
      <c r="AF593" s="63">
        <f>SUM(H593:AE593)</f>
        <v>0</v>
      </c>
      <c r="AG593" s="58" t="str">
        <f>IF(ABS(AF593-F593)&lt;1,"ok","err")</f>
        <v>ok</v>
      </c>
    </row>
    <row r="594" spans="1:33" ht="15">
      <c r="A594" s="65"/>
      <c r="B594" s="60" t="s">
        <v>722</v>
      </c>
      <c r="C594" s="94" t="s">
        <v>764</v>
      </c>
      <c r="D594" s="44" t="s">
        <v>958</v>
      </c>
      <c r="F594" s="79">
        <v>0</v>
      </c>
      <c r="H594" s="63">
        <f t="shared" si="240"/>
        <v>0</v>
      </c>
      <c r="I594" s="63">
        <f t="shared" si="240"/>
        <v>0</v>
      </c>
      <c r="J594" s="63">
        <f t="shared" si="240"/>
        <v>0</v>
      </c>
      <c r="K594" s="63">
        <f t="shared" si="240"/>
        <v>0</v>
      </c>
      <c r="L594" s="63">
        <f t="shared" si="240"/>
        <v>0</v>
      </c>
      <c r="M594" s="63">
        <f t="shared" si="240"/>
        <v>0</v>
      </c>
      <c r="N594" s="63">
        <f t="shared" si="240"/>
        <v>0</v>
      </c>
      <c r="O594" s="63">
        <f t="shared" si="240"/>
        <v>0</v>
      </c>
      <c r="P594" s="63">
        <f t="shared" si="240"/>
        <v>0</v>
      </c>
      <c r="Q594" s="63">
        <f t="shared" si="240"/>
        <v>0</v>
      </c>
      <c r="R594" s="63">
        <f t="shared" si="241"/>
        <v>0</v>
      </c>
      <c r="S594" s="63">
        <f t="shared" si="241"/>
        <v>0</v>
      </c>
      <c r="T594" s="63">
        <f t="shared" si="241"/>
        <v>0</v>
      </c>
      <c r="U594" s="63">
        <f t="shared" si="241"/>
        <v>0</v>
      </c>
      <c r="V594" s="63">
        <f t="shared" si="241"/>
        <v>0</v>
      </c>
      <c r="W594" s="63">
        <f t="shared" si="241"/>
        <v>0</v>
      </c>
      <c r="X594" s="63">
        <f t="shared" si="241"/>
        <v>0</v>
      </c>
      <c r="Y594" s="63">
        <f t="shared" si="241"/>
        <v>0</v>
      </c>
      <c r="Z594" s="63">
        <f t="shared" si="241"/>
        <v>0</v>
      </c>
      <c r="AA594" s="63">
        <f t="shared" si="241"/>
        <v>0</v>
      </c>
      <c r="AB594" s="63">
        <f t="shared" si="241"/>
        <v>0</v>
      </c>
      <c r="AC594" s="63">
        <f t="shared" si="241"/>
        <v>0</v>
      </c>
      <c r="AD594" s="63">
        <f t="shared" si="241"/>
        <v>0</v>
      </c>
      <c r="AE594" s="63">
        <f t="shared" si="241"/>
        <v>0</v>
      </c>
      <c r="AF594" s="63">
        <f>SUM(H594:AE594)</f>
        <v>0</v>
      </c>
      <c r="AG594" s="58" t="str">
        <f>IF(ABS(AF594-F594)&lt;1,"ok","err")</f>
        <v>ok</v>
      </c>
    </row>
    <row r="595" spans="1:33" ht="15">
      <c r="A595" s="65"/>
      <c r="B595" s="60"/>
      <c r="F595" s="76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58"/>
    </row>
    <row r="596" spans="1:33">
      <c r="A596" s="60" t="s">
        <v>732</v>
      </c>
      <c r="B596" s="60"/>
      <c r="C596" s="44" t="s">
        <v>734</v>
      </c>
      <c r="F596" s="76">
        <f>SUM(F591:F595)</f>
        <v>0</v>
      </c>
      <c r="H596" s="62">
        <f>SUM(H591:H595)</f>
        <v>0</v>
      </c>
      <c r="I596" s="62">
        <f t="shared" ref="I596:W596" si="242">SUM(I591:I595)</f>
        <v>0</v>
      </c>
      <c r="J596" s="62">
        <f t="shared" si="242"/>
        <v>0</v>
      </c>
      <c r="K596" s="62">
        <f t="shared" si="242"/>
        <v>0</v>
      </c>
      <c r="L596" s="62">
        <f t="shared" si="242"/>
        <v>0</v>
      </c>
      <c r="M596" s="62">
        <f t="shared" si="242"/>
        <v>0</v>
      </c>
      <c r="N596" s="62">
        <f t="shared" si="242"/>
        <v>0</v>
      </c>
      <c r="O596" s="62">
        <f t="shared" si="242"/>
        <v>0</v>
      </c>
      <c r="P596" s="62">
        <f t="shared" si="242"/>
        <v>0</v>
      </c>
      <c r="Q596" s="62">
        <f t="shared" si="242"/>
        <v>0</v>
      </c>
      <c r="R596" s="62">
        <f t="shared" si="242"/>
        <v>0</v>
      </c>
      <c r="S596" s="62">
        <f t="shared" si="242"/>
        <v>0</v>
      </c>
      <c r="T596" s="62">
        <f t="shared" si="242"/>
        <v>0</v>
      </c>
      <c r="U596" s="62">
        <f t="shared" si="242"/>
        <v>0</v>
      </c>
      <c r="V596" s="62">
        <f t="shared" si="242"/>
        <v>0</v>
      </c>
      <c r="W596" s="62">
        <f t="shared" si="242"/>
        <v>0</v>
      </c>
      <c r="X596" s="62">
        <f t="shared" ref="X596:AE596" si="243">SUM(X591:X595)</f>
        <v>0</v>
      </c>
      <c r="Y596" s="62">
        <f t="shared" si="243"/>
        <v>0</v>
      </c>
      <c r="Z596" s="62">
        <f t="shared" si="243"/>
        <v>0</v>
      </c>
      <c r="AA596" s="62">
        <f t="shared" si="243"/>
        <v>0</v>
      </c>
      <c r="AB596" s="62">
        <f t="shared" si="243"/>
        <v>0</v>
      </c>
      <c r="AC596" s="62">
        <f t="shared" si="243"/>
        <v>0</v>
      </c>
      <c r="AD596" s="62">
        <f t="shared" si="243"/>
        <v>0</v>
      </c>
      <c r="AE596" s="62">
        <f t="shared" si="243"/>
        <v>0</v>
      </c>
      <c r="AF596" s="63">
        <f>SUM(H596:AE596)</f>
        <v>0</v>
      </c>
      <c r="AG596" s="58" t="str">
        <f>IF(ABS(AF596-F596)&lt;1,"ok","err")</f>
        <v>ok</v>
      </c>
    </row>
    <row r="597" spans="1:33">
      <c r="A597" s="60"/>
      <c r="B597" s="60"/>
      <c r="F597" s="79"/>
      <c r="AG597" s="58"/>
    </row>
    <row r="598" spans="1:33">
      <c r="A598" s="60" t="s">
        <v>636</v>
      </c>
      <c r="B598" s="60"/>
      <c r="C598" s="44" t="s">
        <v>1074</v>
      </c>
      <c r="D598" s="44" t="s">
        <v>968</v>
      </c>
      <c r="F598" s="76">
        <v>32529208.918825753</v>
      </c>
      <c r="H598" s="63">
        <f t="shared" ref="H598:AE598" si="244">IF(VLOOKUP($D598,$C$6:$AE$653,H$2,)=0,0,((VLOOKUP($D598,$C$6:$AE$653,H$2,)/VLOOKUP($D598,$C$6:$AE$653,4,))*$F598))</f>
        <v>6289766.8709144518</v>
      </c>
      <c r="I598" s="63">
        <f t="shared" si="244"/>
        <v>6588928.9038168211</v>
      </c>
      <c r="J598" s="63">
        <f t="shared" si="244"/>
        <v>5416077.3409332</v>
      </c>
      <c r="K598" s="63">
        <f t="shared" si="244"/>
        <v>0</v>
      </c>
      <c r="L598" s="63">
        <f t="shared" si="244"/>
        <v>0</v>
      </c>
      <c r="M598" s="63">
        <f t="shared" si="244"/>
        <v>0</v>
      </c>
      <c r="N598" s="63">
        <f t="shared" si="244"/>
        <v>3464936.7094208836</v>
      </c>
      <c r="O598" s="63">
        <f t="shared" si="244"/>
        <v>0</v>
      </c>
      <c r="P598" s="63">
        <f t="shared" si="244"/>
        <v>0</v>
      </c>
      <c r="Q598" s="63">
        <f t="shared" si="244"/>
        <v>0</v>
      </c>
      <c r="R598" s="63">
        <f t="shared" si="244"/>
        <v>1206640.0129257792</v>
      </c>
      <c r="S598" s="63">
        <f t="shared" si="244"/>
        <v>0</v>
      </c>
      <c r="T598" s="63">
        <f t="shared" si="244"/>
        <v>2063478.5371666257</v>
      </c>
      <c r="U598" s="63">
        <f t="shared" si="244"/>
        <v>3283761.2807699526</v>
      </c>
      <c r="V598" s="63">
        <f t="shared" si="244"/>
        <v>567258.00445145834</v>
      </c>
      <c r="W598" s="63">
        <f t="shared" si="244"/>
        <v>862037.06715107756</v>
      </c>
      <c r="X598" s="63">
        <f t="shared" si="244"/>
        <v>784121.70729214803</v>
      </c>
      <c r="Y598" s="63">
        <f t="shared" si="244"/>
        <v>548377.36188634671</v>
      </c>
      <c r="Z598" s="63">
        <f t="shared" si="244"/>
        <v>272334.4512778669</v>
      </c>
      <c r="AA598" s="63">
        <f t="shared" si="244"/>
        <v>315900.35665521439</v>
      </c>
      <c r="AB598" s="63">
        <f t="shared" si="244"/>
        <v>865590.31416392652</v>
      </c>
      <c r="AC598" s="63">
        <f t="shared" si="244"/>
        <v>0</v>
      </c>
      <c r="AD598" s="63">
        <f t="shared" si="244"/>
        <v>0</v>
      </c>
      <c r="AE598" s="63">
        <f t="shared" si="244"/>
        <v>0</v>
      </c>
      <c r="AF598" s="63">
        <f>SUM(H598:AE598)</f>
        <v>32529208.918825746</v>
      </c>
      <c r="AG598" s="58" t="str">
        <f>IF(ABS(AF598-F598)&lt;1,"ok","err")</f>
        <v>ok</v>
      </c>
    </row>
    <row r="599" spans="1:33">
      <c r="A599" s="60"/>
      <c r="B599" s="60"/>
      <c r="AG599" s="58"/>
    </row>
    <row r="600" spans="1:33">
      <c r="A600" s="60" t="s">
        <v>725</v>
      </c>
      <c r="B600" s="60"/>
      <c r="C600" s="44" t="s">
        <v>533</v>
      </c>
      <c r="D600" s="44" t="s">
        <v>968</v>
      </c>
      <c r="F600" s="76">
        <f>-1002535</f>
        <v>-1002535</v>
      </c>
      <c r="G600" s="62">
        <v>600157</v>
      </c>
      <c r="H600" s="63">
        <f t="shared" ref="H600:AE600" si="245">IF(VLOOKUP($D600,$C$6:$AE$653,H$2,)=0,0,((VLOOKUP($D600,$C$6:$AE$653,H$2,)/VLOOKUP($D600,$C$6:$AE$653,4,))*$F600))</f>
        <v>-193847.67227717277</v>
      </c>
      <c r="I600" s="63">
        <f t="shared" si="245"/>
        <v>-203067.70616745905</v>
      </c>
      <c r="J600" s="63">
        <f t="shared" si="245"/>
        <v>-166920.96972115582</v>
      </c>
      <c r="K600" s="63">
        <f t="shared" si="245"/>
        <v>0</v>
      </c>
      <c r="L600" s="63">
        <f t="shared" si="245"/>
        <v>0</v>
      </c>
      <c r="M600" s="63">
        <f t="shared" si="245"/>
        <v>0</v>
      </c>
      <c r="N600" s="63">
        <f t="shared" si="245"/>
        <v>-106787.72830435807</v>
      </c>
      <c r="O600" s="63">
        <f t="shared" si="245"/>
        <v>0</v>
      </c>
      <c r="P600" s="63">
        <f t="shared" si="245"/>
        <v>0</v>
      </c>
      <c r="Q600" s="63">
        <f t="shared" si="245"/>
        <v>0</v>
      </c>
      <c r="R600" s="63">
        <f t="shared" si="245"/>
        <v>-37188.080668584982</v>
      </c>
      <c r="S600" s="63">
        <f t="shared" si="245"/>
        <v>0</v>
      </c>
      <c r="T600" s="63">
        <f t="shared" si="245"/>
        <v>-63595.443111471155</v>
      </c>
      <c r="U600" s="63">
        <f t="shared" si="245"/>
        <v>-101203.98635674978</v>
      </c>
      <c r="V600" s="63">
        <f t="shared" si="245"/>
        <v>-17482.626304005174</v>
      </c>
      <c r="W600" s="63">
        <f t="shared" si="245"/>
        <v>-26567.579103227159</v>
      </c>
      <c r="X600" s="63">
        <f t="shared" si="245"/>
        <v>-24166.2641652864</v>
      </c>
      <c r="Y600" s="63">
        <f t="shared" si="245"/>
        <v>-16900.733733508026</v>
      </c>
      <c r="Z600" s="63">
        <f t="shared" si="245"/>
        <v>-8393.220375975623</v>
      </c>
      <c r="AA600" s="63">
        <f t="shared" si="245"/>
        <v>-9735.9011972790304</v>
      </c>
      <c r="AB600" s="63">
        <f t="shared" si="245"/>
        <v>-26677.088513766957</v>
      </c>
      <c r="AC600" s="63">
        <f t="shared" si="245"/>
        <v>0</v>
      </c>
      <c r="AD600" s="63">
        <f t="shared" si="245"/>
        <v>0</v>
      </c>
      <c r="AE600" s="63">
        <f t="shared" si="245"/>
        <v>0</v>
      </c>
      <c r="AF600" s="63">
        <f>SUM(H600:AE600)</f>
        <v>-1002535</v>
      </c>
      <c r="AG600" s="58" t="str">
        <f>IF(ABS(AF600-F600)&lt;1,"ok","err")</f>
        <v>ok</v>
      </c>
    </row>
    <row r="601" spans="1:33">
      <c r="A601" s="60"/>
      <c r="B601" s="60"/>
      <c r="W601" s="44"/>
    </row>
    <row r="602" spans="1:33">
      <c r="A602" s="60" t="s">
        <v>757</v>
      </c>
      <c r="B602" s="60"/>
      <c r="C602" s="44" t="s">
        <v>1075</v>
      </c>
      <c r="D602" s="44" t="s">
        <v>968</v>
      </c>
      <c r="F602" s="76">
        <v>0</v>
      </c>
      <c r="G602" s="62">
        <v>600157</v>
      </c>
      <c r="H602" s="63">
        <f t="shared" ref="H602:AE602" si="246">IF(VLOOKUP($D602,$C$6:$AE$653,H$2,)=0,0,((VLOOKUP($D602,$C$6:$AE$653,H$2,)/VLOOKUP($D602,$C$6:$AE$653,4,))*$F602))</f>
        <v>0</v>
      </c>
      <c r="I602" s="63">
        <f t="shared" si="246"/>
        <v>0</v>
      </c>
      <c r="J602" s="63">
        <f t="shared" si="246"/>
        <v>0</v>
      </c>
      <c r="K602" s="63">
        <f t="shared" si="246"/>
        <v>0</v>
      </c>
      <c r="L602" s="63">
        <f t="shared" si="246"/>
        <v>0</v>
      </c>
      <c r="M602" s="63">
        <f t="shared" si="246"/>
        <v>0</v>
      </c>
      <c r="N602" s="63">
        <f t="shared" si="246"/>
        <v>0</v>
      </c>
      <c r="O602" s="63">
        <f t="shared" si="246"/>
        <v>0</v>
      </c>
      <c r="P602" s="63">
        <f t="shared" si="246"/>
        <v>0</v>
      </c>
      <c r="Q602" s="63">
        <f t="shared" si="246"/>
        <v>0</v>
      </c>
      <c r="R602" s="63">
        <f t="shared" si="246"/>
        <v>0</v>
      </c>
      <c r="S602" s="63">
        <f t="shared" si="246"/>
        <v>0</v>
      </c>
      <c r="T602" s="63">
        <f t="shared" si="246"/>
        <v>0</v>
      </c>
      <c r="U602" s="63">
        <f t="shared" si="246"/>
        <v>0</v>
      </c>
      <c r="V602" s="63">
        <f t="shared" si="246"/>
        <v>0</v>
      </c>
      <c r="W602" s="63">
        <f t="shared" si="246"/>
        <v>0</v>
      </c>
      <c r="X602" s="63">
        <f t="shared" si="246"/>
        <v>0</v>
      </c>
      <c r="Y602" s="63">
        <f t="shared" si="246"/>
        <v>0</v>
      </c>
      <c r="Z602" s="63">
        <f t="shared" si="246"/>
        <v>0</v>
      </c>
      <c r="AA602" s="63">
        <f t="shared" si="246"/>
        <v>0</v>
      </c>
      <c r="AB602" s="63">
        <f t="shared" si="246"/>
        <v>0</v>
      </c>
      <c r="AC602" s="63">
        <f t="shared" si="246"/>
        <v>0</v>
      </c>
      <c r="AD602" s="63">
        <f t="shared" si="246"/>
        <v>0</v>
      </c>
      <c r="AE602" s="63">
        <f t="shared" si="246"/>
        <v>0</v>
      </c>
      <c r="AF602" s="63">
        <f>SUM(H602:AE602)</f>
        <v>0</v>
      </c>
      <c r="AG602" s="58" t="str">
        <f>IF(ABS(AF602-F602)&lt;1,"ok","err")</f>
        <v>ok</v>
      </c>
    </row>
    <row r="603" spans="1:33">
      <c r="A603" s="60"/>
      <c r="B603" s="60"/>
      <c r="W603" s="44"/>
    </row>
    <row r="604" spans="1:33">
      <c r="A604" s="60" t="s">
        <v>872</v>
      </c>
      <c r="B604" s="60"/>
      <c r="C604" s="44" t="s">
        <v>1076</v>
      </c>
      <c r="D604" s="44" t="s">
        <v>968</v>
      </c>
      <c r="F604" s="76">
        <v>62185554.183806494</v>
      </c>
      <c r="H604" s="63">
        <f t="shared" ref="H604:AE604" si="247">IF(VLOOKUP($D604,$C$6:$AE$653,H$2,)=0,0,((VLOOKUP($D604,$C$6:$AE$653,H$2,)/VLOOKUP($D604,$C$6:$AE$653,4,))*$F604))</f>
        <v>12024043.976316927</v>
      </c>
      <c r="I604" s="63">
        <f t="shared" si="247"/>
        <v>12595947.11891138</v>
      </c>
      <c r="J604" s="63">
        <f t="shared" si="247"/>
        <v>10353826.057951551</v>
      </c>
      <c r="K604" s="63">
        <f t="shared" si="247"/>
        <v>0</v>
      </c>
      <c r="L604" s="63">
        <f t="shared" si="247"/>
        <v>0</v>
      </c>
      <c r="M604" s="63">
        <f t="shared" si="247"/>
        <v>0</v>
      </c>
      <c r="N604" s="63">
        <f t="shared" si="247"/>
        <v>6623862.5730136754</v>
      </c>
      <c r="O604" s="63">
        <f t="shared" si="247"/>
        <v>0</v>
      </c>
      <c r="P604" s="63">
        <f t="shared" si="247"/>
        <v>0</v>
      </c>
      <c r="Q604" s="63">
        <f t="shared" si="247"/>
        <v>0</v>
      </c>
      <c r="R604" s="63">
        <f t="shared" si="247"/>
        <v>2306713.8857077891</v>
      </c>
      <c r="S604" s="63">
        <f t="shared" si="247"/>
        <v>0</v>
      </c>
      <c r="T604" s="63">
        <f t="shared" si="247"/>
        <v>3944718.0132878879</v>
      </c>
      <c r="U604" s="63">
        <f t="shared" si="247"/>
        <v>6277512.483060318</v>
      </c>
      <c r="V604" s="63">
        <f t="shared" si="247"/>
        <v>1084417.8061643278</v>
      </c>
      <c r="W604" s="63">
        <f t="shared" si="247"/>
        <v>1647942.0966413119</v>
      </c>
      <c r="X604" s="63">
        <f t="shared" si="247"/>
        <v>1498992.5834714985</v>
      </c>
      <c r="Y604" s="63">
        <f t="shared" si="247"/>
        <v>1048323.9920114006</v>
      </c>
      <c r="Z604" s="63">
        <f t="shared" si="247"/>
        <v>520617.29562245787</v>
      </c>
      <c r="AA604" s="63">
        <f t="shared" si="247"/>
        <v>603901.52107565489</v>
      </c>
      <c r="AB604" s="63">
        <f t="shared" si="247"/>
        <v>1654734.7805703112</v>
      </c>
      <c r="AC604" s="63">
        <f t="shared" si="247"/>
        <v>0</v>
      </c>
      <c r="AD604" s="63">
        <f t="shared" si="247"/>
        <v>0</v>
      </c>
      <c r="AE604" s="63">
        <f t="shared" si="247"/>
        <v>0</v>
      </c>
      <c r="AF604" s="63">
        <f>SUM(H604:AE604)</f>
        <v>62185554.183806486</v>
      </c>
      <c r="AG604" s="58" t="str">
        <f>IF(ABS(AF604-F604)&lt;1,"ok","err")</f>
        <v>ok</v>
      </c>
    </row>
    <row r="605" spans="1:33">
      <c r="A605" s="60"/>
      <c r="B605" s="60"/>
      <c r="F605" s="76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58"/>
    </row>
    <row r="606" spans="1:33">
      <c r="A606" s="60" t="s">
        <v>1077</v>
      </c>
      <c r="B606" s="60"/>
      <c r="C606" s="44" t="s">
        <v>1078</v>
      </c>
      <c r="D606" s="44" t="s">
        <v>968</v>
      </c>
      <c r="F606" s="76">
        <v>0</v>
      </c>
      <c r="H606" s="63">
        <f t="shared" ref="H606:AE606" si="248">IF(VLOOKUP($D606,$C$6:$AE$653,H$2,)=0,0,((VLOOKUP($D606,$C$6:$AE$653,H$2,)/VLOOKUP($D606,$C$6:$AE$653,4,))*$F606))</f>
        <v>0</v>
      </c>
      <c r="I606" s="63">
        <f t="shared" si="248"/>
        <v>0</v>
      </c>
      <c r="J606" s="63">
        <f t="shared" si="248"/>
        <v>0</v>
      </c>
      <c r="K606" s="63">
        <f t="shared" si="248"/>
        <v>0</v>
      </c>
      <c r="L606" s="63">
        <f t="shared" si="248"/>
        <v>0</v>
      </c>
      <c r="M606" s="63">
        <f t="shared" si="248"/>
        <v>0</v>
      </c>
      <c r="N606" s="63">
        <f t="shared" si="248"/>
        <v>0</v>
      </c>
      <c r="O606" s="63">
        <f t="shared" si="248"/>
        <v>0</v>
      </c>
      <c r="P606" s="63">
        <f t="shared" si="248"/>
        <v>0</v>
      </c>
      <c r="Q606" s="63">
        <f t="shared" si="248"/>
        <v>0</v>
      </c>
      <c r="R606" s="63">
        <f t="shared" si="248"/>
        <v>0</v>
      </c>
      <c r="S606" s="63">
        <f t="shared" si="248"/>
        <v>0</v>
      </c>
      <c r="T606" s="63">
        <f t="shared" si="248"/>
        <v>0</v>
      </c>
      <c r="U606" s="63">
        <f t="shared" si="248"/>
        <v>0</v>
      </c>
      <c r="V606" s="63">
        <f t="shared" si="248"/>
        <v>0</v>
      </c>
      <c r="W606" s="63">
        <f t="shared" si="248"/>
        <v>0</v>
      </c>
      <c r="X606" s="63">
        <f t="shared" si="248"/>
        <v>0</v>
      </c>
      <c r="Y606" s="63">
        <f t="shared" si="248"/>
        <v>0</v>
      </c>
      <c r="Z606" s="63">
        <f t="shared" si="248"/>
        <v>0</v>
      </c>
      <c r="AA606" s="63">
        <f t="shared" si="248"/>
        <v>0</v>
      </c>
      <c r="AB606" s="63">
        <f t="shared" si="248"/>
        <v>0</v>
      </c>
      <c r="AC606" s="63">
        <f t="shared" si="248"/>
        <v>0</v>
      </c>
      <c r="AD606" s="63">
        <f t="shared" si="248"/>
        <v>0</v>
      </c>
      <c r="AE606" s="63">
        <f t="shared" si="248"/>
        <v>0</v>
      </c>
      <c r="AF606" s="63">
        <f>SUM(H606:AE606)</f>
        <v>0</v>
      </c>
      <c r="AG606" s="58" t="str">
        <f>IF(ABS(AF606-F606)&lt;1,"ok","err")</f>
        <v>ok</v>
      </c>
    </row>
    <row r="607" spans="1:33">
      <c r="A607" s="60"/>
      <c r="B607" s="60"/>
      <c r="AF607" s="63"/>
      <c r="AG607" s="58"/>
    </row>
    <row r="608" spans="1:33" ht="15">
      <c r="A608" s="65" t="s">
        <v>1079</v>
      </c>
      <c r="B608" s="60"/>
      <c r="C608" s="44" t="s">
        <v>1080</v>
      </c>
      <c r="F608" s="80">
        <f>F580+F588+F596+F598+F600+F602+F604+F606</f>
        <v>232554754.60826981</v>
      </c>
      <c r="G608" s="64"/>
      <c r="H608" s="80">
        <f t="shared" ref="H608:AE608" si="249">H580+H588+H596+H598+H600+H602+H604+H606</f>
        <v>46554129.064685494</v>
      </c>
      <c r="I608" s="80">
        <f t="shared" si="249"/>
        <v>48768396.807325318</v>
      </c>
      <c r="J608" s="80">
        <f t="shared" si="249"/>
        <v>40087457.727581039</v>
      </c>
      <c r="K608" s="80">
        <f t="shared" si="249"/>
        <v>0</v>
      </c>
      <c r="L608" s="80">
        <f t="shared" si="249"/>
        <v>0</v>
      </c>
      <c r="M608" s="80">
        <f t="shared" si="249"/>
        <v>0</v>
      </c>
      <c r="N608" s="80">
        <f t="shared" si="249"/>
        <v>21752789.886789575</v>
      </c>
      <c r="O608" s="80">
        <f t="shared" si="249"/>
        <v>0</v>
      </c>
      <c r="P608" s="80">
        <f t="shared" si="249"/>
        <v>0</v>
      </c>
      <c r="Q608" s="80">
        <f t="shared" si="249"/>
        <v>0</v>
      </c>
      <c r="R608" s="80">
        <f t="shared" si="249"/>
        <v>8447094.9190469775</v>
      </c>
      <c r="S608" s="80">
        <f t="shared" si="249"/>
        <v>0</v>
      </c>
      <c r="T608" s="80">
        <f t="shared" si="249"/>
        <v>14445401.180256434</v>
      </c>
      <c r="U608" s="80">
        <f t="shared" si="249"/>
        <v>22988002.16553174</v>
      </c>
      <c r="V608" s="80">
        <f t="shared" si="249"/>
        <v>3971095.0704942178</v>
      </c>
      <c r="W608" s="80">
        <f t="shared" si="249"/>
        <v>6034698.7104346305</v>
      </c>
      <c r="X608" s="80">
        <f t="shared" si="249"/>
        <v>5489251.4906095359</v>
      </c>
      <c r="Y608" s="80">
        <f t="shared" si="249"/>
        <v>3838920.9521394121</v>
      </c>
      <c r="Z608" s="80">
        <f t="shared" si="249"/>
        <v>1906479.9236126579</v>
      </c>
      <c r="AA608" s="80">
        <f t="shared" si="249"/>
        <v>2211463.4597249394</v>
      </c>
      <c r="AB608" s="80">
        <f t="shared" si="249"/>
        <v>6059573.2500378527</v>
      </c>
      <c r="AC608" s="80">
        <f t="shared" si="249"/>
        <v>0</v>
      </c>
      <c r="AD608" s="80">
        <f t="shared" si="249"/>
        <v>0</v>
      </c>
      <c r="AE608" s="80">
        <f t="shared" si="249"/>
        <v>0</v>
      </c>
      <c r="AF608" s="63">
        <f>SUM(H608:AE608)</f>
        <v>232554754.60826975</v>
      </c>
      <c r="AG608" s="58" t="str">
        <f>IF(ABS(AF608-F608)&lt;1,"ok","err")</f>
        <v>ok</v>
      </c>
    </row>
    <row r="609" spans="1:34">
      <c r="A609" s="60"/>
      <c r="B609" s="60"/>
      <c r="AG609" s="58"/>
    </row>
    <row r="610" spans="1:34" ht="15">
      <c r="A610" s="65" t="s">
        <v>1160</v>
      </c>
      <c r="B610" s="60"/>
      <c r="F610" s="80">
        <f>F333+F608</f>
        <v>918176657.42650473</v>
      </c>
      <c r="G610" s="64">
        <f t="shared" ref="G610:AE610" si="250">G333+G608</f>
        <v>0</v>
      </c>
      <c r="H610" s="64">
        <f t="shared" si="250"/>
        <v>79777528.757929891</v>
      </c>
      <c r="I610" s="64">
        <f t="shared" si="250"/>
        <v>83572010.838579655</v>
      </c>
      <c r="J610" s="64">
        <f t="shared" si="250"/>
        <v>68695911.102767408</v>
      </c>
      <c r="K610" s="64">
        <f t="shared" si="250"/>
        <v>465540988.35893065</v>
      </c>
      <c r="L610" s="64">
        <f t="shared" si="250"/>
        <v>0</v>
      </c>
      <c r="M610" s="64">
        <f t="shared" si="250"/>
        <v>0</v>
      </c>
      <c r="N610" s="64">
        <f t="shared" si="250"/>
        <v>43904484.438644156</v>
      </c>
      <c r="O610" s="64">
        <f t="shared" si="250"/>
        <v>0</v>
      </c>
      <c r="P610" s="64">
        <f t="shared" si="250"/>
        <v>0</v>
      </c>
      <c r="Q610" s="64">
        <f t="shared" si="250"/>
        <v>0</v>
      </c>
      <c r="R610" s="64">
        <f t="shared" si="250"/>
        <v>16636359.393299256</v>
      </c>
      <c r="S610" s="64">
        <f t="shared" si="250"/>
        <v>0</v>
      </c>
      <c r="T610" s="64">
        <f t="shared" si="250"/>
        <v>28675558.858074948</v>
      </c>
      <c r="U610" s="64">
        <f t="shared" si="250"/>
        <v>44288718.517956272</v>
      </c>
      <c r="V610" s="64">
        <f t="shared" si="250"/>
        <v>8756585.0862900466</v>
      </c>
      <c r="W610" s="64">
        <f t="shared" si="250"/>
        <v>13064839.318581827</v>
      </c>
      <c r="X610" s="64">
        <f t="shared" si="250"/>
        <v>6609247.6826758962</v>
      </c>
      <c r="Y610" s="64">
        <f t="shared" si="250"/>
        <v>4622192.9256307334</v>
      </c>
      <c r="Z610" s="64">
        <f t="shared" si="250"/>
        <v>2202288.5573496805</v>
      </c>
      <c r="AA610" s="64">
        <f t="shared" si="250"/>
        <v>19382672.083369117</v>
      </c>
      <c r="AB610" s="64">
        <f t="shared" si="250"/>
        <v>7365717.8079636944</v>
      </c>
      <c r="AC610" s="64">
        <f t="shared" si="250"/>
        <v>20585101.39846275</v>
      </c>
      <c r="AD610" s="64">
        <f t="shared" si="250"/>
        <v>4496452.299998587</v>
      </c>
      <c r="AE610" s="64">
        <f t="shared" si="250"/>
        <v>0</v>
      </c>
      <c r="AF610" s="63">
        <f>SUM(H610:AE610)</f>
        <v>918176657.42650449</v>
      </c>
      <c r="AG610" s="58" t="str">
        <f>IF(ABS(AF610-F610)&lt;1,"ok","err")</f>
        <v>ok</v>
      </c>
    </row>
    <row r="611" spans="1:34">
      <c r="A611" s="60"/>
      <c r="B611" s="60"/>
      <c r="AG611" s="58"/>
    </row>
    <row r="612" spans="1:34">
      <c r="A612" s="60"/>
      <c r="B612" s="60"/>
      <c r="AG612" s="58"/>
    </row>
    <row r="613" spans="1:34" s="60" customFormat="1">
      <c r="F613" s="79"/>
      <c r="W613" s="77"/>
      <c r="AG613" s="93"/>
    </row>
    <row r="614" spans="1:34" s="60" customFormat="1" ht="15">
      <c r="A614" s="59" t="s">
        <v>1344</v>
      </c>
      <c r="W614" s="77"/>
      <c r="AG614" s="93"/>
    </row>
    <row r="615" spans="1:34" s="60" customFormat="1">
      <c r="W615" s="77"/>
      <c r="AG615" s="93"/>
    </row>
    <row r="616" spans="1:34" s="60" customFormat="1">
      <c r="A616" s="60" t="s">
        <v>923</v>
      </c>
      <c r="C616" s="60" t="s">
        <v>940</v>
      </c>
      <c r="F616" s="81">
        <v>1</v>
      </c>
      <c r="G616" s="81"/>
      <c r="H616" s="229">
        <v>0</v>
      </c>
      <c r="I616" s="229">
        <v>0</v>
      </c>
      <c r="J616" s="229">
        <v>0</v>
      </c>
      <c r="K616" s="229">
        <v>0</v>
      </c>
      <c r="L616" s="229">
        <v>0</v>
      </c>
      <c r="M616" s="229">
        <v>0</v>
      </c>
      <c r="N616" s="229">
        <v>0</v>
      </c>
      <c r="O616" s="229">
        <v>0</v>
      </c>
      <c r="P616" s="229">
        <v>0</v>
      </c>
      <c r="Q616" s="229">
        <v>0</v>
      </c>
      <c r="R616" s="229">
        <v>1</v>
      </c>
      <c r="S616" s="229">
        <v>0</v>
      </c>
      <c r="T616" s="229">
        <v>0</v>
      </c>
      <c r="U616" s="229">
        <v>0</v>
      </c>
      <c r="V616" s="229">
        <v>0</v>
      </c>
      <c r="W616" s="229">
        <v>0</v>
      </c>
      <c r="X616" s="81">
        <v>0</v>
      </c>
      <c r="Y616" s="81">
        <v>0</v>
      </c>
      <c r="Z616" s="81">
        <v>0</v>
      </c>
      <c r="AA616" s="81">
        <v>0</v>
      </c>
      <c r="AB616" s="81">
        <v>0</v>
      </c>
      <c r="AC616" s="81">
        <v>0</v>
      </c>
      <c r="AD616" s="81">
        <v>0</v>
      </c>
      <c r="AE616" s="81">
        <v>0</v>
      </c>
      <c r="AF616" s="229">
        <f>SUM(H616:AE616)</f>
        <v>1</v>
      </c>
      <c r="AG616" s="93" t="str">
        <f t="shared" ref="AG616:AG640" si="251">IF(ABS(AF616-F616)&lt;0.0000001,"ok","err")</f>
        <v>ok</v>
      </c>
    </row>
    <row r="617" spans="1:34" s="60" customFormat="1">
      <c r="A617" s="60" t="s">
        <v>1081</v>
      </c>
      <c r="C617" s="60" t="s">
        <v>941</v>
      </c>
      <c r="F617" s="81">
        <v>1</v>
      </c>
      <c r="G617" s="81"/>
      <c r="H617" s="229">
        <v>0</v>
      </c>
      <c r="I617" s="229">
        <v>0</v>
      </c>
      <c r="J617" s="229">
        <v>0</v>
      </c>
      <c r="K617" s="229">
        <v>0</v>
      </c>
      <c r="L617" s="229">
        <v>0</v>
      </c>
      <c r="M617" s="229">
        <v>0</v>
      </c>
      <c r="N617" s="229">
        <v>0</v>
      </c>
      <c r="O617" s="229">
        <v>0</v>
      </c>
      <c r="P617" s="229">
        <v>0</v>
      </c>
      <c r="Q617" s="229">
        <v>0</v>
      </c>
      <c r="R617" s="229">
        <v>0</v>
      </c>
      <c r="S617" s="229">
        <v>0</v>
      </c>
      <c r="T617" s="229">
        <f>0.4081*0.7318</f>
        <v>0.29864758000000002</v>
      </c>
      <c r="U617" s="229">
        <f>0.5919*0.7318</f>
        <v>0.43315241999999998</v>
      </c>
      <c r="V617" s="229">
        <f>0.4081*0.2682</f>
        <v>0.10945242000000001</v>
      </c>
      <c r="W617" s="229">
        <f>0.5919*0.2682</f>
        <v>0.15874758</v>
      </c>
      <c r="X617" s="81">
        <v>0</v>
      </c>
      <c r="Y617" s="81">
        <v>0</v>
      </c>
      <c r="Z617" s="81">
        <v>0</v>
      </c>
      <c r="AA617" s="81">
        <v>0</v>
      </c>
      <c r="AB617" s="81">
        <v>0</v>
      </c>
      <c r="AC617" s="81">
        <v>0</v>
      </c>
      <c r="AD617" s="81">
        <v>0</v>
      </c>
      <c r="AE617" s="81">
        <v>0</v>
      </c>
      <c r="AF617" s="229">
        <f t="shared" ref="AF617:AF625" si="252">SUM(H617:AE617)</f>
        <v>1</v>
      </c>
      <c r="AG617" s="93" t="str">
        <f t="shared" si="251"/>
        <v>ok</v>
      </c>
    </row>
    <row r="618" spans="1:34" s="60" customFormat="1">
      <c r="A618" s="60" t="s">
        <v>1082</v>
      </c>
      <c r="C618" s="60" t="s">
        <v>943</v>
      </c>
      <c r="F618" s="81">
        <v>1</v>
      </c>
      <c r="G618" s="81"/>
      <c r="H618" s="229">
        <v>0</v>
      </c>
      <c r="I618" s="229">
        <v>0</v>
      </c>
      <c r="J618" s="229">
        <v>0</v>
      </c>
      <c r="K618" s="229">
        <v>0</v>
      </c>
      <c r="L618" s="229">
        <v>0</v>
      </c>
      <c r="M618" s="229">
        <v>0</v>
      </c>
      <c r="N618" s="229">
        <v>0</v>
      </c>
      <c r="O618" s="229">
        <v>0</v>
      </c>
      <c r="P618" s="229">
        <v>0</v>
      </c>
      <c r="Q618" s="229">
        <v>0</v>
      </c>
      <c r="R618" s="229">
        <v>0</v>
      </c>
      <c r="S618" s="229">
        <v>0</v>
      </c>
      <c r="T618" s="229">
        <f>T617</f>
        <v>0.29864758000000002</v>
      </c>
      <c r="U618" s="229">
        <f>U617</f>
        <v>0.43315241999999998</v>
      </c>
      <c r="V618" s="229">
        <f>V617</f>
        <v>0.10945242000000001</v>
      </c>
      <c r="W618" s="229">
        <f>W617</f>
        <v>0.15874758</v>
      </c>
      <c r="X618" s="81">
        <v>0</v>
      </c>
      <c r="Y618" s="81">
        <v>0</v>
      </c>
      <c r="Z618" s="81">
        <v>0</v>
      </c>
      <c r="AA618" s="81">
        <v>0</v>
      </c>
      <c r="AB618" s="81">
        <v>0</v>
      </c>
      <c r="AC618" s="81">
        <v>0</v>
      </c>
      <c r="AD618" s="81">
        <v>0</v>
      </c>
      <c r="AE618" s="81">
        <v>0</v>
      </c>
      <c r="AF618" s="229">
        <f t="shared" si="252"/>
        <v>1</v>
      </c>
      <c r="AG618" s="93" t="str">
        <f t="shared" si="251"/>
        <v>ok</v>
      </c>
      <c r="AH618" s="81"/>
    </row>
    <row r="619" spans="1:34" s="60" customFormat="1">
      <c r="A619" s="60" t="s">
        <v>1083</v>
      </c>
      <c r="C619" s="60" t="s">
        <v>944</v>
      </c>
      <c r="F619" s="81">
        <v>1</v>
      </c>
      <c r="G619" s="81"/>
      <c r="H619" s="229">
        <v>0</v>
      </c>
      <c r="I619" s="229">
        <v>0</v>
      </c>
      <c r="J619" s="229">
        <v>0</v>
      </c>
      <c r="K619" s="229">
        <v>0</v>
      </c>
      <c r="L619" s="229">
        <v>0</v>
      </c>
      <c r="M619" s="229">
        <v>0</v>
      </c>
      <c r="N619" s="229">
        <v>0</v>
      </c>
      <c r="O619" s="229">
        <v>0</v>
      </c>
      <c r="P619" s="229">
        <v>0</v>
      </c>
      <c r="Q619" s="229">
        <v>0</v>
      </c>
      <c r="R619" s="229">
        <v>0</v>
      </c>
      <c r="S619" s="229">
        <v>0</v>
      </c>
      <c r="T619" s="229">
        <f>0.3563*0.881</f>
        <v>0.31390030000000002</v>
      </c>
      <c r="U619" s="229">
        <f>0.6437*0.881</f>
        <v>0.5670997000000001</v>
      </c>
      <c r="V619" s="229">
        <f>0.3563*0.119</f>
        <v>4.2399699999999999E-2</v>
      </c>
      <c r="W619" s="229">
        <f>0.6437*0.119</f>
        <v>7.6600299999999996E-2</v>
      </c>
      <c r="X619" s="81">
        <v>0</v>
      </c>
      <c r="Y619" s="81">
        <v>0</v>
      </c>
      <c r="Z619" s="81">
        <v>0</v>
      </c>
      <c r="AA619" s="81">
        <v>0</v>
      </c>
      <c r="AB619" s="81">
        <v>0</v>
      </c>
      <c r="AC619" s="81">
        <v>0</v>
      </c>
      <c r="AD619" s="81">
        <v>0</v>
      </c>
      <c r="AE619" s="81">
        <v>0</v>
      </c>
      <c r="AF619" s="229">
        <f t="shared" si="252"/>
        <v>1.0000000000000002</v>
      </c>
      <c r="AG619" s="93" t="str">
        <f t="shared" si="251"/>
        <v>ok</v>
      </c>
    </row>
    <row r="620" spans="1:34" s="60" customFormat="1">
      <c r="A620" s="60" t="s">
        <v>1084</v>
      </c>
      <c r="C620" s="60" t="s">
        <v>947</v>
      </c>
      <c r="F620" s="81">
        <v>1</v>
      </c>
      <c r="G620" s="81"/>
      <c r="H620" s="229">
        <v>0</v>
      </c>
      <c r="I620" s="229">
        <v>0</v>
      </c>
      <c r="J620" s="229">
        <v>0</v>
      </c>
      <c r="K620" s="229">
        <v>0</v>
      </c>
      <c r="L620" s="229">
        <v>0</v>
      </c>
      <c r="M620" s="229">
        <v>0</v>
      </c>
      <c r="N620" s="229">
        <v>0</v>
      </c>
      <c r="O620" s="229">
        <v>0</v>
      </c>
      <c r="P620" s="229">
        <v>0</v>
      </c>
      <c r="Q620" s="229">
        <v>0</v>
      </c>
      <c r="R620" s="229">
        <v>0</v>
      </c>
      <c r="S620" s="229">
        <v>0</v>
      </c>
      <c r="T620" s="229">
        <v>0</v>
      </c>
      <c r="U620" s="229">
        <v>0</v>
      </c>
      <c r="V620" s="229">
        <v>0</v>
      </c>
      <c r="W620" s="229">
        <v>0</v>
      </c>
      <c r="X620" s="81">
        <v>0.58845947845619928</v>
      </c>
      <c r="Y620" s="81">
        <v>0.41154052154380072</v>
      </c>
      <c r="Z620" s="81">
        <v>0</v>
      </c>
      <c r="AA620" s="81">
        <v>0</v>
      </c>
      <c r="AB620" s="81">
        <v>0</v>
      </c>
      <c r="AC620" s="81">
        <v>0</v>
      </c>
      <c r="AD620" s="81">
        <v>0</v>
      </c>
      <c r="AE620" s="81">
        <v>0</v>
      </c>
      <c r="AF620" s="229">
        <f t="shared" si="252"/>
        <v>1</v>
      </c>
      <c r="AG620" s="93" t="str">
        <f t="shared" si="251"/>
        <v>ok</v>
      </c>
    </row>
    <row r="621" spans="1:34" s="60" customFormat="1">
      <c r="A621" s="60" t="s">
        <v>1085</v>
      </c>
      <c r="C621" s="60" t="s">
        <v>949</v>
      </c>
      <c r="F621" s="81">
        <v>1</v>
      </c>
      <c r="G621" s="81"/>
      <c r="H621" s="229">
        <v>0</v>
      </c>
      <c r="I621" s="229">
        <v>0</v>
      </c>
      <c r="J621" s="229">
        <v>0</v>
      </c>
      <c r="K621" s="229">
        <v>0</v>
      </c>
      <c r="L621" s="229">
        <v>0</v>
      </c>
      <c r="M621" s="229">
        <v>0</v>
      </c>
      <c r="N621" s="229">
        <v>0</v>
      </c>
      <c r="O621" s="229">
        <v>0</v>
      </c>
      <c r="P621" s="229">
        <v>0</v>
      </c>
      <c r="Q621" s="229">
        <v>0</v>
      </c>
      <c r="R621" s="229">
        <v>0</v>
      </c>
      <c r="S621" s="229">
        <v>0</v>
      </c>
      <c r="T621" s="229">
        <v>0</v>
      </c>
      <c r="U621" s="229">
        <v>0</v>
      </c>
      <c r="V621" s="229">
        <v>0</v>
      </c>
      <c r="W621" s="229">
        <v>0</v>
      </c>
      <c r="X621" s="81">
        <v>0</v>
      </c>
      <c r="Y621" s="81">
        <v>0</v>
      </c>
      <c r="Z621" s="81">
        <v>1</v>
      </c>
      <c r="AA621" s="81">
        <v>0</v>
      </c>
      <c r="AB621" s="81">
        <v>0</v>
      </c>
      <c r="AC621" s="81">
        <v>0</v>
      </c>
      <c r="AD621" s="81">
        <v>0</v>
      </c>
      <c r="AE621" s="81">
        <v>0</v>
      </c>
      <c r="AF621" s="229">
        <f t="shared" si="252"/>
        <v>1</v>
      </c>
      <c r="AG621" s="93" t="str">
        <f t="shared" si="251"/>
        <v>ok</v>
      </c>
    </row>
    <row r="622" spans="1:34" s="60" customFormat="1">
      <c r="A622" s="60" t="s">
        <v>924</v>
      </c>
      <c r="C622" s="60" t="s">
        <v>951</v>
      </c>
      <c r="F622" s="81">
        <v>1</v>
      </c>
      <c r="G622" s="81"/>
      <c r="H622" s="229">
        <v>0</v>
      </c>
      <c r="I622" s="229">
        <v>0</v>
      </c>
      <c r="J622" s="229">
        <v>0</v>
      </c>
      <c r="K622" s="229">
        <v>0</v>
      </c>
      <c r="L622" s="229">
        <v>0</v>
      </c>
      <c r="M622" s="229">
        <v>0</v>
      </c>
      <c r="N622" s="229">
        <v>0</v>
      </c>
      <c r="O622" s="229">
        <v>0</v>
      </c>
      <c r="P622" s="229">
        <v>0</v>
      </c>
      <c r="Q622" s="229">
        <v>0</v>
      </c>
      <c r="R622" s="229">
        <v>0</v>
      </c>
      <c r="S622" s="229">
        <v>0</v>
      </c>
      <c r="T622" s="229">
        <v>0</v>
      </c>
      <c r="U622" s="229">
        <v>0</v>
      </c>
      <c r="V622" s="229">
        <v>0</v>
      </c>
      <c r="W622" s="229">
        <v>0</v>
      </c>
      <c r="X622" s="81">
        <v>0</v>
      </c>
      <c r="Y622" s="81">
        <v>0</v>
      </c>
      <c r="Z622" s="81">
        <v>0</v>
      </c>
      <c r="AA622" s="81">
        <v>1</v>
      </c>
      <c r="AB622" s="81">
        <v>0</v>
      </c>
      <c r="AC622" s="81">
        <v>0</v>
      </c>
      <c r="AD622" s="81">
        <v>0</v>
      </c>
      <c r="AE622" s="81">
        <v>0</v>
      </c>
      <c r="AF622" s="229">
        <f t="shared" si="252"/>
        <v>1</v>
      </c>
      <c r="AG622" s="93" t="str">
        <f t="shared" si="251"/>
        <v>ok</v>
      </c>
    </row>
    <row r="623" spans="1:34" s="60" customFormat="1">
      <c r="A623" s="60" t="s">
        <v>1086</v>
      </c>
      <c r="C623" s="60" t="s">
        <v>954</v>
      </c>
      <c r="F623" s="81">
        <v>1</v>
      </c>
      <c r="G623" s="81"/>
      <c r="H623" s="229">
        <v>0</v>
      </c>
      <c r="I623" s="229">
        <v>0</v>
      </c>
      <c r="J623" s="229">
        <v>0</v>
      </c>
      <c r="K623" s="229">
        <v>0</v>
      </c>
      <c r="L623" s="229">
        <v>0</v>
      </c>
      <c r="M623" s="229">
        <v>0</v>
      </c>
      <c r="N623" s="229">
        <v>0</v>
      </c>
      <c r="O623" s="229">
        <v>0</v>
      </c>
      <c r="P623" s="229">
        <v>0</v>
      </c>
      <c r="Q623" s="229">
        <v>0</v>
      </c>
      <c r="R623" s="229">
        <v>0</v>
      </c>
      <c r="S623" s="229">
        <v>0</v>
      </c>
      <c r="T623" s="229">
        <v>0</v>
      </c>
      <c r="U623" s="229">
        <v>0</v>
      </c>
      <c r="V623" s="229">
        <v>0</v>
      </c>
      <c r="W623" s="229">
        <v>0</v>
      </c>
      <c r="X623" s="81">
        <v>0</v>
      </c>
      <c r="Y623" s="81">
        <v>0</v>
      </c>
      <c r="Z623" s="81">
        <v>0</v>
      </c>
      <c r="AA623" s="81">
        <v>0</v>
      </c>
      <c r="AB623" s="81">
        <v>1</v>
      </c>
      <c r="AC623" s="81">
        <v>0</v>
      </c>
      <c r="AD623" s="81">
        <v>0</v>
      </c>
      <c r="AE623" s="81">
        <v>0</v>
      </c>
      <c r="AF623" s="229">
        <f t="shared" si="252"/>
        <v>1</v>
      </c>
      <c r="AG623" s="93" t="str">
        <f t="shared" si="251"/>
        <v>ok</v>
      </c>
    </row>
    <row r="624" spans="1:34" s="60" customFormat="1">
      <c r="A624" s="60" t="s">
        <v>1087</v>
      </c>
      <c r="C624" s="60" t="s">
        <v>1028</v>
      </c>
      <c r="F624" s="81">
        <v>1</v>
      </c>
      <c r="G624" s="81"/>
      <c r="H624" s="229">
        <v>0</v>
      </c>
      <c r="I624" s="229">
        <v>0</v>
      </c>
      <c r="J624" s="229">
        <v>0</v>
      </c>
      <c r="K624" s="229">
        <v>0</v>
      </c>
      <c r="L624" s="229">
        <v>0</v>
      </c>
      <c r="M624" s="229">
        <v>0</v>
      </c>
      <c r="N624" s="229">
        <v>0</v>
      </c>
      <c r="O624" s="229">
        <v>0</v>
      </c>
      <c r="P624" s="229">
        <v>0</v>
      </c>
      <c r="Q624" s="229">
        <v>0</v>
      </c>
      <c r="R624" s="229">
        <v>0</v>
      </c>
      <c r="S624" s="229">
        <v>0</v>
      </c>
      <c r="T624" s="229">
        <v>0</v>
      </c>
      <c r="U624" s="229">
        <v>0</v>
      </c>
      <c r="V624" s="229">
        <v>0</v>
      </c>
      <c r="W624" s="229">
        <v>0</v>
      </c>
      <c r="X624" s="81">
        <v>0</v>
      </c>
      <c r="Y624" s="81">
        <v>0</v>
      </c>
      <c r="Z624" s="81">
        <v>0</v>
      </c>
      <c r="AA624" s="81">
        <v>0</v>
      </c>
      <c r="AB624" s="81">
        <v>0</v>
      </c>
      <c r="AC624" s="81">
        <v>0</v>
      </c>
      <c r="AD624" s="81">
        <v>1</v>
      </c>
      <c r="AE624" s="81">
        <v>0</v>
      </c>
      <c r="AF624" s="229">
        <f t="shared" si="252"/>
        <v>1</v>
      </c>
      <c r="AG624" s="93" t="str">
        <f t="shared" si="251"/>
        <v>ok</v>
      </c>
    </row>
    <row r="625" spans="1:33" s="60" customFormat="1">
      <c r="A625" s="60" t="s">
        <v>1088</v>
      </c>
      <c r="C625" s="60" t="s">
        <v>1038</v>
      </c>
      <c r="F625" s="81">
        <v>1</v>
      </c>
      <c r="G625" s="81"/>
      <c r="H625" s="229">
        <v>0</v>
      </c>
      <c r="I625" s="229">
        <v>0</v>
      </c>
      <c r="J625" s="229">
        <v>0</v>
      </c>
      <c r="K625" s="229">
        <v>0</v>
      </c>
      <c r="L625" s="229">
        <v>0</v>
      </c>
      <c r="M625" s="229">
        <v>0</v>
      </c>
      <c r="N625" s="229">
        <v>0</v>
      </c>
      <c r="O625" s="229">
        <v>0</v>
      </c>
      <c r="P625" s="229">
        <v>0</v>
      </c>
      <c r="Q625" s="229">
        <v>0</v>
      </c>
      <c r="R625" s="229">
        <v>0</v>
      </c>
      <c r="S625" s="229">
        <v>0</v>
      </c>
      <c r="T625" s="229">
        <v>0</v>
      </c>
      <c r="U625" s="229">
        <v>0</v>
      </c>
      <c r="V625" s="229">
        <v>0</v>
      </c>
      <c r="W625" s="229">
        <v>0</v>
      </c>
      <c r="X625" s="81">
        <v>0</v>
      </c>
      <c r="Y625" s="81">
        <v>0</v>
      </c>
      <c r="Z625" s="81">
        <v>0</v>
      </c>
      <c r="AA625" s="81">
        <v>0</v>
      </c>
      <c r="AB625" s="81">
        <v>0</v>
      </c>
      <c r="AC625" s="81">
        <v>0</v>
      </c>
      <c r="AD625" s="81">
        <v>1</v>
      </c>
      <c r="AE625" s="81">
        <v>0</v>
      </c>
      <c r="AF625" s="229">
        <f t="shared" si="252"/>
        <v>1</v>
      </c>
      <c r="AG625" s="93" t="str">
        <f t="shared" si="251"/>
        <v>ok</v>
      </c>
    </row>
    <row r="626" spans="1:33" s="60" customFormat="1" ht="15">
      <c r="A626" s="60" t="s">
        <v>1130</v>
      </c>
      <c r="C626" s="60" t="s">
        <v>1162</v>
      </c>
      <c r="F626" s="81">
        <v>1</v>
      </c>
      <c r="G626" s="81"/>
      <c r="H626" s="229">
        <v>0</v>
      </c>
      <c r="I626" s="229">
        <v>0</v>
      </c>
      <c r="J626" s="229">
        <v>0</v>
      </c>
      <c r="K626" s="229">
        <v>0</v>
      </c>
      <c r="L626" s="229">
        <v>0</v>
      </c>
      <c r="M626" s="229">
        <v>0</v>
      </c>
      <c r="N626" s="230">
        <v>1</v>
      </c>
      <c r="O626" s="230">
        <v>0</v>
      </c>
      <c r="P626" s="230">
        <v>0</v>
      </c>
      <c r="Q626" s="229">
        <v>0</v>
      </c>
      <c r="R626" s="229">
        <v>0</v>
      </c>
      <c r="S626" s="229">
        <v>0</v>
      </c>
      <c r="T626" s="229">
        <v>0</v>
      </c>
      <c r="U626" s="229">
        <v>0</v>
      </c>
      <c r="V626" s="229">
        <v>0</v>
      </c>
      <c r="W626" s="229">
        <v>0</v>
      </c>
      <c r="X626" s="81">
        <v>0</v>
      </c>
      <c r="Y626" s="81">
        <v>0</v>
      </c>
      <c r="Z626" s="81">
        <v>0</v>
      </c>
      <c r="AA626" s="81">
        <v>0</v>
      </c>
      <c r="AB626" s="81">
        <v>0</v>
      </c>
      <c r="AC626" s="81">
        <v>0</v>
      </c>
      <c r="AD626" s="81">
        <v>0</v>
      </c>
      <c r="AE626" s="81">
        <v>0</v>
      </c>
      <c r="AF626" s="229">
        <f t="shared" ref="AF626:AF639" si="253">SUM(H626:AE626)</f>
        <v>1</v>
      </c>
      <c r="AG626" s="93" t="str">
        <f t="shared" si="251"/>
        <v>ok</v>
      </c>
    </row>
    <row r="627" spans="1:33" s="60" customFormat="1">
      <c r="A627" s="60" t="s">
        <v>41</v>
      </c>
      <c r="C627" s="60" t="s">
        <v>42</v>
      </c>
      <c r="F627" s="81">
        <v>1</v>
      </c>
      <c r="G627" s="81"/>
      <c r="H627" s="229">
        <v>0</v>
      </c>
      <c r="I627" s="229">
        <v>0</v>
      </c>
      <c r="J627" s="229">
        <v>0</v>
      </c>
      <c r="K627" s="229">
        <v>0</v>
      </c>
      <c r="L627" s="229">
        <v>0</v>
      </c>
      <c r="M627" s="229">
        <v>0</v>
      </c>
      <c r="N627" s="229">
        <v>0</v>
      </c>
      <c r="O627" s="229">
        <v>0</v>
      </c>
      <c r="P627" s="229">
        <v>0</v>
      </c>
      <c r="Q627" s="229">
        <v>0</v>
      </c>
      <c r="R627" s="229">
        <v>0</v>
      </c>
      <c r="S627" s="229">
        <v>0</v>
      </c>
      <c r="T627" s="229">
        <v>0</v>
      </c>
      <c r="U627" s="229">
        <v>0</v>
      </c>
      <c r="V627" s="229">
        <v>0</v>
      </c>
      <c r="W627" s="229">
        <v>0</v>
      </c>
      <c r="X627" s="81">
        <v>0</v>
      </c>
      <c r="Y627" s="81">
        <v>0</v>
      </c>
      <c r="Z627" s="81">
        <v>0</v>
      </c>
      <c r="AA627" s="81">
        <v>0</v>
      </c>
      <c r="AB627" s="81">
        <v>0</v>
      </c>
      <c r="AC627" s="81">
        <v>0</v>
      </c>
      <c r="AD627" s="81">
        <v>0</v>
      </c>
      <c r="AE627" s="81">
        <v>1</v>
      </c>
      <c r="AF627" s="229">
        <f t="shared" si="253"/>
        <v>1</v>
      </c>
      <c r="AG627" s="93" t="str">
        <f t="shared" si="251"/>
        <v>ok</v>
      </c>
    </row>
    <row r="628" spans="1:33" s="60" customFormat="1" ht="15">
      <c r="A628" s="60" t="s">
        <v>639</v>
      </c>
      <c r="C628" s="60" t="s">
        <v>638</v>
      </c>
      <c r="F628" s="81">
        <v>1</v>
      </c>
      <c r="G628" s="81"/>
      <c r="H628" s="230">
        <v>0.34380130494917077</v>
      </c>
      <c r="I628" s="230">
        <v>0.36015362760499087</v>
      </c>
      <c r="J628" s="230">
        <v>0.29604506744583836</v>
      </c>
      <c r="K628" s="229">
        <v>0</v>
      </c>
      <c r="L628" s="229">
        <v>0</v>
      </c>
      <c r="M628" s="229">
        <v>0</v>
      </c>
      <c r="N628" s="229">
        <v>0</v>
      </c>
      <c r="O628" s="229">
        <v>0</v>
      </c>
      <c r="P628" s="229">
        <v>0</v>
      </c>
      <c r="Q628" s="229">
        <v>0</v>
      </c>
      <c r="R628" s="229">
        <v>0</v>
      </c>
      <c r="S628" s="229">
        <v>0</v>
      </c>
      <c r="T628" s="229">
        <v>0</v>
      </c>
      <c r="U628" s="229">
        <v>0</v>
      </c>
      <c r="V628" s="229">
        <v>0</v>
      </c>
      <c r="W628" s="229">
        <v>0</v>
      </c>
      <c r="X628" s="81">
        <v>0</v>
      </c>
      <c r="Y628" s="81">
        <v>0</v>
      </c>
      <c r="Z628" s="81">
        <v>0</v>
      </c>
      <c r="AA628" s="81">
        <v>0</v>
      </c>
      <c r="AB628" s="81">
        <v>0</v>
      </c>
      <c r="AC628" s="81">
        <v>0</v>
      </c>
      <c r="AD628" s="81">
        <v>0</v>
      </c>
      <c r="AE628" s="81">
        <v>0</v>
      </c>
      <c r="AF628" s="229">
        <f t="shared" si="253"/>
        <v>1</v>
      </c>
      <c r="AG628" s="93" t="str">
        <f t="shared" si="251"/>
        <v>ok</v>
      </c>
    </row>
    <row r="629" spans="1:33" s="60" customFormat="1">
      <c r="A629" s="60" t="s">
        <v>644</v>
      </c>
      <c r="C629" s="60" t="s">
        <v>645</v>
      </c>
      <c r="F629" s="81">
        <v>1</v>
      </c>
      <c r="G629" s="81"/>
      <c r="H629" s="229">
        <v>0</v>
      </c>
      <c r="I629" s="229">
        <v>0</v>
      </c>
      <c r="J629" s="229">
        <v>0</v>
      </c>
      <c r="K629" s="229">
        <v>1</v>
      </c>
      <c r="L629" s="229">
        <v>0</v>
      </c>
      <c r="M629" s="229">
        <v>0</v>
      </c>
      <c r="N629" s="229">
        <v>0</v>
      </c>
      <c r="O629" s="229">
        <v>0</v>
      </c>
      <c r="P629" s="229">
        <v>0</v>
      </c>
      <c r="Q629" s="229">
        <v>0</v>
      </c>
      <c r="R629" s="229">
        <v>0</v>
      </c>
      <c r="S629" s="229">
        <v>0</v>
      </c>
      <c r="T629" s="229">
        <v>0</v>
      </c>
      <c r="U629" s="229">
        <v>0</v>
      </c>
      <c r="V629" s="229">
        <v>0</v>
      </c>
      <c r="W629" s="229">
        <v>0</v>
      </c>
      <c r="X629" s="81">
        <v>0</v>
      </c>
      <c r="Y629" s="81">
        <v>0</v>
      </c>
      <c r="Z629" s="81">
        <v>0</v>
      </c>
      <c r="AA629" s="81">
        <v>0</v>
      </c>
      <c r="AB629" s="81">
        <v>0</v>
      </c>
      <c r="AC629" s="81">
        <v>0</v>
      </c>
      <c r="AD629" s="81">
        <v>0</v>
      </c>
      <c r="AE629" s="81">
        <v>0</v>
      </c>
      <c r="AF629" s="229">
        <f t="shared" si="253"/>
        <v>1</v>
      </c>
      <c r="AG629" s="93" t="str">
        <f t="shared" si="251"/>
        <v>ok</v>
      </c>
    </row>
    <row r="630" spans="1:33" s="60" customFormat="1">
      <c r="A630" s="60" t="s">
        <v>640</v>
      </c>
      <c r="C630" s="60" t="s">
        <v>641</v>
      </c>
      <c r="F630" s="81">
        <v>1</v>
      </c>
      <c r="G630" s="81"/>
      <c r="H630" s="229">
        <v>0</v>
      </c>
      <c r="I630" s="229">
        <v>0</v>
      </c>
      <c r="J630" s="229">
        <v>0</v>
      </c>
      <c r="K630" s="229">
        <v>1</v>
      </c>
      <c r="L630" s="229">
        <v>0</v>
      </c>
      <c r="M630" s="229">
        <v>0</v>
      </c>
      <c r="N630" s="229">
        <v>0</v>
      </c>
      <c r="O630" s="229">
        <v>0</v>
      </c>
      <c r="P630" s="229">
        <v>0</v>
      </c>
      <c r="Q630" s="229">
        <v>0</v>
      </c>
      <c r="R630" s="229">
        <v>0</v>
      </c>
      <c r="S630" s="229">
        <v>0</v>
      </c>
      <c r="T630" s="229">
        <v>0</v>
      </c>
      <c r="U630" s="229">
        <v>0</v>
      </c>
      <c r="V630" s="229">
        <v>0</v>
      </c>
      <c r="W630" s="229">
        <v>0</v>
      </c>
      <c r="X630" s="81">
        <v>0</v>
      </c>
      <c r="Y630" s="81">
        <v>0</v>
      </c>
      <c r="Z630" s="81">
        <v>0</v>
      </c>
      <c r="AA630" s="81">
        <v>0</v>
      </c>
      <c r="AB630" s="81">
        <v>0</v>
      </c>
      <c r="AC630" s="81">
        <v>0</v>
      </c>
      <c r="AD630" s="81">
        <v>0</v>
      </c>
      <c r="AE630" s="81">
        <v>0</v>
      </c>
      <c r="AF630" s="229">
        <f t="shared" si="253"/>
        <v>1</v>
      </c>
      <c r="AG630" s="93" t="str">
        <f t="shared" si="251"/>
        <v>ok</v>
      </c>
    </row>
    <row r="631" spans="1:33" s="60" customFormat="1">
      <c r="A631" s="60" t="s">
        <v>642</v>
      </c>
      <c r="C631" s="60" t="s">
        <v>643</v>
      </c>
      <c r="F631" s="79">
        <f>F365+F366+F368+F369+F370</f>
        <v>14184336</v>
      </c>
      <c r="G631" s="112"/>
      <c r="H631" s="79">
        <f>H365+H366+H368+H369+H370</f>
        <v>4124450.8605688815</v>
      </c>
      <c r="I631" s="79">
        <f t="shared" ref="I631:AE631" si="254">I365+I366+I368+I369+I370</f>
        <v>4320623.330769565</v>
      </c>
      <c r="J631" s="79">
        <f t="shared" si="254"/>
        <v>3551537.808661554</v>
      </c>
      <c r="K631" s="79">
        <f t="shared" si="254"/>
        <v>2187724</v>
      </c>
      <c r="L631" s="82">
        <f t="shared" si="254"/>
        <v>0</v>
      </c>
      <c r="M631" s="82">
        <f t="shared" si="254"/>
        <v>0</v>
      </c>
      <c r="N631" s="82">
        <f t="shared" si="254"/>
        <v>0</v>
      </c>
      <c r="O631" s="82">
        <f t="shared" si="254"/>
        <v>0</v>
      </c>
      <c r="P631" s="82">
        <f t="shared" si="254"/>
        <v>0</v>
      </c>
      <c r="Q631" s="82">
        <f t="shared" si="254"/>
        <v>0</v>
      </c>
      <c r="R631" s="82">
        <f t="shared" si="254"/>
        <v>0</v>
      </c>
      <c r="S631" s="82">
        <f t="shared" si="254"/>
        <v>0</v>
      </c>
      <c r="T631" s="82">
        <f t="shared" si="254"/>
        <v>0</v>
      </c>
      <c r="U631" s="82">
        <f t="shared" si="254"/>
        <v>0</v>
      </c>
      <c r="V631" s="82">
        <f t="shared" si="254"/>
        <v>0</v>
      </c>
      <c r="W631" s="82">
        <f t="shared" si="254"/>
        <v>0</v>
      </c>
      <c r="X631" s="82">
        <f t="shared" si="254"/>
        <v>0</v>
      </c>
      <c r="Y631" s="82">
        <f t="shared" si="254"/>
        <v>0</v>
      </c>
      <c r="Z631" s="82">
        <f t="shared" si="254"/>
        <v>0</v>
      </c>
      <c r="AA631" s="82">
        <f t="shared" si="254"/>
        <v>0</v>
      </c>
      <c r="AB631" s="82">
        <f t="shared" si="254"/>
        <v>0</v>
      </c>
      <c r="AC631" s="82">
        <f t="shared" si="254"/>
        <v>0</v>
      </c>
      <c r="AD631" s="82">
        <f t="shared" si="254"/>
        <v>0</v>
      </c>
      <c r="AE631" s="82">
        <f t="shared" si="254"/>
        <v>0</v>
      </c>
      <c r="AF631" s="82">
        <f t="shared" si="253"/>
        <v>14184336</v>
      </c>
      <c r="AG631" s="93" t="str">
        <f t="shared" si="251"/>
        <v>ok</v>
      </c>
    </row>
    <row r="632" spans="1:33" s="60" customFormat="1" ht="15">
      <c r="A632" s="60" t="s">
        <v>646</v>
      </c>
      <c r="C632" s="60" t="s">
        <v>646</v>
      </c>
      <c r="F632" s="81">
        <v>1</v>
      </c>
      <c r="G632" s="81"/>
      <c r="H632" s="230">
        <f>H628</f>
        <v>0.34380130494917077</v>
      </c>
      <c r="I632" s="230">
        <f>I628</f>
        <v>0.36015362760499087</v>
      </c>
      <c r="J632" s="230">
        <f>J628</f>
        <v>0.29604506744583836</v>
      </c>
      <c r="K632" s="229">
        <v>0</v>
      </c>
      <c r="L632" s="229">
        <v>0</v>
      </c>
      <c r="M632" s="229">
        <v>0</v>
      </c>
      <c r="N632" s="229">
        <v>0</v>
      </c>
      <c r="O632" s="229">
        <v>0</v>
      </c>
      <c r="P632" s="229">
        <v>0</v>
      </c>
      <c r="Q632" s="229">
        <v>0</v>
      </c>
      <c r="R632" s="229">
        <v>0</v>
      </c>
      <c r="S632" s="229">
        <v>0</v>
      </c>
      <c r="T632" s="229">
        <v>0</v>
      </c>
      <c r="U632" s="229">
        <v>0</v>
      </c>
      <c r="V632" s="229">
        <v>0</v>
      </c>
      <c r="W632" s="229">
        <v>0</v>
      </c>
      <c r="X632" s="81">
        <v>0</v>
      </c>
      <c r="Y632" s="81">
        <v>0</v>
      </c>
      <c r="Z632" s="81">
        <v>0</v>
      </c>
      <c r="AA632" s="81">
        <v>0</v>
      </c>
      <c r="AB632" s="81">
        <v>0</v>
      </c>
      <c r="AC632" s="81">
        <v>0</v>
      </c>
      <c r="AD632" s="81">
        <v>0</v>
      </c>
      <c r="AE632" s="81">
        <v>0</v>
      </c>
      <c r="AF632" s="229">
        <f t="shared" si="253"/>
        <v>1</v>
      </c>
      <c r="AG632" s="93" t="str">
        <f t="shared" si="251"/>
        <v>ok</v>
      </c>
    </row>
    <row r="633" spans="1:33" s="60" customFormat="1">
      <c r="A633" s="60" t="s">
        <v>647</v>
      </c>
      <c r="C633" s="60" t="s">
        <v>648</v>
      </c>
      <c r="F633" s="79">
        <f>F376+F377+F378+F379</f>
        <v>7005990</v>
      </c>
      <c r="G633" s="112"/>
      <c r="H633" s="79">
        <f>H376+H377+H378+H379</f>
        <v>0</v>
      </c>
      <c r="I633" s="79">
        <f t="shared" ref="I633:AE633" si="255">I376+I377+I378+I379</f>
        <v>0</v>
      </c>
      <c r="J633" s="79">
        <f t="shared" si="255"/>
        <v>0</v>
      </c>
      <c r="K633" s="79">
        <f t="shared" si="255"/>
        <v>7005990</v>
      </c>
      <c r="L633" s="82">
        <f t="shared" si="255"/>
        <v>0</v>
      </c>
      <c r="M633" s="82">
        <f t="shared" si="255"/>
        <v>0</v>
      </c>
      <c r="N633" s="82">
        <f t="shared" si="255"/>
        <v>0</v>
      </c>
      <c r="O633" s="82">
        <f t="shared" si="255"/>
        <v>0</v>
      </c>
      <c r="P633" s="82">
        <f t="shared" si="255"/>
        <v>0</v>
      </c>
      <c r="Q633" s="82">
        <f t="shared" si="255"/>
        <v>0</v>
      </c>
      <c r="R633" s="82">
        <f t="shared" si="255"/>
        <v>0</v>
      </c>
      <c r="S633" s="82">
        <f t="shared" si="255"/>
        <v>0</v>
      </c>
      <c r="T633" s="82">
        <f t="shared" si="255"/>
        <v>0</v>
      </c>
      <c r="U633" s="82">
        <f t="shared" si="255"/>
        <v>0</v>
      </c>
      <c r="V633" s="82">
        <f t="shared" si="255"/>
        <v>0</v>
      </c>
      <c r="W633" s="82">
        <f t="shared" si="255"/>
        <v>0</v>
      </c>
      <c r="X633" s="82">
        <f t="shared" si="255"/>
        <v>0</v>
      </c>
      <c r="Y633" s="82">
        <f t="shared" si="255"/>
        <v>0</v>
      </c>
      <c r="Z633" s="82">
        <f t="shared" si="255"/>
        <v>0</v>
      </c>
      <c r="AA633" s="82">
        <f t="shared" si="255"/>
        <v>0</v>
      </c>
      <c r="AB633" s="82">
        <f t="shared" si="255"/>
        <v>0</v>
      </c>
      <c r="AC633" s="82">
        <f t="shared" si="255"/>
        <v>0</v>
      </c>
      <c r="AD633" s="82">
        <f t="shared" si="255"/>
        <v>0</v>
      </c>
      <c r="AE633" s="82">
        <f t="shared" si="255"/>
        <v>0</v>
      </c>
      <c r="AF633" s="82">
        <f t="shared" si="253"/>
        <v>7005990</v>
      </c>
      <c r="AG633" s="93" t="str">
        <f t="shared" si="251"/>
        <v>ok</v>
      </c>
    </row>
    <row r="634" spans="1:33" s="60" customFormat="1">
      <c r="A634" s="60" t="s">
        <v>649</v>
      </c>
      <c r="C634" s="60" t="s">
        <v>650</v>
      </c>
      <c r="F634" s="79">
        <f>F387+F388+F389+F390+F391</f>
        <v>240588</v>
      </c>
      <c r="G634" s="112"/>
      <c r="H634" s="79">
        <f t="shared" ref="H634:M634" si="256">H387+H388+H389+H390+H391</f>
        <v>82714.468355111108</v>
      </c>
      <c r="I634" s="79">
        <f t="shared" si="256"/>
        <v>86648.640958229546</v>
      </c>
      <c r="J634" s="79">
        <f t="shared" si="256"/>
        <v>71224.890686659361</v>
      </c>
      <c r="K634" s="79">
        <f t="shared" si="256"/>
        <v>0</v>
      </c>
      <c r="L634" s="82">
        <f t="shared" si="256"/>
        <v>0</v>
      </c>
      <c r="M634" s="82">
        <f t="shared" si="256"/>
        <v>0</v>
      </c>
      <c r="N634" s="82">
        <f>N387+N388+N389+N390+N391</f>
        <v>0</v>
      </c>
      <c r="O634" s="82">
        <f>O387+O388+O389+O390+O391</f>
        <v>0</v>
      </c>
      <c r="P634" s="82">
        <f>P387+P388+P389+P390+P391</f>
        <v>0</v>
      </c>
      <c r="Q634" s="82">
        <f t="shared" ref="Q634:AB634" si="257">Q387+Q388+Q389+Q390+Q391</f>
        <v>0</v>
      </c>
      <c r="R634" s="82">
        <f t="shared" si="257"/>
        <v>0</v>
      </c>
      <c r="S634" s="82">
        <f t="shared" si="257"/>
        <v>0</v>
      </c>
      <c r="T634" s="82">
        <f t="shared" si="257"/>
        <v>0</v>
      </c>
      <c r="U634" s="82">
        <f t="shared" si="257"/>
        <v>0</v>
      </c>
      <c r="V634" s="82">
        <f t="shared" si="257"/>
        <v>0</v>
      </c>
      <c r="W634" s="82">
        <f t="shared" si="257"/>
        <v>0</v>
      </c>
      <c r="X634" s="82">
        <f t="shared" si="257"/>
        <v>0</v>
      </c>
      <c r="Y634" s="82">
        <f t="shared" si="257"/>
        <v>0</v>
      </c>
      <c r="Z634" s="82">
        <f t="shared" si="257"/>
        <v>0</v>
      </c>
      <c r="AA634" s="82">
        <f t="shared" si="257"/>
        <v>0</v>
      </c>
      <c r="AB634" s="82">
        <f t="shared" si="257"/>
        <v>0</v>
      </c>
      <c r="AC634" s="82">
        <f>AC387+AC388+AC389+AC390+AC391</f>
        <v>0</v>
      </c>
      <c r="AD634" s="82">
        <f>AD387+AD388+AD389+AD390+AD391</f>
        <v>0</v>
      </c>
      <c r="AE634" s="82">
        <f>AE387+AE388+AE389+AE390+AE391</f>
        <v>0</v>
      </c>
      <c r="AF634" s="82">
        <f t="shared" si="253"/>
        <v>240588</v>
      </c>
      <c r="AG634" s="93" t="str">
        <f t="shared" si="251"/>
        <v>ok</v>
      </c>
    </row>
    <row r="635" spans="1:33" s="60" customFormat="1">
      <c r="A635" s="60" t="s">
        <v>656</v>
      </c>
      <c r="C635" s="60" t="s">
        <v>657</v>
      </c>
      <c r="F635" s="79">
        <f>F397+F398+F399+F400</f>
        <v>244786</v>
      </c>
      <c r="G635" s="112"/>
      <c r="H635" s="79">
        <f>H397+H398+H399+H400</f>
        <v>32229.997133764962</v>
      </c>
      <c r="I635" s="79">
        <f t="shared" ref="I635:AE635" si="258">I397+I398+I399+I400</f>
        <v>33762.961973457474</v>
      </c>
      <c r="J635" s="79">
        <f t="shared" si="258"/>
        <v>27753.040892777564</v>
      </c>
      <c r="K635" s="79">
        <f t="shared" si="258"/>
        <v>151040</v>
      </c>
      <c r="L635" s="82">
        <f t="shared" si="258"/>
        <v>0</v>
      </c>
      <c r="M635" s="82">
        <f t="shared" si="258"/>
        <v>0</v>
      </c>
      <c r="N635" s="82">
        <f t="shared" si="258"/>
        <v>0</v>
      </c>
      <c r="O635" s="82">
        <f t="shared" si="258"/>
        <v>0</v>
      </c>
      <c r="P635" s="82">
        <f t="shared" si="258"/>
        <v>0</v>
      </c>
      <c r="Q635" s="82">
        <f t="shared" si="258"/>
        <v>0</v>
      </c>
      <c r="R635" s="82">
        <f t="shared" si="258"/>
        <v>0</v>
      </c>
      <c r="S635" s="82">
        <f t="shared" si="258"/>
        <v>0</v>
      </c>
      <c r="T635" s="82">
        <f t="shared" si="258"/>
        <v>0</v>
      </c>
      <c r="U635" s="82">
        <f t="shared" si="258"/>
        <v>0</v>
      </c>
      <c r="V635" s="82">
        <f t="shared" si="258"/>
        <v>0</v>
      </c>
      <c r="W635" s="82">
        <f t="shared" si="258"/>
        <v>0</v>
      </c>
      <c r="X635" s="82">
        <f t="shared" si="258"/>
        <v>0</v>
      </c>
      <c r="Y635" s="82">
        <f t="shared" si="258"/>
        <v>0</v>
      </c>
      <c r="Z635" s="82">
        <f t="shared" si="258"/>
        <v>0</v>
      </c>
      <c r="AA635" s="82">
        <f t="shared" si="258"/>
        <v>0</v>
      </c>
      <c r="AB635" s="82">
        <f t="shared" si="258"/>
        <v>0</v>
      </c>
      <c r="AC635" s="82">
        <f t="shared" si="258"/>
        <v>0</v>
      </c>
      <c r="AD635" s="82">
        <f t="shared" si="258"/>
        <v>0</v>
      </c>
      <c r="AE635" s="82">
        <f t="shared" si="258"/>
        <v>0</v>
      </c>
      <c r="AF635" s="82">
        <f t="shared" si="253"/>
        <v>244786</v>
      </c>
      <c r="AG635" s="93" t="str">
        <f t="shared" si="251"/>
        <v>ok</v>
      </c>
    </row>
    <row r="636" spans="1:33" s="60" customFormat="1">
      <c r="A636" s="60" t="s">
        <v>659</v>
      </c>
      <c r="C636" s="60" t="s">
        <v>658</v>
      </c>
      <c r="F636" s="79">
        <f>F454+F455+F456+F457+F458+F459+F460+F461+F462+F463</f>
        <v>8611788</v>
      </c>
      <c r="G636" s="112"/>
      <c r="H636" s="79">
        <f>H454+H455+H456+H457+H458+H459+H460+H461+H462+H463</f>
        <v>0</v>
      </c>
      <c r="I636" s="79">
        <f t="shared" ref="I636:AE636" si="259">I454+I455+I456+I457+I458+I459+I460+I461+I462+I463</f>
        <v>0</v>
      </c>
      <c r="J636" s="79">
        <f t="shared" si="259"/>
        <v>0</v>
      </c>
      <c r="K636" s="79">
        <f t="shared" si="259"/>
        <v>0</v>
      </c>
      <c r="L636" s="82">
        <f t="shared" si="259"/>
        <v>0</v>
      </c>
      <c r="M636" s="82">
        <f t="shared" si="259"/>
        <v>0</v>
      </c>
      <c r="N636" s="82">
        <f t="shared" si="259"/>
        <v>0</v>
      </c>
      <c r="O636" s="82">
        <f t="shared" si="259"/>
        <v>0</v>
      </c>
      <c r="P636" s="82">
        <f t="shared" si="259"/>
        <v>0</v>
      </c>
      <c r="Q636" s="82">
        <f t="shared" si="259"/>
        <v>0</v>
      </c>
      <c r="R636" s="82">
        <f t="shared" si="259"/>
        <v>1597876.7869170245</v>
      </c>
      <c r="S636" s="82">
        <f t="shared" si="259"/>
        <v>0</v>
      </c>
      <c r="T636" s="82">
        <f t="shared" si="259"/>
        <v>868087.1728041803</v>
      </c>
      <c r="U636" s="82">
        <f t="shared" si="259"/>
        <v>1319488.7990259128</v>
      </c>
      <c r="V636" s="82">
        <f t="shared" si="259"/>
        <v>278890.65091015655</v>
      </c>
      <c r="W636" s="82">
        <f t="shared" si="259"/>
        <v>412660.24099335447</v>
      </c>
      <c r="X636" s="82">
        <f t="shared" si="259"/>
        <v>112092.53557322365</v>
      </c>
      <c r="Y636" s="82">
        <f t="shared" si="259"/>
        <v>78392.17862883849</v>
      </c>
      <c r="Z636" s="82">
        <f t="shared" si="259"/>
        <v>38931.021656189172</v>
      </c>
      <c r="AA636" s="82">
        <f t="shared" si="259"/>
        <v>3781629.8977025673</v>
      </c>
      <c r="AB636" s="82">
        <f t="shared" si="259"/>
        <v>123738.71578855267</v>
      </c>
      <c r="AC636" s="82">
        <f t="shared" si="259"/>
        <v>0</v>
      </c>
      <c r="AD636" s="82">
        <f t="shared" si="259"/>
        <v>0</v>
      </c>
      <c r="AE636" s="82">
        <f t="shared" si="259"/>
        <v>0</v>
      </c>
      <c r="AF636" s="82">
        <f t="shared" si="253"/>
        <v>8611788</v>
      </c>
      <c r="AG636" s="93" t="str">
        <f t="shared" si="251"/>
        <v>ok</v>
      </c>
    </row>
    <row r="637" spans="1:33" s="60" customFormat="1">
      <c r="A637" s="60" t="s">
        <v>660</v>
      </c>
      <c r="C637" s="60" t="s">
        <v>661</v>
      </c>
      <c r="F637" s="79">
        <f>F475+F476+F477+F478+F479+F480+F481+F482</f>
        <v>3271140</v>
      </c>
      <c r="G637" s="112"/>
      <c r="H637" s="79">
        <f>H475+H476+H477+H478+H479+H480+H481+H482</f>
        <v>0</v>
      </c>
      <c r="I637" s="79">
        <f t="shared" ref="I637:AE637" si="260">I475+I476+I477+I478+I479+I480+I481+I482</f>
        <v>0</v>
      </c>
      <c r="J637" s="79">
        <f t="shared" si="260"/>
        <v>0</v>
      </c>
      <c r="K637" s="79">
        <f t="shared" si="260"/>
        <v>0</v>
      </c>
      <c r="L637" s="82">
        <f t="shared" si="260"/>
        <v>0</v>
      </c>
      <c r="M637" s="82">
        <f t="shared" si="260"/>
        <v>0</v>
      </c>
      <c r="N637" s="82">
        <f t="shared" si="260"/>
        <v>0</v>
      </c>
      <c r="O637" s="82">
        <f t="shared" si="260"/>
        <v>0</v>
      </c>
      <c r="P637" s="82">
        <f t="shared" si="260"/>
        <v>0</v>
      </c>
      <c r="Q637" s="82">
        <f t="shared" si="260"/>
        <v>0</v>
      </c>
      <c r="R637" s="82">
        <f t="shared" si="260"/>
        <v>199000</v>
      </c>
      <c r="S637" s="82">
        <f t="shared" si="260"/>
        <v>0</v>
      </c>
      <c r="T637" s="82">
        <f t="shared" si="260"/>
        <v>898402.37669434003</v>
      </c>
      <c r="U637" s="82">
        <f t="shared" si="260"/>
        <v>1348157.25470566</v>
      </c>
      <c r="V637" s="82">
        <f t="shared" si="260"/>
        <v>299940.08960566</v>
      </c>
      <c r="W637" s="82">
        <f t="shared" si="260"/>
        <v>441123.27899434004</v>
      </c>
      <c r="X637" s="82">
        <f t="shared" si="260"/>
        <v>45733.305287180439</v>
      </c>
      <c r="Y637" s="82">
        <f t="shared" si="260"/>
        <v>31983.694712819564</v>
      </c>
      <c r="Z637" s="82">
        <f t="shared" si="260"/>
        <v>0</v>
      </c>
      <c r="AA637" s="82">
        <f t="shared" si="260"/>
        <v>0</v>
      </c>
      <c r="AB637" s="82">
        <f t="shared" si="260"/>
        <v>6800</v>
      </c>
      <c r="AC637" s="82">
        <f t="shared" si="260"/>
        <v>0</v>
      </c>
      <c r="AD637" s="82">
        <f t="shared" si="260"/>
        <v>0</v>
      </c>
      <c r="AE637" s="82">
        <f t="shared" si="260"/>
        <v>0</v>
      </c>
      <c r="AF637" s="82">
        <f t="shared" si="253"/>
        <v>3271140.0000000005</v>
      </c>
      <c r="AG637" s="93" t="str">
        <f t="shared" si="251"/>
        <v>ok</v>
      </c>
    </row>
    <row r="638" spans="1:33" s="60" customFormat="1">
      <c r="A638" s="60" t="s">
        <v>1025</v>
      </c>
      <c r="C638" s="60" t="s">
        <v>662</v>
      </c>
      <c r="F638" s="81">
        <v>1</v>
      </c>
      <c r="G638" s="81"/>
      <c r="H638" s="229">
        <v>0</v>
      </c>
      <c r="I638" s="229">
        <v>0</v>
      </c>
      <c r="J638" s="229">
        <v>0</v>
      </c>
      <c r="K638" s="229">
        <v>0</v>
      </c>
      <c r="L638" s="229">
        <v>0</v>
      </c>
      <c r="M638" s="229">
        <v>0</v>
      </c>
      <c r="N638" s="229">
        <v>0</v>
      </c>
      <c r="O638" s="229">
        <v>0</v>
      </c>
      <c r="P638" s="229">
        <v>0</v>
      </c>
      <c r="Q638" s="229">
        <v>0</v>
      </c>
      <c r="R638" s="229">
        <v>0</v>
      </c>
      <c r="S638" s="229">
        <v>0</v>
      </c>
      <c r="T638" s="229">
        <v>0</v>
      </c>
      <c r="U638" s="229">
        <v>0</v>
      </c>
      <c r="V638" s="229">
        <v>0</v>
      </c>
      <c r="W638" s="229">
        <v>0</v>
      </c>
      <c r="X638" s="81">
        <v>0</v>
      </c>
      <c r="Y638" s="81">
        <v>0</v>
      </c>
      <c r="Z638" s="81">
        <v>0</v>
      </c>
      <c r="AA638" s="81">
        <v>0</v>
      </c>
      <c r="AB638" s="81">
        <v>0</v>
      </c>
      <c r="AC638" s="81">
        <v>1</v>
      </c>
      <c r="AD638" s="81">
        <v>0</v>
      </c>
      <c r="AE638" s="81">
        <v>0</v>
      </c>
      <c r="AF638" s="229">
        <f t="shared" si="253"/>
        <v>1</v>
      </c>
      <c r="AG638" s="93" t="str">
        <f t="shared" si="251"/>
        <v>ok</v>
      </c>
    </row>
    <row r="639" spans="1:33" s="60" customFormat="1">
      <c r="A639" s="60" t="s">
        <v>1036</v>
      </c>
      <c r="C639" s="60" t="s">
        <v>663</v>
      </c>
      <c r="F639" s="81">
        <v>1</v>
      </c>
      <c r="G639" s="81"/>
      <c r="H639" s="229">
        <v>0</v>
      </c>
      <c r="I639" s="229">
        <v>0</v>
      </c>
      <c r="J639" s="229">
        <v>0</v>
      </c>
      <c r="K639" s="229">
        <v>0</v>
      </c>
      <c r="L639" s="229">
        <v>0</v>
      </c>
      <c r="M639" s="229">
        <v>0</v>
      </c>
      <c r="N639" s="229">
        <v>0</v>
      </c>
      <c r="O639" s="229">
        <v>0</v>
      </c>
      <c r="P639" s="229">
        <v>0</v>
      </c>
      <c r="Q639" s="229">
        <v>0</v>
      </c>
      <c r="R639" s="229">
        <v>0</v>
      </c>
      <c r="S639" s="229">
        <v>0</v>
      </c>
      <c r="T639" s="229">
        <v>0</v>
      </c>
      <c r="U639" s="229">
        <v>0</v>
      </c>
      <c r="V639" s="229">
        <v>0</v>
      </c>
      <c r="W639" s="229">
        <v>0</v>
      </c>
      <c r="X639" s="81">
        <v>0</v>
      </c>
      <c r="Y639" s="81">
        <v>0</v>
      </c>
      <c r="Z639" s="81">
        <v>0</v>
      </c>
      <c r="AA639" s="81">
        <v>0</v>
      </c>
      <c r="AB639" s="81">
        <v>0</v>
      </c>
      <c r="AC639" s="81">
        <v>0</v>
      </c>
      <c r="AD639" s="81">
        <v>1</v>
      </c>
      <c r="AE639" s="81">
        <v>0</v>
      </c>
      <c r="AF639" s="229">
        <f t="shared" si="253"/>
        <v>1</v>
      </c>
      <c r="AG639" s="93" t="str">
        <f t="shared" si="251"/>
        <v>ok</v>
      </c>
    </row>
    <row r="640" spans="1:33" s="60" customFormat="1">
      <c r="A640" s="60" t="s">
        <v>886</v>
      </c>
      <c r="C640" s="60" t="s">
        <v>885</v>
      </c>
      <c r="F640" s="79">
        <f>F39+F40</f>
        <v>857428693</v>
      </c>
      <c r="G640" s="79">
        <f t="shared" ref="G640:AE640" si="261">G39+G40</f>
        <v>0</v>
      </c>
      <c r="H640" s="79">
        <f t="shared" si="261"/>
        <v>0</v>
      </c>
      <c r="I640" s="79">
        <f t="shared" si="261"/>
        <v>0</v>
      </c>
      <c r="J640" s="79">
        <f t="shared" si="261"/>
        <v>0</v>
      </c>
      <c r="K640" s="79">
        <f t="shared" si="261"/>
        <v>0</v>
      </c>
      <c r="L640" s="79">
        <f t="shared" si="261"/>
        <v>0</v>
      </c>
      <c r="M640" s="79">
        <f t="shared" si="261"/>
        <v>0</v>
      </c>
      <c r="N640" s="79">
        <f t="shared" si="261"/>
        <v>0</v>
      </c>
      <c r="O640" s="79">
        <f t="shared" si="261"/>
        <v>0</v>
      </c>
      <c r="P640" s="79">
        <f t="shared" si="261"/>
        <v>0</v>
      </c>
      <c r="Q640" s="79">
        <f t="shared" si="261"/>
        <v>0</v>
      </c>
      <c r="R640" s="79">
        <f t="shared" si="261"/>
        <v>0</v>
      </c>
      <c r="S640" s="79">
        <f t="shared" si="261"/>
        <v>0</v>
      </c>
      <c r="T640" s="79">
        <f t="shared" si="261"/>
        <v>261090031.11421514</v>
      </c>
      <c r="U640" s="79">
        <f t="shared" si="261"/>
        <v>415491278.21078491</v>
      </c>
      <c r="V640" s="79">
        <f t="shared" si="261"/>
        <v>71774630.733684897</v>
      </c>
      <c r="W640" s="79">
        <f t="shared" si="261"/>
        <v>109072752.94131508</v>
      </c>
      <c r="X640" s="79">
        <f t="shared" si="261"/>
        <v>0</v>
      </c>
      <c r="Y640" s="79">
        <f t="shared" si="261"/>
        <v>0</v>
      </c>
      <c r="Z640" s="79">
        <f t="shared" si="261"/>
        <v>0</v>
      </c>
      <c r="AA640" s="79">
        <f t="shared" si="261"/>
        <v>0</v>
      </c>
      <c r="AB640" s="79">
        <f t="shared" si="261"/>
        <v>0</v>
      </c>
      <c r="AC640" s="79">
        <f t="shared" si="261"/>
        <v>0</v>
      </c>
      <c r="AD640" s="79">
        <f t="shared" si="261"/>
        <v>0</v>
      </c>
      <c r="AE640" s="79">
        <f t="shared" si="261"/>
        <v>0</v>
      </c>
      <c r="AF640" s="82">
        <f t="shared" ref="AF640:AF648" si="262">SUM(H640:AE640)</f>
        <v>857428693</v>
      </c>
      <c r="AG640" s="93" t="str">
        <f t="shared" si="251"/>
        <v>ok</v>
      </c>
    </row>
    <row r="641" spans="1:33" s="60" customFormat="1">
      <c r="A641" s="60" t="s">
        <v>910</v>
      </c>
      <c r="D641" s="60" t="s">
        <v>638</v>
      </c>
      <c r="F641" s="79">
        <v>20765365.719999999</v>
      </c>
      <c r="G641" s="79"/>
      <c r="H641" s="79">
        <f t="shared" ref="H641:Q642" si="263">IF(VLOOKUP($D641,$C$6:$AE$653,H$2,)=0,0,((VLOOKUP($D641,$C$6:$AE$653,H$2,)/VLOOKUP($D641,$C$6:$AE$653,4,))*$F641))</f>
        <v>7139159.8322827769</v>
      </c>
      <c r="I641" s="79">
        <f t="shared" si="263"/>
        <v>7478721.792602323</v>
      </c>
      <c r="J641" s="79">
        <f t="shared" si="263"/>
        <v>6147484.0951148998</v>
      </c>
      <c r="K641" s="79">
        <f t="shared" si="263"/>
        <v>0</v>
      </c>
      <c r="L641" s="79">
        <f t="shared" si="263"/>
        <v>0</v>
      </c>
      <c r="M641" s="79">
        <f t="shared" si="263"/>
        <v>0</v>
      </c>
      <c r="N641" s="79">
        <f t="shared" si="263"/>
        <v>0</v>
      </c>
      <c r="O641" s="79">
        <f t="shared" si="263"/>
        <v>0</v>
      </c>
      <c r="P641" s="79">
        <f t="shared" si="263"/>
        <v>0</v>
      </c>
      <c r="Q641" s="79">
        <f t="shared" si="263"/>
        <v>0</v>
      </c>
      <c r="R641" s="79">
        <f t="shared" ref="R641:AE642" si="264">IF(VLOOKUP($D641,$C$6:$AE$653,R$2,)=0,0,((VLOOKUP($D641,$C$6:$AE$653,R$2,)/VLOOKUP($D641,$C$6:$AE$653,4,))*$F641))</f>
        <v>0</v>
      </c>
      <c r="S641" s="79">
        <f t="shared" si="264"/>
        <v>0</v>
      </c>
      <c r="T641" s="79">
        <f t="shared" si="264"/>
        <v>0</v>
      </c>
      <c r="U641" s="79">
        <f t="shared" si="264"/>
        <v>0</v>
      </c>
      <c r="V641" s="79">
        <f t="shared" si="264"/>
        <v>0</v>
      </c>
      <c r="W641" s="79">
        <f t="shared" si="264"/>
        <v>0</v>
      </c>
      <c r="X641" s="79">
        <f t="shared" si="264"/>
        <v>0</v>
      </c>
      <c r="Y641" s="79">
        <f t="shared" si="264"/>
        <v>0</v>
      </c>
      <c r="Z641" s="79">
        <f t="shared" si="264"/>
        <v>0</v>
      </c>
      <c r="AA641" s="79">
        <f t="shared" si="264"/>
        <v>0</v>
      </c>
      <c r="AB641" s="79">
        <f t="shared" si="264"/>
        <v>0</v>
      </c>
      <c r="AC641" s="79">
        <f t="shared" si="264"/>
        <v>0</v>
      </c>
      <c r="AD641" s="79">
        <f t="shared" si="264"/>
        <v>0</v>
      </c>
      <c r="AE641" s="79">
        <f t="shared" si="264"/>
        <v>0</v>
      </c>
      <c r="AF641" s="79">
        <f t="shared" si="262"/>
        <v>20765365.719999999</v>
      </c>
      <c r="AG641" s="93" t="str">
        <f>IF(ABS(AF641-F641)&lt;1,"ok","err")</f>
        <v>ok</v>
      </c>
    </row>
    <row r="642" spans="1:33" s="60" customFormat="1">
      <c r="A642" s="60" t="s">
        <v>911</v>
      </c>
      <c r="D642" s="60" t="s">
        <v>641</v>
      </c>
      <c r="F642" s="79">
        <v>48301061.920000002</v>
      </c>
      <c r="G642" s="81"/>
      <c r="H642" s="79">
        <f t="shared" si="263"/>
        <v>0</v>
      </c>
      <c r="I642" s="79">
        <f t="shared" si="263"/>
        <v>0</v>
      </c>
      <c r="J642" s="79">
        <f t="shared" si="263"/>
        <v>0</v>
      </c>
      <c r="K642" s="79">
        <f t="shared" si="263"/>
        <v>48301061.920000002</v>
      </c>
      <c r="L642" s="79">
        <f t="shared" si="263"/>
        <v>0</v>
      </c>
      <c r="M642" s="79">
        <f t="shared" si="263"/>
        <v>0</v>
      </c>
      <c r="N642" s="79">
        <f t="shared" si="263"/>
        <v>0</v>
      </c>
      <c r="O642" s="79">
        <f t="shared" si="263"/>
        <v>0</v>
      </c>
      <c r="P642" s="79">
        <f t="shared" si="263"/>
        <v>0</v>
      </c>
      <c r="Q642" s="79">
        <f t="shared" si="263"/>
        <v>0</v>
      </c>
      <c r="R642" s="79">
        <f t="shared" si="264"/>
        <v>0</v>
      </c>
      <c r="S642" s="79">
        <f t="shared" si="264"/>
        <v>0</v>
      </c>
      <c r="T642" s="79">
        <f t="shared" si="264"/>
        <v>0</v>
      </c>
      <c r="U642" s="79">
        <f t="shared" si="264"/>
        <v>0</v>
      </c>
      <c r="V642" s="79">
        <f t="shared" si="264"/>
        <v>0</v>
      </c>
      <c r="W642" s="79">
        <f t="shared" si="264"/>
        <v>0</v>
      </c>
      <c r="X642" s="79">
        <f t="shared" si="264"/>
        <v>0</v>
      </c>
      <c r="Y642" s="79">
        <f t="shared" si="264"/>
        <v>0</v>
      </c>
      <c r="Z642" s="79">
        <f t="shared" si="264"/>
        <v>0</v>
      </c>
      <c r="AA642" s="79">
        <f t="shared" si="264"/>
        <v>0</v>
      </c>
      <c r="AB642" s="79">
        <f t="shared" si="264"/>
        <v>0</v>
      </c>
      <c r="AC642" s="79">
        <f t="shared" si="264"/>
        <v>0</v>
      </c>
      <c r="AD642" s="79">
        <f t="shared" si="264"/>
        <v>0</v>
      </c>
      <c r="AE642" s="79">
        <f t="shared" si="264"/>
        <v>0</v>
      </c>
      <c r="AF642" s="79">
        <f t="shared" si="262"/>
        <v>48301061.920000002</v>
      </c>
      <c r="AG642" s="93" t="str">
        <f>IF(ABS(AF642-F642)&lt;1,"ok","err")</f>
        <v>ok</v>
      </c>
    </row>
    <row r="643" spans="1:33" s="60" customFormat="1">
      <c r="A643" s="60" t="s">
        <v>10</v>
      </c>
      <c r="C643" s="60" t="s">
        <v>986</v>
      </c>
      <c r="F643" s="79">
        <f>F641+F642</f>
        <v>69066427.640000001</v>
      </c>
      <c r="G643" s="79"/>
      <c r="H643" s="79">
        <f>H641+H642</f>
        <v>7139159.8322827769</v>
      </c>
      <c r="I643" s="79">
        <f t="shared" ref="I643:AE643" si="265">I641+I642</f>
        <v>7478721.792602323</v>
      </c>
      <c r="J643" s="79">
        <f t="shared" si="265"/>
        <v>6147484.0951148998</v>
      </c>
      <c r="K643" s="79">
        <f t="shared" si="265"/>
        <v>48301061.920000002</v>
      </c>
      <c r="L643" s="79">
        <f t="shared" si="265"/>
        <v>0</v>
      </c>
      <c r="M643" s="79">
        <f t="shared" si="265"/>
        <v>0</v>
      </c>
      <c r="N643" s="79">
        <f t="shared" si="265"/>
        <v>0</v>
      </c>
      <c r="O643" s="79">
        <f t="shared" si="265"/>
        <v>0</v>
      </c>
      <c r="P643" s="79">
        <f t="shared" si="265"/>
        <v>0</v>
      </c>
      <c r="Q643" s="79">
        <f t="shared" si="265"/>
        <v>0</v>
      </c>
      <c r="R643" s="79">
        <f t="shared" si="265"/>
        <v>0</v>
      </c>
      <c r="S643" s="79">
        <f t="shared" si="265"/>
        <v>0</v>
      </c>
      <c r="T643" s="79">
        <f t="shared" si="265"/>
        <v>0</v>
      </c>
      <c r="U643" s="79">
        <f t="shared" si="265"/>
        <v>0</v>
      </c>
      <c r="V643" s="79">
        <f t="shared" si="265"/>
        <v>0</v>
      </c>
      <c r="W643" s="79">
        <f t="shared" si="265"/>
        <v>0</v>
      </c>
      <c r="X643" s="79">
        <f t="shared" si="265"/>
        <v>0</v>
      </c>
      <c r="Y643" s="79">
        <f t="shared" si="265"/>
        <v>0</v>
      </c>
      <c r="Z643" s="79">
        <f t="shared" si="265"/>
        <v>0</v>
      </c>
      <c r="AA643" s="79">
        <f t="shared" si="265"/>
        <v>0</v>
      </c>
      <c r="AB643" s="79">
        <f t="shared" si="265"/>
        <v>0</v>
      </c>
      <c r="AC643" s="79">
        <f t="shared" si="265"/>
        <v>0</v>
      </c>
      <c r="AD643" s="79">
        <f t="shared" si="265"/>
        <v>0</v>
      </c>
      <c r="AE643" s="79">
        <f t="shared" si="265"/>
        <v>0</v>
      </c>
      <c r="AF643" s="79">
        <f t="shared" si="262"/>
        <v>69066427.640000001</v>
      </c>
      <c r="AG643" s="93" t="str">
        <f>IF(ABS(AF643-F643)&lt;1,"ok","err")</f>
        <v>ok</v>
      </c>
    </row>
    <row r="644" spans="1:33" s="60" customFormat="1">
      <c r="A644" s="60" t="s">
        <v>116</v>
      </c>
      <c r="C644" s="60" t="s">
        <v>114</v>
      </c>
      <c r="F644" s="83">
        <v>1</v>
      </c>
      <c r="H644" s="79">
        <v>0</v>
      </c>
      <c r="I644" s="79">
        <v>0</v>
      </c>
      <c r="J644" s="79">
        <v>0</v>
      </c>
      <c r="K644" s="79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0</v>
      </c>
      <c r="Q644" s="79">
        <v>0</v>
      </c>
      <c r="R644" s="79">
        <v>0</v>
      </c>
      <c r="S644" s="79">
        <v>0</v>
      </c>
      <c r="T644" s="79">
        <v>0</v>
      </c>
      <c r="U644" s="79">
        <v>0</v>
      </c>
      <c r="V644" s="79">
        <v>0</v>
      </c>
      <c r="W644" s="79">
        <v>0</v>
      </c>
      <c r="X644" s="79">
        <v>0</v>
      </c>
      <c r="Y644" s="79">
        <v>0</v>
      </c>
      <c r="Z644" s="79">
        <v>0</v>
      </c>
      <c r="AA644" s="79">
        <v>0</v>
      </c>
      <c r="AB644" s="79">
        <v>0</v>
      </c>
      <c r="AC644" s="83">
        <v>1</v>
      </c>
      <c r="AD644" s="79">
        <v>0</v>
      </c>
      <c r="AE644" s="79">
        <v>0</v>
      </c>
      <c r="AF644" s="229">
        <f t="shared" si="262"/>
        <v>1</v>
      </c>
      <c r="AG644" s="93" t="str">
        <f>IF(ABS(AF644-F644)&lt;1,"ok","err")</f>
        <v>ok</v>
      </c>
    </row>
    <row r="645" spans="1:33" s="60" customFormat="1">
      <c r="A645" s="60" t="s">
        <v>117</v>
      </c>
      <c r="C645" s="60" t="s">
        <v>115</v>
      </c>
      <c r="F645" s="83">
        <v>1</v>
      </c>
      <c r="H645" s="79">
        <v>0</v>
      </c>
      <c r="I645" s="79">
        <v>0</v>
      </c>
      <c r="J645" s="79">
        <v>0</v>
      </c>
      <c r="K645" s="79">
        <v>0</v>
      </c>
      <c r="L645" s="79">
        <v>0</v>
      </c>
      <c r="M645" s="79">
        <v>0</v>
      </c>
      <c r="N645" s="79">
        <v>0</v>
      </c>
      <c r="O645" s="79">
        <v>0</v>
      </c>
      <c r="P645" s="79">
        <v>0</v>
      </c>
      <c r="Q645" s="79">
        <v>0</v>
      </c>
      <c r="R645" s="79">
        <v>0</v>
      </c>
      <c r="S645" s="79">
        <v>0</v>
      </c>
      <c r="T645" s="79">
        <v>0</v>
      </c>
      <c r="U645" s="79">
        <v>0</v>
      </c>
      <c r="V645" s="79">
        <v>0</v>
      </c>
      <c r="W645" s="79">
        <v>0</v>
      </c>
      <c r="X645" s="79">
        <v>0</v>
      </c>
      <c r="Y645" s="79">
        <v>0</v>
      </c>
      <c r="Z645" s="79">
        <v>0</v>
      </c>
      <c r="AA645" s="79">
        <v>0</v>
      </c>
      <c r="AB645" s="79">
        <v>0</v>
      </c>
      <c r="AC645" s="83">
        <v>1</v>
      </c>
      <c r="AD645" s="79">
        <v>0</v>
      </c>
      <c r="AE645" s="79">
        <v>0</v>
      </c>
      <c r="AF645" s="229">
        <f t="shared" si="262"/>
        <v>1</v>
      </c>
      <c r="AG645" s="93" t="str">
        <f>IF(ABS(AF645-F645)&lt;1,"ok","err")</f>
        <v>ok</v>
      </c>
    </row>
    <row r="646" spans="1:33" s="60" customFormat="1">
      <c r="A646" s="60" t="s">
        <v>122</v>
      </c>
      <c r="C646" s="60" t="s">
        <v>119</v>
      </c>
      <c r="F646" s="81">
        <v>1</v>
      </c>
      <c r="G646" s="81"/>
      <c r="H646" s="229">
        <v>0</v>
      </c>
      <c r="I646" s="229">
        <v>0</v>
      </c>
      <c r="J646" s="229">
        <v>0</v>
      </c>
      <c r="K646" s="229">
        <v>0</v>
      </c>
      <c r="L646" s="229">
        <v>0</v>
      </c>
      <c r="M646" s="229">
        <v>1</v>
      </c>
      <c r="N646" s="229">
        <v>0</v>
      </c>
      <c r="O646" s="229">
        <v>0</v>
      </c>
      <c r="P646" s="229">
        <v>0</v>
      </c>
      <c r="Q646" s="229">
        <v>0</v>
      </c>
      <c r="R646" s="229">
        <v>0</v>
      </c>
      <c r="S646" s="229">
        <v>0</v>
      </c>
      <c r="T646" s="229">
        <v>0</v>
      </c>
      <c r="U646" s="229">
        <v>0</v>
      </c>
      <c r="V646" s="229">
        <v>0</v>
      </c>
      <c r="W646" s="229">
        <v>0</v>
      </c>
      <c r="X646" s="81">
        <v>0</v>
      </c>
      <c r="Y646" s="81">
        <v>0</v>
      </c>
      <c r="Z646" s="81">
        <v>0</v>
      </c>
      <c r="AA646" s="81">
        <v>0</v>
      </c>
      <c r="AB646" s="81">
        <v>0</v>
      </c>
      <c r="AC646" s="81">
        <v>0</v>
      </c>
      <c r="AD646" s="81">
        <v>0</v>
      </c>
      <c r="AE646" s="81">
        <v>0</v>
      </c>
      <c r="AF646" s="229">
        <f t="shared" si="262"/>
        <v>1</v>
      </c>
      <c r="AG646" s="93" t="str">
        <f>IF(ABS(AF646-F646)&lt;0.0000001,"ok","err")</f>
        <v>ok</v>
      </c>
    </row>
    <row r="647" spans="1:33" s="60" customFormat="1">
      <c r="A647" s="60" t="s">
        <v>121</v>
      </c>
      <c r="C647" s="60" t="s">
        <v>120</v>
      </c>
      <c r="F647" s="81">
        <v>1</v>
      </c>
      <c r="G647" s="81"/>
      <c r="H647" s="229">
        <v>1</v>
      </c>
      <c r="I647" s="229">
        <v>0</v>
      </c>
      <c r="J647" s="229">
        <v>0</v>
      </c>
      <c r="K647" s="229">
        <v>0</v>
      </c>
      <c r="L647" s="229">
        <v>0</v>
      </c>
      <c r="M647" s="229">
        <v>0</v>
      </c>
      <c r="N647" s="229">
        <v>0</v>
      </c>
      <c r="O647" s="229">
        <v>0</v>
      </c>
      <c r="P647" s="229">
        <v>0</v>
      </c>
      <c r="Q647" s="229">
        <v>0</v>
      </c>
      <c r="R647" s="229">
        <v>0</v>
      </c>
      <c r="S647" s="229">
        <v>0</v>
      </c>
      <c r="T647" s="229">
        <v>0</v>
      </c>
      <c r="U647" s="229">
        <v>0</v>
      </c>
      <c r="V647" s="229">
        <v>0</v>
      </c>
      <c r="W647" s="229">
        <v>0</v>
      </c>
      <c r="X647" s="81">
        <v>0</v>
      </c>
      <c r="Y647" s="81">
        <v>0</v>
      </c>
      <c r="Z647" s="81">
        <v>0</v>
      </c>
      <c r="AA647" s="81">
        <v>0</v>
      </c>
      <c r="AB647" s="81">
        <v>0</v>
      </c>
      <c r="AC647" s="81">
        <v>0</v>
      </c>
      <c r="AD647" s="81">
        <v>0</v>
      </c>
      <c r="AE647" s="81">
        <v>0</v>
      </c>
      <c r="AF647" s="229">
        <f t="shared" si="262"/>
        <v>1</v>
      </c>
      <c r="AG647" s="93" t="str">
        <f>IF(ABS(AF647-F647)&lt;0.0000001,"ok","err")</f>
        <v>ok</v>
      </c>
    </row>
    <row r="648" spans="1:33" s="60" customFormat="1">
      <c r="C648" s="60" t="s">
        <v>930</v>
      </c>
      <c r="F648" s="81">
        <v>1</v>
      </c>
      <c r="G648" s="81"/>
      <c r="H648" s="229">
        <v>0</v>
      </c>
      <c r="I648" s="229">
        <v>0</v>
      </c>
      <c r="J648" s="229">
        <v>0</v>
      </c>
      <c r="K648" s="229">
        <v>1</v>
      </c>
      <c r="L648" s="229">
        <v>0</v>
      </c>
      <c r="M648" s="229">
        <v>0</v>
      </c>
      <c r="N648" s="229">
        <v>0</v>
      </c>
      <c r="O648" s="229">
        <v>0</v>
      </c>
      <c r="P648" s="229">
        <v>0</v>
      </c>
      <c r="Q648" s="229">
        <v>0</v>
      </c>
      <c r="R648" s="229">
        <v>0</v>
      </c>
      <c r="S648" s="229">
        <v>0</v>
      </c>
      <c r="T648" s="229">
        <v>0</v>
      </c>
      <c r="U648" s="229">
        <v>0</v>
      </c>
      <c r="V648" s="229">
        <v>0</v>
      </c>
      <c r="W648" s="229">
        <v>0</v>
      </c>
      <c r="X648" s="81">
        <v>0</v>
      </c>
      <c r="Y648" s="81">
        <v>0</v>
      </c>
      <c r="Z648" s="81">
        <v>0</v>
      </c>
      <c r="AA648" s="81">
        <v>0</v>
      </c>
      <c r="AB648" s="81">
        <v>0</v>
      </c>
      <c r="AC648" s="81">
        <v>0</v>
      </c>
      <c r="AD648" s="81">
        <v>0</v>
      </c>
      <c r="AE648" s="81">
        <v>0</v>
      </c>
      <c r="AF648" s="229">
        <f t="shared" si="262"/>
        <v>1</v>
      </c>
      <c r="AG648" s="93" t="str">
        <f>IF(ABS(AF648-F648)&lt;0.0000001,"ok","err")</f>
        <v>ok</v>
      </c>
    </row>
    <row r="649" spans="1:33" s="60" customFormat="1">
      <c r="W649" s="77"/>
      <c r="AG649" s="93"/>
    </row>
    <row r="650" spans="1:33" s="60" customFormat="1" ht="15">
      <c r="A650" s="65" t="s">
        <v>901</v>
      </c>
      <c r="W650" s="77"/>
      <c r="AG650" s="93"/>
    </row>
    <row r="651" spans="1:33" s="60" customFormat="1">
      <c r="A651" s="60" t="s">
        <v>884</v>
      </c>
      <c r="D651" s="60" t="s">
        <v>1163</v>
      </c>
      <c r="F651" s="81">
        <v>1</v>
      </c>
      <c r="H651" s="110">
        <f>H50/$F$50</f>
        <v>0.19283906465573772</v>
      </c>
      <c r="I651" s="110">
        <f>I50/$F$50</f>
        <v>0.20201112584486958</v>
      </c>
      <c r="J651" s="110">
        <f>J50/$F$50</f>
        <v>0.16605246425879791</v>
      </c>
      <c r="K651" s="110">
        <f>K50/$F$50</f>
        <v>0</v>
      </c>
      <c r="L651" s="110">
        <f t="shared" ref="L651:AE651" si="266">L50/$F$50</f>
        <v>0</v>
      </c>
      <c r="M651" s="110">
        <f t="shared" si="266"/>
        <v>0</v>
      </c>
      <c r="N651" s="110">
        <f t="shared" si="266"/>
        <v>0.10758568985889098</v>
      </c>
      <c r="O651" s="110">
        <f t="shared" si="266"/>
        <v>0</v>
      </c>
      <c r="P651" s="110">
        <f t="shared" si="266"/>
        <v>0</v>
      </c>
      <c r="Q651" s="110">
        <f t="shared" si="266"/>
        <v>0</v>
      </c>
      <c r="R651" s="110">
        <f t="shared" si="266"/>
        <v>3.7143345726016942E-2</v>
      </c>
      <c r="S651" s="110">
        <f t="shared" si="266"/>
        <v>0</v>
      </c>
      <c r="T651" s="110">
        <f t="shared" si="266"/>
        <v>6.3518941758240924E-2</v>
      </c>
      <c r="U651" s="110">
        <f t="shared" si="266"/>
        <v>0.10108224427068532</v>
      </c>
      <c r="V651" s="110">
        <f t="shared" si="266"/>
        <v>1.7461595794508913E-2</v>
      </c>
      <c r="W651" s="110">
        <f t="shared" si="266"/>
        <v>2.6535619961911242E-2</v>
      </c>
      <c r="X651" s="110">
        <f t="shared" si="266"/>
        <v>2.4137193656131796E-2</v>
      </c>
      <c r="Y651" s="110">
        <f t="shared" si="266"/>
        <v>1.6880403204496217E-2</v>
      </c>
      <c r="Z651" s="110">
        <f t="shared" si="266"/>
        <v>8.3831238551353472E-3</v>
      </c>
      <c r="AA651" s="110">
        <f t="shared" si="266"/>
        <v>9.7241895151196339E-3</v>
      </c>
      <c r="AB651" s="110">
        <f t="shared" si="266"/>
        <v>2.6644997639457487E-2</v>
      </c>
      <c r="AC651" s="110">
        <f t="shared" si="266"/>
        <v>0</v>
      </c>
      <c r="AD651" s="110">
        <f t="shared" si="266"/>
        <v>0</v>
      </c>
      <c r="AE651" s="110">
        <f t="shared" si="266"/>
        <v>0</v>
      </c>
      <c r="AF651" s="229">
        <f t="shared" ref="AF651:AF669" si="267">SUM(H651:AE651)</f>
        <v>1</v>
      </c>
      <c r="AG651" s="93" t="str">
        <f t="shared" ref="AG651:AG669" si="268">IF(ABS(AF651-F651)&lt;0.0000001,"ok","err")</f>
        <v>ok</v>
      </c>
    </row>
    <row r="652" spans="1:33" s="60" customFormat="1">
      <c r="A652" s="60" t="s">
        <v>955</v>
      </c>
      <c r="D652" s="60" t="s">
        <v>935</v>
      </c>
      <c r="F652" s="81">
        <v>1</v>
      </c>
      <c r="H652" s="110">
        <f>H48/$F$48</f>
        <v>0</v>
      </c>
      <c r="I652" s="110">
        <f t="shared" ref="I652:AE652" si="269">I48/$F$48</f>
        <v>0</v>
      </c>
      <c r="J652" s="110">
        <f t="shared" si="269"/>
        <v>0</v>
      </c>
      <c r="K652" s="110">
        <f t="shared" si="269"/>
        <v>0</v>
      </c>
      <c r="L652" s="110">
        <f t="shared" si="269"/>
        <v>0</v>
      </c>
      <c r="M652" s="110">
        <f t="shared" si="269"/>
        <v>0</v>
      </c>
      <c r="N652" s="110">
        <f t="shared" si="269"/>
        <v>0</v>
      </c>
      <c r="O652" s="110">
        <f t="shared" si="269"/>
        <v>0</v>
      </c>
      <c r="P652" s="110">
        <f t="shared" si="269"/>
        <v>0</v>
      </c>
      <c r="Q652" s="110">
        <f t="shared" si="269"/>
        <v>0</v>
      </c>
      <c r="R652" s="110">
        <f t="shared" si="269"/>
        <v>0.11204235242724708</v>
      </c>
      <c r="S652" s="110">
        <f t="shared" si="269"/>
        <v>0</v>
      </c>
      <c r="T652" s="110">
        <f t="shared" si="269"/>
        <v>0.19160394733363137</v>
      </c>
      <c r="U652" s="110">
        <f t="shared" si="269"/>
        <v>0.30491309318913334</v>
      </c>
      <c r="V652" s="110">
        <f t="shared" si="269"/>
        <v>5.267264517262165E-2</v>
      </c>
      <c r="W652" s="110">
        <f t="shared" si="269"/>
        <v>8.0044304720924594E-2</v>
      </c>
      <c r="X652" s="110">
        <f t="shared" si="269"/>
        <v>7.2809487281345009E-2</v>
      </c>
      <c r="Y652" s="110">
        <f t="shared" si="269"/>
        <v>5.0919486330156492E-2</v>
      </c>
      <c r="Z652" s="110">
        <f t="shared" si="269"/>
        <v>2.5287568986022486E-2</v>
      </c>
      <c r="AA652" s="110">
        <f t="shared" si="269"/>
        <v>2.9332873693153152E-2</v>
      </c>
      <c r="AB652" s="110">
        <f t="shared" si="269"/>
        <v>8.0374240865764834E-2</v>
      </c>
      <c r="AC652" s="110">
        <f t="shared" si="269"/>
        <v>0</v>
      </c>
      <c r="AD652" s="110">
        <f t="shared" si="269"/>
        <v>0</v>
      </c>
      <c r="AE652" s="110">
        <f t="shared" si="269"/>
        <v>0</v>
      </c>
      <c r="AF652" s="229">
        <f t="shared" si="267"/>
        <v>1</v>
      </c>
      <c r="AG652" s="93" t="str">
        <f t="shared" si="268"/>
        <v>ok</v>
      </c>
    </row>
    <row r="653" spans="1:33" s="60" customFormat="1">
      <c r="A653" s="60" t="s">
        <v>1133</v>
      </c>
      <c r="D653" s="60" t="s">
        <v>1161</v>
      </c>
      <c r="F653" s="81">
        <v>1</v>
      </c>
      <c r="H653" s="110">
        <f t="shared" ref="H653:AE653" si="270">H33/$F$33</f>
        <v>0</v>
      </c>
      <c r="I653" s="110">
        <f t="shared" si="270"/>
        <v>0</v>
      </c>
      <c r="J653" s="110">
        <f t="shared" si="270"/>
        <v>0</v>
      </c>
      <c r="K653" s="110">
        <f t="shared" si="270"/>
        <v>0</v>
      </c>
      <c r="L653" s="110">
        <f t="shared" si="270"/>
        <v>0</v>
      </c>
      <c r="M653" s="110">
        <f t="shared" si="270"/>
        <v>0</v>
      </c>
      <c r="N653" s="110">
        <f t="shared" si="270"/>
        <v>1</v>
      </c>
      <c r="O653" s="110">
        <f t="shared" si="270"/>
        <v>0</v>
      </c>
      <c r="P653" s="110">
        <f t="shared" si="270"/>
        <v>0</v>
      </c>
      <c r="Q653" s="110">
        <f t="shared" si="270"/>
        <v>0</v>
      </c>
      <c r="R653" s="110">
        <f t="shared" si="270"/>
        <v>0</v>
      </c>
      <c r="S653" s="110">
        <f t="shared" si="270"/>
        <v>0</v>
      </c>
      <c r="T653" s="110">
        <f t="shared" si="270"/>
        <v>0</v>
      </c>
      <c r="U653" s="110">
        <f t="shared" si="270"/>
        <v>0</v>
      </c>
      <c r="V653" s="110">
        <f t="shared" si="270"/>
        <v>0</v>
      </c>
      <c r="W653" s="110">
        <f t="shared" si="270"/>
        <v>0</v>
      </c>
      <c r="X653" s="110">
        <f t="shared" si="270"/>
        <v>0</v>
      </c>
      <c r="Y653" s="110">
        <f t="shared" si="270"/>
        <v>0</v>
      </c>
      <c r="Z653" s="110">
        <f t="shared" si="270"/>
        <v>0</v>
      </c>
      <c r="AA653" s="110">
        <f t="shared" si="270"/>
        <v>0</v>
      </c>
      <c r="AB653" s="110">
        <f t="shared" si="270"/>
        <v>0</v>
      </c>
      <c r="AC653" s="110">
        <f t="shared" si="270"/>
        <v>0</v>
      </c>
      <c r="AD653" s="110">
        <f t="shared" si="270"/>
        <v>0</v>
      </c>
      <c r="AE653" s="110">
        <f t="shared" si="270"/>
        <v>0</v>
      </c>
      <c r="AF653" s="229">
        <f t="shared" si="267"/>
        <v>1</v>
      </c>
      <c r="AG653" s="93" t="str">
        <f t="shared" si="268"/>
        <v>ok</v>
      </c>
    </row>
    <row r="654" spans="1:33" s="60" customFormat="1">
      <c r="A654" s="60" t="s">
        <v>19</v>
      </c>
      <c r="D654" s="60" t="s">
        <v>977</v>
      </c>
      <c r="F654" s="81">
        <v>1</v>
      </c>
      <c r="H654" s="110">
        <f>H335/$F$335</f>
        <v>4.3768778416331117E-2</v>
      </c>
      <c r="I654" s="110">
        <f t="shared" ref="I654:AE654" si="271">I335/$F$335</f>
        <v>4.5850565706291403E-2</v>
      </c>
      <c r="J654" s="110">
        <f t="shared" si="271"/>
        <v>3.7689010401517835E-2</v>
      </c>
      <c r="K654" s="110">
        <f t="shared" si="271"/>
        <v>0.67726892881506218</v>
      </c>
      <c r="L654" s="110">
        <f t="shared" si="271"/>
        <v>0</v>
      </c>
      <c r="M654" s="110">
        <f t="shared" si="271"/>
        <v>0</v>
      </c>
      <c r="N654" s="110">
        <f t="shared" si="271"/>
        <v>3.5067670947415343E-2</v>
      </c>
      <c r="O654" s="110">
        <f t="shared" si="271"/>
        <v>0</v>
      </c>
      <c r="P654" s="110">
        <f t="shared" si="271"/>
        <v>0</v>
      </c>
      <c r="Q654" s="110">
        <f t="shared" si="271"/>
        <v>0</v>
      </c>
      <c r="R654" s="110">
        <f t="shared" si="271"/>
        <v>1.2964174420705622E-2</v>
      </c>
      <c r="S654" s="110">
        <f t="shared" si="271"/>
        <v>0</v>
      </c>
      <c r="T654" s="110">
        <f t="shared" si="271"/>
        <v>2.2527327911976695E-2</v>
      </c>
      <c r="U654" s="110">
        <f t="shared" si="271"/>
        <v>3.3720513355873949E-2</v>
      </c>
      <c r="V654" s="110">
        <f t="shared" si="271"/>
        <v>7.5757630552024616E-3</v>
      </c>
      <c r="W654" s="110">
        <f t="shared" si="271"/>
        <v>1.1129200837591375E-2</v>
      </c>
      <c r="X654" s="110">
        <f t="shared" si="271"/>
        <v>1.773031757629264E-3</v>
      </c>
      <c r="Y654" s="110">
        <f t="shared" si="271"/>
        <v>1.2399739335709943E-3</v>
      </c>
      <c r="Z654" s="110">
        <f t="shared" si="271"/>
        <v>4.682856116046405E-4</v>
      </c>
      <c r="AA654" s="110">
        <f t="shared" si="271"/>
        <v>2.7183215820071934E-2</v>
      </c>
      <c r="AB654" s="110">
        <f t="shared" si="271"/>
        <v>2.0677175490967548E-3</v>
      </c>
      <c r="AC654" s="110">
        <f t="shared" si="271"/>
        <v>3.2587645183110144E-2</v>
      </c>
      <c r="AD654" s="110">
        <f t="shared" si="271"/>
        <v>7.1181962769479449E-3</v>
      </c>
      <c r="AE654" s="110">
        <f t="shared" si="271"/>
        <v>0</v>
      </c>
      <c r="AF654" s="229">
        <f t="shared" si="267"/>
        <v>0.99999999999999956</v>
      </c>
      <c r="AG654" s="93" t="str">
        <f t="shared" si="268"/>
        <v>ok</v>
      </c>
    </row>
    <row r="655" spans="1:33" s="60" customFormat="1">
      <c r="A655" s="60" t="s">
        <v>959</v>
      </c>
      <c r="D655" s="60" t="s">
        <v>960</v>
      </c>
      <c r="F655" s="81">
        <v>1</v>
      </c>
      <c r="H655" s="110">
        <f>H69/$F$69</f>
        <v>0.19271664493478624</v>
      </c>
      <c r="I655" s="110">
        <f t="shared" ref="I655:AE655" si="272">I69/$F$69</f>
        <v>0.20188288343869962</v>
      </c>
      <c r="J655" s="110">
        <f t="shared" si="272"/>
        <v>0.16594704943336225</v>
      </c>
      <c r="K655" s="110">
        <f t="shared" si="272"/>
        <v>0</v>
      </c>
      <c r="L655" s="110">
        <f t="shared" si="272"/>
        <v>0</v>
      </c>
      <c r="M655" s="110">
        <f t="shared" si="272"/>
        <v>0</v>
      </c>
      <c r="N655" s="110">
        <f t="shared" si="272"/>
        <v>0.10750802998836849</v>
      </c>
      <c r="O655" s="110">
        <f t="shared" si="272"/>
        <v>0</v>
      </c>
      <c r="P655" s="110">
        <f t="shared" si="272"/>
        <v>0</v>
      </c>
      <c r="Q655" s="110">
        <f t="shared" si="272"/>
        <v>0</v>
      </c>
      <c r="R655" s="110">
        <f t="shared" si="272"/>
        <v>3.7191942620009091E-2</v>
      </c>
      <c r="S655" s="110">
        <f t="shared" si="272"/>
        <v>0</v>
      </c>
      <c r="T655" s="110">
        <f t="shared" si="272"/>
        <v>6.3602047445646931E-2</v>
      </c>
      <c r="U655" s="110">
        <f t="shared" si="272"/>
        <v>0.10121449630704053</v>
      </c>
      <c r="V655" s="110">
        <f t="shared" si="272"/>
        <v>1.7484441860289284E-2</v>
      </c>
      <c r="W655" s="110">
        <f t="shared" si="272"/>
        <v>2.6570338124346511E-2</v>
      </c>
      <c r="X655" s="110">
        <f t="shared" si="272"/>
        <v>2.4168773811835256E-2</v>
      </c>
      <c r="Y655" s="110">
        <f t="shared" si="272"/>
        <v>1.6902488860729897E-2</v>
      </c>
      <c r="Z655" s="110">
        <f t="shared" si="272"/>
        <v>8.3940920049707501E-3</v>
      </c>
      <c r="AA655" s="110">
        <f t="shared" si="272"/>
        <v>9.7369122625670951E-3</v>
      </c>
      <c r="AB655" s="110">
        <f t="shared" si="272"/>
        <v>2.6679858907348031E-2</v>
      </c>
      <c r="AC655" s="110">
        <f t="shared" si="272"/>
        <v>0</v>
      </c>
      <c r="AD655" s="110">
        <f t="shared" si="272"/>
        <v>0</v>
      </c>
      <c r="AE655" s="110">
        <f t="shared" si="272"/>
        <v>0</v>
      </c>
      <c r="AF655" s="229">
        <f t="shared" si="267"/>
        <v>1</v>
      </c>
      <c r="AG655" s="93" t="str">
        <f t="shared" si="268"/>
        <v>ok</v>
      </c>
    </row>
    <row r="656" spans="1:33" s="60" customFormat="1">
      <c r="A656" s="60" t="s">
        <v>902</v>
      </c>
      <c r="D656" s="60" t="s">
        <v>99</v>
      </c>
      <c r="F656" s="81">
        <v>1</v>
      </c>
      <c r="H656" s="110">
        <f>H540/$F$540</f>
        <v>0.11678854626466832</v>
      </c>
      <c r="I656" s="110">
        <f t="shared" ref="I656:AE656" si="273">I540/$F$540</f>
        <v>0.12234339426417311</v>
      </c>
      <c r="J656" s="110">
        <f t="shared" si="273"/>
        <v>0.10056585754070024</v>
      </c>
      <c r="K656" s="110">
        <f t="shared" si="273"/>
        <v>0.25120321948727692</v>
      </c>
      <c r="L656" s="110">
        <f t="shared" si="273"/>
        <v>0</v>
      </c>
      <c r="M656" s="110">
        <f t="shared" si="273"/>
        <v>0</v>
      </c>
      <c r="N656" s="110">
        <f t="shared" si="273"/>
        <v>6.0229354424993053E-2</v>
      </c>
      <c r="O656" s="110">
        <f t="shared" si="273"/>
        <v>0</v>
      </c>
      <c r="P656" s="110">
        <f t="shared" si="273"/>
        <v>0</v>
      </c>
      <c r="Q656" s="110">
        <f t="shared" si="273"/>
        <v>0</v>
      </c>
      <c r="R656" s="110">
        <f t="shared" si="273"/>
        <v>3.7535648642610615E-2</v>
      </c>
      <c r="S656" s="110">
        <f t="shared" si="273"/>
        <v>0</v>
      </c>
      <c r="T656" s="110">
        <f t="shared" si="273"/>
        <v>3.5670842571809011E-2</v>
      </c>
      <c r="U656" s="110">
        <f t="shared" si="273"/>
        <v>5.3915976455482816E-2</v>
      </c>
      <c r="V656" s="110">
        <f t="shared" si="273"/>
        <v>1.1657173969163699E-2</v>
      </c>
      <c r="W656" s="110">
        <f t="shared" si="273"/>
        <v>1.7201750965905253E-2</v>
      </c>
      <c r="X656" s="110">
        <f t="shared" si="273"/>
        <v>3.3665756210507557E-3</v>
      </c>
      <c r="Y656" s="110">
        <f t="shared" si="273"/>
        <v>2.3544225857974658E-3</v>
      </c>
      <c r="Z656" s="110">
        <f t="shared" si="273"/>
        <v>8.6741593579828041E-4</v>
      </c>
      <c r="AA656" s="110">
        <f t="shared" si="273"/>
        <v>7.9413739771690209E-2</v>
      </c>
      <c r="AB656" s="110">
        <f t="shared" si="273"/>
        <v>2.8862216031983624E-3</v>
      </c>
      <c r="AC656" s="110">
        <f t="shared" si="273"/>
        <v>8.1598017036017434E-2</v>
      </c>
      <c r="AD656" s="110">
        <f t="shared" si="273"/>
        <v>2.2401842859664539E-2</v>
      </c>
      <c r="AE656" s="110">
        <f t="shared" si="273"/>
        <v>0</v>
      </c>
      <c r="AF656" s="229">
        <f t="shared" si="267"/>
        <v>1</v>
      </c>
      <c r="AG656" s="93" t="str">
        <f t="shared" si="268"/>
        <v>ok</v>
      </c>
    </row>
    <row r="657" spans="1:33" s="60" customFormat="1">
      <c r="A657" s="60" t="s">
        <v>277</v>
      </c>
      <c r="D657" s="60" t="s">
        <v>18</v>
      </c>
      <c r="F657" s="81">
        <v>1</v>
      </c>
      <c r="H657" s="110">
        <f>H308/$F$308</f>
        <v>3.7456043686937841E-2</v>
      </c>
      <c r="I657" s="110">
        <f t="shared" ref="I657:AE657" si="274">I308/$F$308</f>
        <v>3.9237576516982967E-2</v>
      </c>
      <c r="J657" s="110">
        <f t="shared" si="274"/>
        <v>3.2253155587042302E-2</v>
      </c>
      <c r="K657" s="110">
        <f t="shared" si="274"/>
        <v>0.74511225748077092</v>
      </c>
      <c r="L657" s="110">
        <f t="shared" si="274"/>
        <v>0</v>
      </c>
      <c r="M657" s="110">
        <f t="shared" si="274"/>
        <v>0</v>
      </c>
      <c r="N657" s="110">
        <f t="shared" si="274"/>
        <v>2.7628544901526868E-2</v>
      </c>
      <c r="O657" s="110">
        <f t="shared" si="274"/>
        <v>0</v>
      </c>
      <c r="P657" s="110">
        <f t="shared" si="274"/>
        <v>0</v>
      </c>
      <c r="Q657" s="110">
        <f t="shared" si="274"/>
        <v>0</v>
      </c>
      <c r="R657" s="110">
        <f t="shared" si="274"/>
        <v>8.1778184910470345E-3</v>
      </c>
      <c r="S657" s="110">
        <f t="shared" si="274"/>
        <v>0</v>
      </c>
      <c r="T657" s="110">
        <f t="shared" si="274"/>
        <v>1.821884716059614E-2</v>
      </c>
      <c r="U657" s="110">
        <f t="shared" si="274"/>
        <v>2.7127837891868851E-2</v>
      </c>
      <c r="V657" s="110">
        <f t="shared" si="274"/>
        <v>6.2200309948872747E-3</v>
      </c>
      <c r="W657" s="110">
        <f t="shared" si="274"/>
        <v>9.1164439031943181E-3</v>
      </c>
      <c r="X657" s="110">
        <f t="shared" si="274"/>
        <v>1.1257688476152652E-3</v>
      </c>
      <c r="Y657" s="110">
        <f t="shared" si="274"/>
        <v>7.873090937387876E-4</v>
      </c>
      <c r="Z657" s="110">
        <f t="shared" si="274"/>
        <v>2.758716424933263E-4</v>
      </c>
      <c r="AA657" s="110">
        <f t="shared" si="274"/>
        <v>1.7879569283677964E-2</v>
      </c>
      <c r="AB657" s="110">
        <f t="shared" si="274"/>
        <v>1.4717643251444103E-3</v>
      </c>
      <c r="AC657" s="110">
        <f t="shared" si="274"/>
        <v>2.3415508916671327E-2</v>
      </c>
      <c r="AD657" s="110">
        <f t="shared" si="274"/>
        <v>4.4956512758041805E-3</v>
      </c>
      <c r="AE657" s="110">
        <f t="shared" si="274"/>
        <v>0</v>
      </c>
      <c r="AF657" s="229">
        <f t="shared" si="267"/>
        <v>1</v>
      </c>
      <c r="AG657" s="93" t="str">
        <f t="shared" si="268"/>
        <v>ok</v>
      </c>
    </row>
    <row r="658" spans="1:33" s="60" customFormat="1">
      <c r="A658" s="60" t="s">
        <v>903</v>
      </c>
      <c r="D658" s="60" t="s">
        <v>651</v>
      </c>
      <c r="F658" s="81">
        <v>1</v>
      </c>
      <c r="H658" s="110">
        <f>H372/$F$372</f>
        <v>0.29077503949207639</v>
      </c>
      <c r="I658" s="110">
        <f t="shared" ref="I658:AE658" si="275">I372/$F$372</f>
        <v>0.30460525827712803</v>
      </c>
      <c r="J658" s="110">
        <f t="shared" si="275"/>
        <v>0.25038449516858274</v>
      </c>
      <c r="K658" s="110">
        <f t="shared" si="275"/>
        <v>0.15423520706221286</v>
      </c>
      <c r="L658" s="110">
        <f t="shared" si="275"/>
        <v>0</v>
      </c>
      <c r="M658" s="110">
        <f t="shared" si="275"/>
        <v>0</v>
      </c>
      <c r="N658" s="110">
        <f t="shared" si="275"/>
        <v>0</v>
      </c>
      <c r="O658" s="110">
        <f t="shared" si="275"/>
        <v>0</v>
      </c>
      <c r="P658" s="110">
        <f t="shared" si="275"/>
        <v>0</v>
      </c>
      <c r="Q658" s="110">
        <f t="shared" si="275"/>
        <v>0</v>
      </c>
      <c r="R658" s="110">
        <f t="shared" si="275"/>
        <v>0</v>
      </c>
      <c r="S658" s="110">
        <f t="shared" si="275"/>
        <v>0</v>
      </c>
      <c r="T658" s="110">
        <f t="shared" si="275"/>
        <v>0</v>
      </c>
      <c r="U658" s="110">
        <f t="shared" si="275"/>
        <v>0</v>
      </c>
      <c r="V658" s="110">
        <f t="shared" si="275"/>
        <v>0</v>
      </c>
      <c r="W658" s="110">
        <f t="shared" si="275"/>
        <v>0</v>
      </c>
      <c r="X658" s="110">
        <f t="shared" si="275"/>
        <v>0</v>
      </c>
      <c r="Y658" s="110">
        <f t="shared" si="275"/>
        <v>0</v>
      </c>
      <c r="Z658" s="110">
        <f t="shared" si="275"/>
        <v>0</v>
      </c>
      <c r="AA658" s="110">
        <f t="shared" si="275"/>
        <v>0</v>
      </c>
      <c r="AB658" s="110">
        <f t="shared" si="275"/>
        <v>0</v>
      </c>
      <c r="AC658" s="110">
        <f t="shared" si="275"/>
        <v>0</v>
      </c>
      <c r="AD658" s="110">
        <f t="shared" si="275"/>
        <v>0</v>
      </c>
      <c r="AE658" s="110">
        <f t="shared" si="275"/>
        <v>0</v>
      </c>
      <c r="AF658" s="229">
        <f t="shared" si="267"/>
        <v>1</v>
      </c>
      <c r="AG658" s="93" t="str">
        <f t="shared" si="268"/>
        <v>ok</v>
      </c>
    </row>
    <row r="659" spans="1:33" s="60" customFormat="1">
      <c r="A659" s="60" t="s">
        <v>904</v>
      </c>
      <c r="D659" s="60" t="s">
        <v>87</v>
      </c>
      <c r="F659" s="81">
        <v>1</v>
      </c>
      <c r="H659" s="110">
        <f>H381/$F$381</f>
        <v>0</v>
      </c>
      <c r="I659" s="110">
        <f t="shared" ref="I659:AE659" si="276">I381/$F$381</f>
        <v>0</v>
      </c>
      <c r="J659" s="110">
        <f t="shared" si="276"/>
        <v>0</v>
      </c>
      <c r="K659" s="110">
        <f t="shared" si="276"/>
        <v>1</v>
      </c>
      <c r="L659" s="110">
        <f t="shared" si="276"/>
        <v>0</v>
      </c>
      <c r="M659" s="110">
        <f t="shared" si="276"/>
        <v>0</v>
      </c>
      <c r="N659" s="110">
        <f t="shared" si="276"/>
        <v>0</v>
      </c>
      <c r="O659" s="110">
        <f t="shared" si="276"/>
        <v>0</v>
      </c>
      <c r="P659" s="110">
        <f t="shared" si="276"/>
        <v>0</v>
      </c>
      <c r="Q659" s="110">
        <f t="shared" si="276"/>
        <v>0</v>
      </c>
      <c r="R659" s="110">
        <f t="shared" si="276"/>
        <v>0</v>
      </c>
      <c r="S659" s="110">
        <f t="shared" si="276"/>
        <v>0</v>
      </c>
      <c r="T659" s="110">
        <f t="shared" si="276"/>
        <v>0</v>
      </c>
      <c r="U659" s="110">
        <f t="shared" si="276"/>
        <v>0</v>
      </c>
      <c r="V659" s="110">
        <f t="shared" si="276"/>
        <v>0</v>
      </c>
      <c r="W659" s="110">
        <f t="shared" si="276"/>
        <v>0</v>
      </c>
      <c r="X659" s="110">
        <f t="shared" si="276"/>
        <v>0</v>
      </c>
      <c r="Y659" s="110">
        <f t="shared" si="276"/>
        <v>0</v>
      </c>
      <c r="Z659" s="110">
        <f t="shared" si="276"/>
        <v>0</v>
      </c>
      <c r="AA659" s="110">
        <f t="shared" si="276"/>
        <v>0</v>
      </c>
      <c r="AB659" s="110">
        <f t="shared" si="276"/>
        <v>0</v>
      </c>
      <c r="AC659" s="110">
        <f t="shared" si="276"/>
        <v>0</v>
      </c>
      <c r="AD659" s="110">
        <f t="shared" si="276"/>
        <v>0</v>
      </c>
      <c r="AE659" s="110">
        <f t="shared" si="276"/>
        <v>0</v>
      </c>
      <c r="AF659" s="229">
        <f t="shared" si="267"/>
        <v>1</v>
      </c>
      <c r="AG659" s="93" t="str">
        <f t="shared" si="268"/>
        <v>ok</v>
      </c>
    </row>
    <row r="660" spans="1:33" s="60" customFormat="1">
      <c r="A660" s="60" t="s">
        <v>905</v>
      </c>
      <c r="D660" s="60" t="s">
        <v>652</v>
      </c>
      <c r="F660" s="81">
        <v>1</v>
      </c>
      <c r="H660" s="110">
        <f>H393/$F$393</f>
        <v>0.34380130494917077</v>
      </c>
      <c r="I660" s="110">
        <f t="shared" ref="I660:AE660" si="277">I393/$F$393</f>
        <v>0.36015362760499087</v>
      </c>
      <c r="J660" s="110">
        <f t="shared" si="277"/>
        <v>0.29604506744583836</v>
      </c>
      <c r="K660" s="110">
        <f t="shared" si="277"/>
        <v>0</v>
      </c>
      <c r="L660" s="110">
        <f t="shared" si="277"/>
        <v>0</v>
      </c>
      <c r="M660" s="110">
        <f t="shared" si="277"/>
        <v>0</v>
      </c>
      <c r="N660" s="110">
        <f t="shared" si="277"/>
        <v>0</v>
      </c>
      <c r="O660" s="110">
        <f t="shared" si="277"/>
        <v>0</v>
      </c>
      <c r="P660" s="110">
        <f t="shared" si="277"/>
        <v>0</v>
      </c>
      <c r="Q660" s="110">
        <f t="shared" si="277"/>
        <v>0</v>
      </c>
      <c r="R660" s="110">
        <f t="shared" si="277"/>
        <v>0</v>
      </c>
      <c r="S660" s="110">
        <f t="shared" si="277"/>
        <v>0</v>
      </c>
      <c r="T660" s="110">
        <f t="shared" si="277"/>
        <v>0</v>
      </c>
      <c r="U660" s="110">
        <f t="shared" si="277"/>
        <v>0</v>
      </c>
      <c r="V660" s="110">
        <f t="shared" si="277"/>
        <v>0</v>
      </c>
      <c r="W660" s="110">
        <f t="shared" si="277"/>
        <v>0</v>
      </c>
      <c r="X660" s="110">
        <f t="shared" si="277"/>
        <v>0</v>
      </c>
      <c r="Y660" s="110">
        <f t="shared" si="277"/>
        <v>0</v>
      </c>
      <c r="Z660" s="110">
        <f t="shared" si="277"/>
        <v>0</v>
      </c>
      <c r="AA660" s="110">
        <f t="shared" si="277"/>
        <v>0</v>
      </c>
      <c r="AB660" s="110">
        <f t="shared" si="277"/>
        <v>0</v>
      </c>
      <c r="AC660" s="110">
        <f t="shared" si="277"/>
        <v>0</v>
      </c>
      <c r="AD660" s="110">
        <f t="shared" si="277"/>
        <v>0</v>
      </c>
      <c r="AE660" s="110">
        <f t="shared" si="277"/>
        <v>0</v>
      </c>
      <c r="AF660" s="229">
        <f t="shared" si="267"/>
        <v>1</v>
      </c>
      <c r="AG660" s="93" t="str">
        <f t="shared" si="268"/>
        <v>ok</v>
      </c>
    </row>
    <row r="661" spans="1:33" s="60" customFormat="1">
      <c r="A661" s="60" t="s">
        <v>906</v>
      </c>
      <c r="D661" s="60" t="s">
        <v>653</v>
      </c>
      <c r="F661" s="81">
        <v>1</v>
      </c>
      <c r="H661" s="110">
        <f>H402/$F$402</f>
        <v>0.13166601494270491</v>
      </c>
      <c r="I661" s="110">
        <f t="shared" ref="I661:AE661" si="278">I402/$F$402</f>
        <v>0.13792848436371963</v>
      </c>
      <c r="J661" s="110">
        <f t="shared" si="278"/>
        <v>0.11337674904928209</v>
      </c>
      <c r="K661" s="110">
        <f t="shared" si="278"/>
        <v>0.61702875164429338</v>
      </c>
      <c r="L661" s="110">
        <f t="shared" si="278"/>
        <v>0</v>
      </c>
      <c r="M661" s="110">
        <f t="shared" si="278"/>
        <v>0</v>
      </c>
      <c r="N661" s="110">
        <f t="shared" si="278"/>
        <v>0</v>
      </c>
      <c r="O661" s="110">
        <f t="shared" si="278"/>
        <v>0</v>
      </c>
      <c r="P661" s="110">
        <f t="shared" si="278"/>
        <v>0</v>
      </c>
      <c r="Q661" s="110">
        <f t="shared" si="278"/>
        <v>0</v>
      </c>
      <c r="R661" s="110">
        <f t="shared" si="278"/>
        <v>0</v>
      </c>
      <c r="S661" s="110">
        <f t="shared" si="278"/>
        <v>0</v>
      </c>
      <c r="T661" s="110">
        <f t="shared" si="278"/>
        <v>0</v>
      </c>
      <c r="U661" s="110">
        <f t="shared" si="278"/>
        <v>0</v>
      </c>
      <c r="V661" s="110">
        <f t="shared" si="278"/>
        <v>0</v>
      </c>
      <c r="W661" s="110">
        <f t="shared" si="278"/>
        <v>0</v>
      </c>
      <c r="X661" s="110">
        <f t="shared" si="278"/>
        <v>0</v>
      </c>
      <c r="Y661" s="110">
        <f t="shared" si="278"/>
        <v>0</v>
      </c>
      <c r="Z661" s="110">
        <f t="shared" si="278"/>
        <v>0</v>
      </c>
      <c r="AA661" s="110">
        <f t="shared" si="278"/>
        <v>0</v>
      </c>
      <c r="AB661" s="110">
        <f t="shared" si="278"/>
        <v>0</v>
      </c>
      <c r="AC661" s="110">
        <f t="shared" si="278"/>
        <v>0</v>
      </c>
      <c r="AD661" s="110">
        <f t="shared" si="278"/>
        <v>0</v>
      </c>
      <c r="AE661" s="110">
        <f t="shared" si="278"/>
        <v>0</v>
      </c>
      <c r="AF661" s="229">
        <f t="shared" si="267"/>
        <v>1</v>
      </c>
      <c r="AG661" s="93" t="str">
        <f t="shared" si="268"/>
        <v>ok</v>
      </c>
    </row>
    <row r="662" spans="1:33" s="60" customFormat="1">
      <c r="A662" s="60" t="s">
        <v>907</v>
      </c>
      <c r="D662" s="60" t="s">
        <v>654</v>
      </c>
      <c r="F662" s="81">
        <v>1</v>
      </c>
      <c r="H662" s="110">
        <f>H415/$F$415</f>
        <v>0.34380130494917083</v>
      </c>
      <c r="I662" s="110">
        <f t="shared" ref="I662:AE662" si="279">I415/$F$415</f>
        <v>0.36015362760499087</v>
      </c>
      <c r="J662" s="110">
        <f t="shared" si="279"/>
        <v>0.29604506744583831</v>
      </c>
      <c r="K662" s="110">
        <f t="shared" si="279"/>
        <v>0</v>
      </c>
      <c r="L662" s="110">
        <f t="shared" si="279"/>
        <v>0</v>
      </c>
      <c r="M662" s="110">
        <f t="shared" si="279"/>
        <v>0</v>
      </c>
      <c r="N662" s="110">
        <f t="shared" si="279"/>
        <v>0</v>
      </c>
      <c r="O662" s="110">
        <f t="shared" si="279"/>
        <v>0</v>
      </c>
      <c r="P662" s="110">
        <f t="shared" si="279"/>
        <v>0</v>
      </c>
      <c r="Q662" s="110">
        <f t="shared" si="279"/>
        <v>0</v>
      </c>
      <c r="R662" s="110">
        <f t="shared" si="279"/>
        <v>0</v>
      </c>
      <c r="S662" s="110">
        <f t="shared" si="279"/>
        <v>0</v>
      </c>
      <c r="T662" s="110">
        <f t="shared" si="279"/>
        <v>0</v>
      </c>
      <c r="U662" s="110">
        <f t="shared" si="279"/>
        <v>0</v>
      </c>
      <c r="V662" s="110">
        <f t="shared" si="279"/>
        <v>0</v>
      </c>
      <c r="W662" s="110">
        <f t="shared" si="279"/>
        <v>0</v>
      </c>
      <c r="X662" s="110">
        <f t="shared" si="279"/>
        <v>0</v>
      </c>
      <c r="Y662" s="110">
        <f t="shared" si="279"/>
        <v>0</v>
      </c>
      <c r="Z662" s="110">
        <f t="shared" si="279"/>
        <v>0</v>
      </c>
      <c r="AA662" s="110">
        <f t="shared" si="279"/>
        <v>0</v>
      </c>
      <c r="AB662" s="110">
        <f t="shared" si="279"/>
        <v>0</v>
      </c>
      <c r="AC662" s="110">
        <f t="shared" si="279"/>
        <v>0</v>
      </c>
      <c r="AD662" s="110">
        <f t="shared" si="279"/>
        <v>0</v>
      </c>
      <c r="AE662" s="110">
        <f t="shared" si="279"/>
        <v>0</v>
      </c>
      <c r="AF662" s="229">
        <f t="shared" si="267"/>
        <v>1</v>
      </c>
      <c r="AG662" s="93" t="str">
        <f t="shared" si="268"/>
        <v>ok</v>
      </c>
    </row>
    <row r="663" spans="1:33" s="60" customFormat="1">
      <c r="A663" s="60" t="s">
        <v>104</v>
      </c>
      <c r="D663" s="60" t="s">
        <v>666</v>
      </c>
      <c r="F663" s="81">
        <v>1</v>
      </c>
      <c r="H663" s="287">
        <f>H450/$F$450</f>
        <v>0</v>
      </c>
      <c r="I663" s="287">
        <f t="shared" ref="I663:AE663" si="280">I450/$F$450</f>
        <v>0</v>
      </c>
      <c r="J663" s="287">
        <f t="shared" si="280"/>
        <v>0</v>
      </c>
      <c r="K663" s="287">
        <f t="shared" si="280"/>
        <v>0</v>
      </c>
      <c r="L663" s="287">
        <f t="shared" si="280"/>
        <v>0</v>
      </c>
      <c r="M663" s="287">
        <f t="shared" si="280"/>
        <v>0</v>
      </c>
      <c r="N663" s="287">
        <f t="shared" si="280"/>
        <v>1</v>
      </c>
      <c r="O663" s="287">
        <f t="shared" si="280"/>
        <v>0</v>
      </c>
      <c r="P663" s="287">
        <f t="shared" si="280"/>
        <v>0</v>
      </c>
      <c r="Q663" s="287">
        <f t="shared" si="280"/>
        <v>0</v>
      </c>
      <c r="R663" s="287">
        <f t="shared" si="280"/>
        <v>0</v>
      </c>
      <c r="S663" s="287">
        <f t="shared" si="280"/>
        <v>0</v>
      </c>
      <c r="T663" s="287">
        <f t="shared" si="280"/>
        <v>0</v>
      </c>
      <c r="U663" s="287">
        <f t="shared" si="280"/>
        <v>0</v>
      </c>
      <c r="V663" s="287">
        <f t="shared" si="280"/>
        <v>0</v>
      </c>
      <c r="W663" s="287">
        <f t="shared" si="280"/>
        <v>0</v>
      </c>
      <c r="X663" s="287">
        <f t="shared" si="280"/>
        <v>0</v>
      </c>
      <c r="Y663" s="287">
        <f t="shared" si="280"/>
        <v>0</v>
      </c>
      <c r="Z663" s="287">
        <f t="shared" si="280"/>
        <v>0</v>
      </c>
      <c r="AA663" s="287">
        <f t="shared" si="280"/>
        <v>0</v>
      </c>
      <c r="AB663" s="287">
        <f t="shared" si="280"/>
        <v>0</v>
      </c>
      <c r="AC663" s="287">
        <f t="shared" si="280"/>
        <v>0</v>
      </c>
      <c r="AD663" s="287">
        <f t="shared" si="280"/>
        <v>0</v>
      </c>
      <c r="AE663" s="287">
        <f t="shared" si="280"/>
        <v>0</v>
      </c>
      <c r="AF663" s="229">
        <f t="shared" si="267"/>
        <v>1</v>
      </c>
      <c r="AG663" s="93" t="str">
        <f t="shared" si="268"/>
        <v>ok</v>
      </c>
    </row>
    <row r="664" spans="1:33" s="60" customFormat="1">
      <c r="A664" s="60" t="s">
        <v>107</v>
      </c>
      <c r="D664" s="60" t="s">
        <v>64</v>
      </c>
      <c r="F664" s="81">
        <v>1</v>
      </c>
      <c r="H664" s="110">
        <f>H465/$F$465</f>
        <v>0</v>
      </c>
      <c r="I664" s="110">
        <f t="shared" ref="I664:AE664" si="281">I465/$F$465</f>
        <v>0</v>
      </c>
      <c r="J664" s="110">
        <f t="shared" si="281"/>
        <v>0</v>
      </c>
      <c r="K664" s="110">
        <f t="shared" si="281"/>
        <v>0</v>
      </c>
      <c r="L664" s="110">
        <f t="shared" si="281"/>
        <v>0</v>
      </c>
      <c r="M664" s="110">
        <f t="shared" si="281"/>
        <v>0</v>
      </c>
      <c r="N664" s="110">
        <f t="shared" si="281"/>
        <v>0</v>
      </c>
      <c r="O664" s="110">
        <f t="shared" si="281"/>
        <v>0</v>
      </c>
      <c r="P664" s="110">
        <f t="shared" si="281"/>
        <v>0</v>
      </c>
      <c r="Q664" s="110">
        <f t="shared" si="281"/>
        <v>0</v>
      </c>
      <c r="R664" s="110">
        <f t="shared" si="281"/>
        <v>0.18554529987466303</v>
      </c>
      <c r="S664" s="110">
        <f t="shared" si="281"/>
        <v>0</v>
      </c>
      <c r="T664" s="110">
        <f t="shared" si="281"/>
        <v>0.10080219959016412</v>
      </c>
      <c r="U664" s="110">
        <f t="shared" si="281"/>
        <v>0.15321891331113965</v>
      </c>
      <c r="V664" s="110">
        <f t="shared" si="281"/>
        <v>3.2384755745282698E-2</v>
      </c>
      <c r="W664" s="110">
        <f t="shared" si="281"/>
        <v>4.7918067768662496E-2</v>
      </c>
      <c r="X664" s="110">
        <f t="shared" si="281"/>
        <v>1.3016174524178213E-2</v>
      </c>
      <c r="Y664" s="110">
        <f t="shared" si="281"/>
        <v>9.1028922947056397E-3</v>
      </c>
      <c r="Z664" s="110">
        <f t="shared" si="281"/>
        <v>4.5206665161972373E-3</v>
      </c>
      <c r="AA664" s="110">
        <f t="shared" si="281"/>
        <v>0.43912250251661644</v>
      </c>
      <c r="AB664" s="110">
        <f t="shared" si="281"/>
        <v>1.436852785839046E-2</v>
      </c>
      <c r="AC664" s="110">
        <f t="shared" si="281"/>
        <v>0</v>
      </c>
      <c r="AD664" s="110">
        <f t="shared" si="281"/>
        <v>0</v>
      </c>
      <c r="AE664" s="110">
        <f t="shared" si="281"/>
        <v>0</v>
      </c>
      <c r="AF664" s="229">
        <f t="shared" si="267"/>
        <v>1</v>
      </c>
      <c r="AG664" s="93" t="str">
        <f t="shared" si="268"/>
        <v>ok</v>
      </c>
    </row>
    <row r="665" spans="1:33" s="60" customFormat="1">
      <c r="A665" s="60" t="s">
        <v>109</v>
      </c>
      <c r="D665" s="60" t="s">
        <v>73</v>
      </c>
      <c r="F665" s="81">
        <v>1</v>
      </c>
      <c r="H665" s="110">
        <f>H484/$F$484</f>
        <v>0</v>
      </c>
      <c r="I665" s="110">
        <f t="shared" ref="I665:AE665" si="282">I484/$F$484</f>
        <v>0</v>
      </c>
      <c r="J665" s="110">
        <f t="shared" si="282"/>
        <v>0</v>
      </c>
      <c r="K665" s="110">
        <f t="shared" si="282"/>
        <v>0</v>
      </c>
      <c r="L665" s="110">
        <f t="shared" si="282"/>
        <v>0</v>
      </c>
      <c r="M665" s="110">
        <f t="shared" si="282"/>
        <v>0</v>
      </c>
      <c r="N665" s="110">
        <f t="shared" si="282"/>
        <v>0</v>
      </c>
      <c r="O665" s="110">
        <f t="shared" si="282"/>
        <v>0</v>
      </c>
      <c r="P665" s="110">
        <f t="shared" si="282"/>
        <v>0</v>
      </c>
      <c r="Q665" s="110">
        <f t="shared" si="282"/>
        <v>0</v>
      </c>
      <c r="R665" s="110">
        <f t="shared" si="282"/>
        <v>6.0835060559927122E-2</v>
      </c>
      <c r="S665" s="110">
        <f t="shared" si="282"/>
        <v>0</v>
      </c>
      <c r="T665" s="110">
        <f t="shared" si="282"/>
        <v>0.27464504016775193</v>
      </c>
      <c r="U665" s="110">
        <f t="shared" si="282"/>
        <v>0.41213682529811013</v>
      </c>
      <c r="V665" s="110">
        <f t="shared" si="282"/>
        <v>9.1692831736232633E-2</v>
      </c>
      <c r="W665" s="110">
        <f t="shared" si="282"/>
        <v>0.13485307232167992</v>
      </c>
      <c r="X665" s="110">
        <f t="shared" si="282"/>
        <v>1.3980846214830438E-2</v>
      </c>
      <c r="Y665" s="110">
        <f t="shared" si="282"/>
        <v>9.7775377124854224E-3</v>
      </c>
      <c r="Z665" s="110">
        <f t="shared" si="282"/>
        <v>0</v>
      </c>
      <c r="AA665" s="110">
        <f t="shared" si="282"/>
        <v>0</v>
      </c>
      <c r="AB665" s="110">
        <f t="shared" si="282"/>
        <v>2.0787859889824342E-3</v>
      </c>
      <c r="AC665" s="110">
        <f t="shared" si="282"/>
        <v>0</v>
      </c>
      <c r="AD665" s="110">
        <f t="shared" si="282"/>
        <v>0</v>
      </c>
      <c r="AE665" s="110">
        <f t="shared" si="282"/>
        <v>0</v>
      </c>
      <c r="AF665" s="229">
        <f t="shared" si="267"/>
        <v>1</v>
      </c>
      <c r="AG665" s="93" t="str">
        <f t="shared" si="268"/>
        <v>ok</v>
      </c>
    </row>
    <row r="666" spans="1:33" s="60" customFormat="1">
      <c r="A666" s="60" t="s">
        <v>846</v>
      </c>
      <c r="D666" s="60" t="s">
        <v>664</v>
      </c>
      <c r="F666" s="81">
        <v>1</v>
      </c>
      <c r="H666" s="110">
        <f>H516/$F$516</f>
        <v>0.11632789589502381</v>
      </c>
      <c r="I666" s="110">
        <f t="shared" ref="I666:AE666" si="283">I516/$F$516</f>
        <v>0.12186083384541734</v>
      </c>
      <c r="J666" s="110">
        <f t="shared" si="283"/>
        <v>0.10016919450368669</v>
      </c>
      <c r="K666" s="110">
        <f t="shared" si="283"/>
        <v>0.25272479827938532</v>
      </c>
      <c r="L666" s="110">
        <f t="shared" si="283"/>
        <v>0</v>
      </c>
      <c r="M666" s="110">
        <f t="shared" si="283"/>
        <v>0</v>
      </c>
      <c r="N666" s="110">
        <f t="shared" si="283"/>
        <v>5.9942509392452215E-2</v>
      </c>
      <c r="O666" s="110">
        <f t="shared" si="283"/>
        <v>0</v>
      </c>
      <c r="P666" s="110">
        <f t="shared" si="283"/>
        <v>0</v>
      </c>
      <c r="Q666" s="110">
        <f t="shared" si="283"/>
        <v>0</v>
      </c>
      <c r="R666" s="110">
        <f t="shared" si="283"/>
        <v>3.7538024885236762E-2</v>
      </c>
      <c r="S666" s="110">
        <f t="shared" si="283"/>
        <v>0</v>
      </c>
      <c r="T666" s="110">
        <f t="shared" si="283"/>
        <v>3.5502162101832983E-2</v>
      </c>
      <c r="U666" s="110">
        <f t="shared" si="283"/>
        <v>5.3630282693448238E-2</v>
      </c>
      <c r="V666" s="110">
        <f t="shared" si="283"/>
        <v>1.1622015641304991E-2</v>
      </c>
      <c r="W666" s="110">
        <f t="shared" si="283"/>
        <v>1.7145214201999007E-2</v>
      </c>
      <c r="X666" s="110">
        <f t="shared" si="283"/>
        <v>3.2407646065037688E-3</v>
      </c>
      <c r="Y666" s="110">
        <f t="shared" si="283"/>
        <v>2.2664363566038182E-3</v>
      </c>
      <c r="Z666" s="110">
        <f t="shared" si="283"/>
        <v>8.2189206949956968E-4</v>
      </c>
      <c r="AA666" s="110">
        <f t="shared" si="283"/>
        <v>7.9835860721885032E-2</v>
      </c>
      <c r="AB666" s="110">
        <f t="shared" si="283"/>
        <v>2.7423108292161992E-3</v>
      </c>
      <c r="AC666" s="110">
        <f t="shared" si="283"/>
        <v>8.2092269507994184E-2</v>
      </c>
      <c r="AD666" s="110">
        <f t="shared" si="283"/>
        <v>2.253753446851009E-2</v>
      </c>
      <c r="AE666" s="110">
        <f t="shared" si="283"/>
        <v>0</v>
      </c>
      <c r="AF666" s="229">
        <f t="shared" si="267"/>
        <v>1</v>
      </c>
      <c r="AG666" s="93" t="str">
        <f t="shared" si="268"/>
        <v>ok</v>
      </c>
    </row>
    <row r="667" spans="1:33" s="60" customFormat="1">
      <c r="A667" s="60" t="s">
        <v>957</v>
      </c>
      <c r="D667" s="60" t="s">
        <v>958</v>
      </c>
      <c r="F667" s="81">
        <v>1</v>
      </c>
      <c r="H667" s="110">
        <f>H60/$F$60</f>
        <v>0.19283906465573769</v>
      </c>
      <c r="I667" s="110">
        <f t="shared" ref="I667:AE667" si="284">I60/$F$60</f>
        <v>0.20201112584486958</v>
      </c>
      <c r="J667" s="110">
        <f t="shared" si="284"/>
        <v>0.16605246425879791</v>
      </c>
      <c r="K667" s="110">
        <f t="shared" si="284"/>
        <v>0</v>
      </c>
      <c r="L667" s="110">
        <f t="shared" si="284"/>
        <v>0</v>
      </c>
      <c r="M667" s="110">
        <f t="shared" si="284"/>
        <v>0</v>
      </c>
      <c r="N667" s="110">
        <f t="shared" si="284"/>
        <v>0.10758568985889098</v>
      </c>
      <c r="O667" s="110">
        <f t="shared" si="284"/>
        <v>0</v>
      </c>
      <c r="P667" s="110">
        <f t="shared" si="284"/>
        <v>0</v>
      </c>
      <c r="Q667" s="110">
        <f t="shared" si="284"/>
        <v>0</v>
      </c>
      <c r="R667" s="110">
        <f t="shared" si="284"/>
        <v>3.7143345726016942E-2</v>
      </c>
      <c r="S667" s="110">
        <f t="shared" si="284"/>
        <v>0</v>
      </c>
      <c r="T667" s="110">
        <f t="shared" si="284"/>
        <v>6.3518941758240924E-2</v>
      </c>
      <c r="U667" s="110">
        <f t="shared" si="284"/>
        <v>0.10108224427068532</v>
      </c>
      <c r="V667" s="110">
        <f t="shared" si="284"/>
        <v>1.7461595794508913E-2</v>
      </c>
      <c r="W667" s="110">
        <f t="shared" si="284"/>
        <v>2.6535619961911242E-2</v>
      </c>
      <c r="X667" s="110">
        <f t="shared" si="284"/>
        <v>2.4137193656131796E-2</v>
      </c>
      <c r="Y667" s="110">
        <f t="shared" si="284"/>
        <v>1.6880403204496217E-2</v>
      </c>
      <c r="Z667" s="110">
        <f t="shared" si="284"/>
        <v>8.383123855135349E-3</v>
      </c>
      <c r="AA667" s="110">
        <f t="shared" si="284"/>
        <v>9.7241895151196339E-3</v>
      </c>
      <c r="AB667" s="110">
        <f t="shared" si="284"/>
        <v>2.6644997639457487E-2</v>
      </c>
      <c r="AC667" s="110">
        <f t="shared" si="284"/>
        <v>0</v>
      </c>
      <c r="AD667" s="110">
        <f t="shared" si="284"/>
        <v>0</v>
      </c>
      <c r="AE667" s="110">
        <f t="shared" si="284"/>
        <v>0</v>
      </c>
      <c r="AF667" s="229">
        <f t="shared" si="267"/>
        <v>1</v>
      </c>
      <c r="AG667" s="93" t="str">
        <f t="shared" si="268"/>
        <v>ok</v>
      </c>
    </row>
    <row r="668" spans="1:33" s="60" customFormat="1">
      <c r="A668" s="60" t="s">
        <v>200</v>
      </c>
      <c r="D668" s="60" t="s">
        <v>201</v>
      </c>
      <c r="F668" s="81">
        <v>1</v>
      </c>
      <c r="H668" s="110">
        <f>H29/$F$29</f>
        <v>0.34380130494917083</v>
      </c>
      <c r="I668" s="110">
        <f t="shared" ref="I668:AE668" si="285">I29/$F$29</f>
        <v>0.36015362760499087</v>
      </c>
      <c r="J668" s="110">
        <f t="shared" si="285"/>
        <v>0.29604506744583842</v>
      </c>
      <c r="K668" s="110">
        <f t="shared" si="285"/>
        <v>0</v>
      </c>
      <c r="L668" s="110">
        <f t="shared" si="285"/>
        <v>0</v>
      </c>
      <c r="M668" s="110">
        <f t="shared" si="285"/>
        <v>0</v>
      </c>
      <c r="N668" s="110">
        <f t="shared" si="285"/>
        <v>0</v>
      </c>
      <c r="O668" s="110">
        <f t="shared" si="285"/>
        <v>0</v>
      </c>
      <c r="P668" s="110">
        <f t="shared" si="285"/>
        <v>0</v>
      </c>
      <c r="Q668" s="110">
        <f t="shared" si="285"/>
        <v>0</v>
      </c>
      <c r="R668" s="110">
        <f t="shared" si="285"/>
        <v>0</v>
      </c>
      <c r="S668" s="110">
        <f t="shared" si="285"/>
        <v>0</v>
      </c>
      <c r="T668" s="110">
        <f t="shared" si="285"/>
        <v>0</v>
      </c>
      <c r="U668" s="110">
        <f t="shared" si="285"/>
        <v>0</v>
      </c>
      <c r="V668" s="110">
        <f t="shared" si="285"/>
        <v>0</v>
      </c>
      <c r="W668" s="110">
        <f t="shared" si="285"/>
        <v>0</v>
      </c>
      <c r="X668" s="110">
        <f t="shared" si="285"/>
        <v>0</v>
      </c>
      <c r="Y668" s="110">
        <f t="shared" si="285"/>
        <v>0</v>
      </c>
      <c r="Z668" s="110">
        <f t="shared" si="285"/>
        <v>0</v>
      </c>
      <c r="AA668" s="110">
        <f t="shared" si="285"/>
        <v>0</v>
      </c>
      <c r="AB668" s="110">
        <f t="shared" si="285"/>
        <v>0</v>
      </c>
      <c r="AC668" s="110">
        <f t="shared" si="285"/>
        <v>0</v>
      </c>
      <c r="AD668" s="110">
        <f t="shared" si="285"/>
        <v>0</v>
      </c>
      <c r="AE668" s="110">
        <f t="shared" si="285"/>
        <v>0</v>
      </c>
      <c r="AF668" s="229">
        <f t="shared" si="267"/>
        <v>1</v>
      </c>
      <c r="AG668" s="93" t="str">
        <f t="shared" si="268"/>
        <v>ok</v>
      </c>
    </row>
    <row r="669" spans="1:33" s="60" customFormat="1">
      <c r="A669" s="60" t="s">
        <v>936</v>
      </c>
      <c r="D669" s="60" t="s">
        <v>937</v>
      </c>
      <c r="F669" s="81">
        <v>1</v>
      </c>
      <c r="H669" s="110">
        <f>H15/$F$15</f>
        <v>0.19283906465573772</v>
      </c>
      <c r="I669" s="110">
        <f t="shared" ref="I669:AE669" si="286">I15/$F$15</f>
        <v>0.20201112584486958</v>
      </c>
      <c r="J669" s="110">
        <f t="shared" si="286"/>
        <v>0.16605246425879791</v>
      </c>
      <c r="K669" s="110">
        <f t="shared" si="286"/>
        <v>0</v>
      </c>
      <c r="L669" s="110">
        <f t="shared" si="286"/>
        <v>0</v>
      </c>
      <c r="M669" s="110">
        <f t="shared" si="286"/>
        <v>0</v>
      </c>
      <c r="N669" s="110">
        <f t="shared" si="286"/>
        <v>0.10758568985889098</v>
      </c>
      <c r="O669" s="110">
        <f t="shared" si="286"/>
        <v>0</v>
      </c>
      <c r="P669" s="110">
        <f t="shared" si="286"/>
        <v>0</v>
      </c>
      <c r="Q669" s="110">
        <f t="shared" si="286"/>
        <v>0</v>
      </c>
      <c r="R669" s="110">
        <f t="shared" si="286"/>
        <v>3.7143345726016942E-2</v>
      </c>
      <c r="S669" s="110">
        <f t="shared" si="286"/>
        <v>0</v>
      </c>
      <c r="T669" s="110">
        <f t="shared" si="286"/>
        <v>6.3518941758240924E-2</v>
      </c>
      <c r="U669" s="110">
        <f t="shared" si="286"/>
        <v>0.10108224427068532</v>
      </c>
      <c r="V669" s="110">
        <f t="shared" si="286"/>
        <v>1.7461595794508913E-2</v>
      </c>
      <c r="W669" s="110">
        <f t="shared" si="286"/>
        <v>2.6535619961911242E-2</v>
      </c>
      <c r="X669" s="110">
        <f t="shared" si="286"/>
        <v>2.4137193656131796E-2</v>
      </c>
      <c r="Y669" s="110">
        <f t="shared" si="286"/>
        <v>1.6880403204496217E-2</v>
      </c>
      <c r="Z669" s="110">
        <f t="shared" si="286"/>
        <v>8.3831238551353472E-3</v>
      </c>
      <c r="AA669" s="110">
        <f t="shared" si="286"/>
        <v>9.7241895151196339E-3</v>
      </c>
      <c r="AB669" s="110">
        <f t="shared" si="286"/>
        <v>2.6644997639457487E-2</v>
      </c>
      <c r="AC669" s="110">
        <f t="shared" si="286"/>
        <v>0</v>
      </c>
      <c r="AD669" s="110">
        <f t="shared" si="286"/>
        <v>0</v>
      </c>
      <c r="AE669" s="110">
        <f t="shared" si="286"/>
        <v>0</v>
      </c>
      <c r="AF669" s="229">
        <f t="shared" si="267"/>
        <v>1</v>
      </c>
      <c r="AG669" s="93" t="str">
        <f t="shared" si="268"/>
        <v>ok</v>
      </c>
    </row>
    <row r="670" spans="1:33" s="60" customFormat="1">
      <c r="W670" s="77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2018
&amp;R&amp;"Times New Roman,Bold"&amp;12Exhibit WSS-21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44"/>
  <sheetViews>
    <sheetView view="pageBreakPreview" zoomScale="75" zoomScaleNormal="80" zoomScaleSheetLayoutView="75" workbookViewId="0">
      <pane xSplit="6" ySplit="4" topLeftCell="G686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9.140625" defaultRowHeight="14.25"/>
  <cols>
    <col min="1" max="1" width="7.7109375" style="60" customWidth="1"/>
    <col min="2" max="2" width="33" style="60" customWidth="1"/>
    <col min="3" max="3" width="12.5703125" style="60" customWidth="1"/>
    <col min="4" max="4" width="11.85546875" style="60" customWidth="1"/>
    <col min="5" max="5" width="17.28515625" style="60" bestFit="1" customWidth="1"/>
    <col min="6" max="6" width="18.28515625" style="60" bestFit="1" customWidth="1"/>
    <col min="7" max="7" width="18.28515625" style="60" customWidth="1"/>
    <col min="8" max="8" width="22" style="60" bestFit="1" customWidth="1"/>
    <col min="9" max="9" width="18.28515625" style="60" hidden="1" customWidth="1"/>
    <col min="10" max="11" width="18.28515625" style="60" customWidth="1"/>
    <col min="12" max="13" width="18.28515625" style="60" hidden="1" customWidth="1"/>
    <col min="14" max="14" width="18.28515625" style="60" customWidth="1"/>
    <col min="15" max="15" width="19" style="60" customWidth="1"/>
    <col min="16" max="16" width="19" style="60" bestFit="1" customWidth="1"/>
    <col min="17" max="17" width="23.28515625" style="60" customWidth="1"/>
    <col min="18" max="18" width="23.140625" style="60" bestFit="1" customWidth="1"/>
    <col min="19" max="20" width="20.28515625" style="60" bestFit="1" customWidth="1"/>
    <col min="21" max="21" width="18.28515625" style="60" customWidth="1"/>
    <col min="22" max="23" width="18.28515625" style="60" hidden="1" customWidth="1"/>
    <col min="24" max="24" width="15" style="44" hidden="1" customWidth="1"/>
    <col min="25" max="25" width="15.28515625" style="44" hidden="1" customWidth="1"/>
    <col min="26" max="26" width="15.7109375" style="44" hidden="1" customWidth="1"/>
    <col min="27" max="27" width="22.7109375" style="44" customWidth="1"/>
    <col min="28" max="28" width="10.7109375" style="44" customWidth="1"/>
    <col min="29" max="29" width="15.42578125" style="44" bestFit="1" customWidth="1"/>
    <col min="30" max="32" width="9.140625" style="44"/>
    <col min="33" max="33" width="7.42578125" style="44" customWidth="1"/>
    <col min="34" max="36" width="20.7109375" style="44" customWidth="1"/>
    <col min="37" max="16384" width="9.140625" style="44"/>
  </cols>
  <sheetData>
    <row r="2" spans="1:28" s="93" customFormat="1" hidden="1">
      <c r="D2" s="93">
        <v>1</v>
      </c>
      <c r="E2" s="93">
        <f t="shared" ref="E2:AB2" si="0">+D2+1</f>
        <v>2</v>
      </c>
      <c r="F2" s="93">
        <f t="shared" si="0"/>
        <v>3</v>
      </c>
      <c r="G2" s="93">
        <f t="shared" si="0"/>
        <v>4</v>
      </c>
      <c r="H2" s="93">
        <f t="shared" si="0"/>
        <v>5</v>
      </c>
      <c r="I2" s="93">
        <f t="shared" si="0"/>
        <v>6</v>
      </c>
      <c r="J2" s="93">
        <f t="shared" si="0"/>
        <v>7</v>
      </c>
      <c r="K2" s="93">
        <f>+J2+1</f>
        <v>8</v>
      </c>
      <c r="L2" s="93">
        <f t="shared" si="0"/>
        <v>9</v>
      </c>
      <c r="M2" s="93">
        <f t="shared" si="0"/>
        <v>10</v>
      </c>
      <c r="N2" s="93">
        <f t="shared" si="0"/>
        <v>11</v>
      </c>
      <c r="O2" s="93">
        <f t="shared" si="0"/>
        <v>12</v>
      </c>
      <c r="P2" s="93">
        <f t="shared" si="0"/>
        <v>13</v>
      </c>
      <c r="Q2" s="93">
        <f t="shared" si="0"/>
        <v>14</v>
      </c>
      <c r="R2" s="93">
        <f t="shared" si="0"/>
        <v>15</v>
      </c>
      <c r="S2" s="93">
        <f>R2+1</f>
        <v>16</v>
      </c>
      <c r="T2" s="93">
        <f t="shared" si="0"/>
        <v>17</v>
      </c>
      <c r="U2" s="93">
        <f>+T2+1</f>
        <v>18</v>
      </c>
      <c r="V2" s="93">
        <f t="shared" si="0"/>
        <v>19</v>
      </c>
      <c r="W2" s="93">
        <f>+V2+1</f>
        <v>20</v>
      </c>
      <c r="X2" s="93">
        <f t="shared" si="0"/>
        <v>21</v>
      </c>
      <c r="Y2" s="93">
        <f t="shared" si="0"/>
        <v>22</v>
      </c>
      <c r="Z2" s="93">
        <f t="shared" si="0"/>
        <v>23</v>
      </c>
      <c r="AA2" s="93">
        <f t="shared" si="0"/>
        <v>24</v>
      </c>
      <c r="AB2" s="93">
        <f t="shared" si="0"/>
        <v>25</v>
      </c>
    </row>
    <row r="3" spans="1:28" s="60" customFormat="1" ht="29.25" customHeight="1">
      <c r="A3" s="65"/>
      <c r="B3" s="65"/>
      <c r="C3" s="65"/>
      <c r="D3" s="72"/>
      <c r="E3" s="137" t="s">
        <v>1089</v>
      </c>
      <c r="F3" s="138" t="s">
        <v>922</v>
      </c>
      <c r="G3" s="71" t="s">
        <v>204</v>
      </c>
      <c r="H3" s="71" t="s">
        <v>1342</v>
      </c>
      <c r="I3" s="71" t="s">
        <v>185</v>
      </c>
      <c r="J3" s="72" t="s">
        <v>1175</v>
      </c>
      <c r="K3" s="72" t="s">
        <v>1175</v>
      </c>
      <c r="L3" s="71" t="s">
        <v>185</v>
      </c>
      <c r="M3" s="72" t="s">
        <v>185</v>
      </c>
      <c r="N3" s="71" t="s">
        <v>1326</v>
      </c>
      <c r="O3" s="72" t="s">
        <v>1326</v>
      </c>
      <c r="P3" s="72" t="s">
        <v>1176</v>
      </c>
      <c r="Q3" s="71" t="s">
        <v>592</v>
      </c>
      <c r="R3" s="71" t="s">
        <v>592</v>
      </c>
      <c r="S3" s="71" t="s">
        <v>1086</v>
      </c>
      <c r="T3" s="72" t="s">
        <v>1086</v>
      </c>
      <c r="U3" s="71" t="s">
        <v>918</v>
      </c>
      <c r="V3" s="71" t="s">
        <v>185</v>
      </c>
      <c r="W3" s="71" t="s">
        <v>185</v>
      </c>
      <c r="X3" s="72" t="s">
        <v>185</v>
      </c>
      <c r="Y3" s="72" t="s">
        <v>185</v>
      </c>
      <c r="Z3" s="72" t="s">
        <v>185</v>
      </c>
      <c r="AA3" s="139"/>
      <c r="AB3" s="65"/>
    </row>
    <row r="4" spans="1:28" s="60" customFormat="1" ht="15.75" thickBot="1">
      <c r="A4" s="140" t="s">
        <v>925</v>
      </c>
      <c r="B4" s="140"/>
      <c r="C4" s="141" t="s">
        <v>344</v>
      </c>
      <c r="D4" s="142" t="s">
        <v>926</v>
      </c>
      <c r="E4" s="142" t="s">
        <v>927</v>
      </c>
      <c r="F4" s="73" t="s">
        <v>928</v>
      </c>
      <c r="G4" s="73" t="s">
        <v>1189</v>
      </c>
      <c r="H4" s="73" t="s">
        <v>589</v>
      </c>
      <c r="I4" s="73"/>
      <c r="J4" s="73" t="s">
        <v>590</v>
      </c>
      <c r="K4" s="73" t="s">
        <v>591</v>
      </c>
      <c r="L4" s="73"/>
      <c r="M4" s="73"/>
      <c r="N4" s="73" t="s">
        <v>590</v>
      </c>
      <c r="O4" s="73" t="s">
        <v>591</v>
      </c>
      <c r="P4" s="73" t="s">
        <v>1130</v>
      </c>
      <c r="Q4" s="73" t="s">
        <v>1346</v>
      </c>
      <c r="R4" s="73" t="s">
        <v>1347</v>
      </c>
      <c r="S4" s="73" t="s">
        <v>1293</v>
      </c>
      <c r="T4" s="73" t="s">
        <v>1177</v>
      </c>
      <c r="U4" s="73" t="s">
        <v>593</v>
      </c>
      <c r="V4" s="73"/>
      <c r="W4" s="73"/>
      <c r="X4" s="73"/>
      <c r="Y4" s="73"/>
      <c r="Z4" s="73"/>
      <c r="AA4" s="73" t="s">
        <v>932</v>
      </c>
      <c r="AB4" s="73" t="s">
        <v>933</v>
      </c>
    </row>
    <row r="6" spans="1:28" ht="15">
      <c r="A6" s="65" t="s">
        <v>934</v>
      </c>
    </row>
    <row r="8" spans="1:28" ht="15">
      <c r="A8" s="65" t="s">
        <v>364</v>
      </c>
    </row>
    <row r="9" spans="1:28">
      <c r="A9" s="68" t="s">
        <v>359</v>
      </c>
      <c r="C9" s="60" t="s">
        <v>960</v>
      </c>
      <c r="D9" s="60" t="s">
        <v>365</v>
      </c>
      <c r="E9" s="60" t="s">
        <v>869</v>
      </c>
      <c r="F9" s="76">
        <f>VLOOKUP(C9,'Functional Assignment'!$C$2:$AP$780,'Functional Assignment'!$H$2,)</f>
        <v>834776532.70339584</v>
      </c>
      <c r="G9" s="76">
        <f t="shared" ref="G9:P14" si="1">IF(VLOOKUP($E9,$D$6:$AN$1131,3,)=0,0,(VLOOKUP($E9,$D$6:$AN$1131,G$2,)/VLOOKUP($E9,$D$6:$AN$1131,3,))*$F9)</f>
        <v>302003811.76222789</v>
      </c>
      <c r="H9" s="76">
        <f t="shared" si="1"/>
        <v>98140428.046033695</v>
      </c>
      <c r="I9" s="76">
        <f t="shared" si="1"/>
        <v>0</v>
      </c>
      <c r="J9" s="76">
        <f t="shared" si="1"/>
        <v>11688691.846248744</v>
      </c>
      <c r="K9" s="76">
        <f t="shared" si="1"/>
        <v>135428654.09927532</v>
      </c>
      <c r="L9" s="76">
        <f t="shared" si="1"/>
        <v>0</v>
      </c>
      <c r="M9" s="76">
        <f t="shared" si="1"/>
        <v>0</v>
      </c>
      <c r="N9" s="76">
        <f t="shared" si="1"/>
        <v>130726251.42103043</v>
      </c>
      <c r="O9" s="76">
        <f t="shared" si="1"/>
        <v>57495181.342699356</v>
      </c>
      <c r="P9" s="76">
        <f t="shared" si="1"/>
        <v>79602275.008907408</v>
      </c>
      <c r="Q9" s="76">
        <f t="shared" ref="Q9:Z14" si="2">IF(VLOOKUP($E9,$D$6:$AN$1131,3,)=0,0,(VLOOKUP($E9,$D$6:$AN$1131,Q$2,)/VLOOKUP($E9,$D$6:$AN$1131,3,))*$F9)</f>
        <v>7769583.292031466</v>
      </c>
      <c r="R9" s="76">
        <f t="shared" si="2"/>
        <v>4104643.251121338</v>
      </c>
      <c r="S9" s="76">
        <f t="shared" si="2"/>
        <v>7352742.1771733621</v>
      </c>
      <c r="T9" s="76">
        <f t="shared" si="2"/>
        <v>239671.75845746684</v>
      </c>
      <c r="U9" s="76">
        <f t="shared" si="2"/>
        <v>224598.69818957904</v>
      </c>
      <c r="V9" s="76">
        <f t="shared" si="2"/>
        <v>0</v>
      </c>
      <c r="W9" s="76">
        <f t="shared" si="2"/>
        <v>0</v>
      </c>
      <c r="X9" s="62">
        <f t="shared" si="2"/>
        <v>0</v>
      </c>
      <c r="Y9" s="62">
        <f t="shared" si="2"/>
        <v>0</v>
      </c>
      <c r="Z9" s="62">
        <f t="shared" si="2"/>
        <v>0</v>
      </c>
      <c r="AA9" s="64">
        <f t="shared" ref="AA9:AA15" si="3">SUM(G9:Z9)</f>
        <v>834776532.70339596</v>
      </c>
      <c r="AB9" s="58" t="str">
        <f t="shared" ref="AB9:AB15" si="4">IF(ABS(F9-AA9)&lt;0.01,"ok","err")</f>
        <v>ok</v>
      </c>
    </row>
    <row r="10" spans="1:28">
      <c r="A10" s="68" t="s">
        <v>1255</v>
      </c>
      <c r="C10" s="60" t="s">
        <v>960</v>
      </c>
      <c r="D10" s="60" t="s">
        <v>366</v>
      </c>
      <c r="E10" s="60" t="s">
        <v>188</v>
      </c>
      <c r="F10" s="79">
        <f>VLOOKUP(C10,'Functional Assignment'!$C$2:$AP$780,'Functional Assignment'!$I$2,)</f>
        <v>874481254.62203681</v>
      </c>
      <c r="G10" s="79">
        <f t="shared" si="1"/>
        <v>373681741.60701299</v>
      </c>
      <c r="H10" s="79">
        <f t="shared" si="1"/>
        <v>122277054.94573589</v>
      </c>
      <c r="I10" s="79">
        <f t="shared" si="1"/>
        <v>0</v>
      </c>
      <c r="J10" s="79">
        <f t="shared" si="1"/>
        <v>9508764.9398822486</v>
      </c>
      <c r="K10" s="79">
        <f t="shared" si="1"/>
        <v>127951296.87319207</v>
      </c>
      <c r="L10" s="79">
        <f t="shared" si="1"/>
        <v>0</v>
      </c>
      <c r="M10" s="79">
        <f t="shared" si="1"/>
        <v>0</v>
      </c>
      <c r="N10" s="79">
        <f t="shared" si="1"/>
        <v>101893377.59386589</v>
      </c>
      <c r="O10" s="79">
        <f t="shared" si="1"/>
        <v>68331135.216474876</v>
      </c>
      <c r="P10" s="79">
        <f t="shared" si="1"/>
        <v>60945823.276395164</v>
      </c>
      <c r="Q10" s="79">
        <f t="shared" si="2"/>
        <v>7036581.8245300762</v>
      </c>
      <c r="R10" s="79">
        <f t="shared" si="2"/>
        <v>2674632.0889747618</v>
      </c>
      <c r="S10" s="79">
        <f t="shared" si="2"/>
        <v>0</v>
      </c>
      <c r="T10" s="79">
        <f t="shared" si="2"/>
        <v>0</v>
      </c>
      <c r="U10" s="79">
        <f t="shared" si="2"/>
        <v>180846.25597287799</v>
      </c>
      <c r="V10" s="79">
        <f t="shared" si="2"/>
        <v>0</v>
      </c>
      <c r="W10" s="79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3"/>
        <v>874481254.62203681</v>
      </c>
      <c r="AB10" s="58" t="str">
        <f t="shared" si="4"/>
        <v>ok</v>
      </c>
    </row>
    <row r="11" spans="1:28">
      <c r="A11" s="68" t="s">
        <v>1256</v>
      </c>
      <c r="C11" s="60" t="s">
        <v>960</v>
      </c>
      <c r="D11" s="60" t="s">
        <v>367</v>
      </c>
      <c r="E11" s="60" t="s">
        <v>191</v>
      </c>
      <c r="F11" s="79">
        <f>VLOOKUP(C11,'Functional Assignment'!$C$2:$AP$780,'Functional Assignment'!$J$2,)</f>
        <v>718820642.53047872</v>
      </c>
      <c r="G11" s="79">
        <f t="shared" si="1"/>
        <v>281094821.79396081</v>
      </c>
      <c r="H11" s="79">
        <f t="shared" si="1"/>
        <v>101580706.24064969</v>
      </c>
      <c r="I11" s="79">
        <f t="shared" si="1"/>
        <v>0</v>
      </c>
      <c r="J11" s="79">
        <f t="shared" si="1"/>
        <v>8377545.205064117</v>
      </c>
      <c r="K11" s="79">
        <f t="shared" si="1"/>
        <v>118251070.79385504</v>
      </c>
      <c r="L11" s="79">
        <f t="shared" si="1"/>
        <v>0</v>
      </c>
      <c r="M11" s="79">
        <f t="shared" si="1"/>
        <v>0</v>
      </c>
      <c r="N11" s="79">
        <f t="shared" si="1"/>
        <v>89436342.026382759</v>
      </c>
      <c r="O11" s="79">
        <f t="shared" si="1"/>
        <v>60407075.4142593</v>
      </c>
      <c r="P11" s="79">
        <f t="shared" si="1"/>
        <v>51725640.156809069</v>
      </c>
      <c r="Q11" s="79">
        <f t="shared" si="2"/>
        <v>5585172.5530713191</v>
      </c>
      <c r="R11" s="79">
        <f t="shared" si="2"/>
        <v>2260913.9256575489</v>
      </c>
      <c r="S11" s="79">
        <f t="shared" si="2"/>
        <v>0</v>
      </c>
      <c r="T11" s="79">
        <f t="shared" si="2"/>
        <v>0</v>
      </c>
      <c r="U11" s="79">
        <f t="shared" si="2"/>
        <v>101354.42076899772</v>
      </c>
      <c r="V11" s="79">
        <f t="shared" si="2"/>
        <v>0</v>
      </c>
      <c r="W11" s="79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3"/>
        <v>718820642.5304786</v>
      </c>
      <c r="AB11" s="58" t="str">
        <f t="shared" si="4"/>
        <v>ok</v>
      </c>
    </row>
    <row r="12" spans="1:28">
      <c r="A12" s="68" t="s">
        <v>1257</v>
      </c>
      <c r="C12" s="60" t="s">
        <v>960</v>
      </c>
      <c r="D12" s="60" t="s">
        <v>368</v>
      </c>
      <c r="E12" s="60" t="s">
        <v>1091</v>
      </c>
      <c r="F12" s="79">
        <f>VLOOKUP(C12,'Functional Assignment'!$C$2:$AP$780,'Functional Assignment'!$K$2,)</f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79">
        <f t="shared" si="1"/>
        <v>0</v>
      </c>
      <c r="M12" s="79">
        <f t="shared" si="1"/>
        <v>0</v>
      </c>
      <c r="N12" s="79">
        <f t="shared" si="1"/>
        <v>0</v>
      </c>
      <c r="O12" s="79">
        <f t="shared" si="1"/>
        <v>0</v>
      </c>
      <c r="P12" s="79">
        <f t="shared" si="1"/>
        <v>0</v>
      </c>
      <c r="Q12" s="79">
        <f t="shared" si="2"/>
        <v>0</v>
      </c>
      <c r="R12" s="79">
        <f t="shared" si="2"/>
        <v>0</v>
      </c>
      <c r="S12" s="79">
        <f t="shared" si="2"/>
        <v>0</v>
      </c>
      <c r="T12" s="79">
        <f t="shared" si="2"/>
        <v>0</v>
      </c>
      <c r="U12" s="79">
        <f t="shared" si="2"/>
        <v>0</v>
      </c>
      <c r="V12" s="79">
        <f t="shared" si="2"/>
        <v>0</v>
      </c>
      <c r="W12" s="79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3"/>
        <v>0</v>
      </c>
      <c r="AB12" s="58" t="str">
        <f t="shared" si="4"/>
        <v>ok</v>
      </c>
    </row>
    <row r="13" spans="1:28" hidden="1">
      <c r="A13" s="68" t="s">
        <v>1258</v>
      </c>
      <c r="C13" s="60" t="s">
        <v>960</v>
      </c>
      <c r="D13" s="60" t="s">
        <v>369</v>
      </c>
      <c r="E13" s="60" t="s">
        <v>1091</v>
      </c>
      <c r="F13" s="79">
        <f>VLOOKUP(C13,'Functional Assignment'!$C$2:$AP$780,'Functional Assignment'!$L$2,)</f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79">
        <f t="shared" si="1"/>
        <v>0</v>
      </c>
      <c r="Q13" s="79">
        <f t="shared" si="2"/>
        <v>0</v>
      </c>
      <c r="R13" s="79">
        <f t="shared" si="2"/>
        <v>0</v>
      </c>
      <c r="S13" s="79">
        <f t="shared" si="2"/>
        <v>0</v>
      </c>
      <c r="T13" s="79">
        <f t="shared" si="2"/>
        <v>0</v>
      </c>
      <c r="U13" s="79">
        <f t="shared" si="2"/>
        <v>0</v>
      </c>
      <c r="V13" s="79">
        <f t="shared" si="2"/>
        <v>0</v>
      </c>
      <c r="W13" s="79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3"/>
        <v>0</v>
      </c>
      <c r="AB13" s="58" t="str">
        <f t="shared" si="4"/>
        <v>ok</v>
      </c>
    </row>
    <row r="14" spans="1:28" hidden="1">
      <c r="A14" s="68" t="s">
        <v>1258</v>
      </c>
      <c r="C14" s="60" t="s">
        <v>960</v>
      </c>
      <c r="D14" s="60" t="s">
        <v>370</v>
      </c>
      <c r="E14" s="60" t="s">
        <v>1091</v>
      </c>
      <c r="F14" s="79">
        <f>VLOOKUP(C14,'Functional Assignment'!$C$2:$AP$780,'Functional Assignment'!$M$2,)</f>
        <v>0</v>
      </c>
      <c r="G14" s="79">
        <f t="shared" si="1"/>
        <v>0</v>
      </c>
      <c r="H14" s="79">
        <f t="shared" si="1"/>
        <v>0</v>
      </c>
      <c r="I14" s="79">
        <f t="shared" si="1"/>
        <v>0</v>
      </c>
      <c r="J14" s="79">
        <f t="shared" si="1"/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 t="shared" si="1"/>
        <v>0</v>
      </c>
      <c r="Q14" s="79">
        <f t="shared" si="2"/>
        <v>0</v>
      </c>
      <c r="R14" s="79">
        <f t="shared" si="2"/>
        <v>0</v>
      </c>
      <c r="S14" s="79">
        <f t="shared" si="2"/>
        <v>0</v>
      </c>
      <c r="T14" s="79">
        <f t="shared" si="2"/>
        <v>0</v>
      </c>
      <c r="U14" s="79">
        <f t="shared" si="2"/>
        <v>0</v>
      </c>
      <c r="V14" s="79">
        <f t="shared" si="2"/>
        <v>0</v>
      </c>
      <c r="W14" s="79">
        <f t="shared" si="2"/>
        <v>0</v>
      </c>
      <c r="X14" s="63">
        <f t="shared" si="2"/>
        <v>0</v>
      </c>
      <c r="Y14" s="63">
        <f t="shared" si="2"/>
        <v>0</v>
      </c>
      <c r="Z14" s="63">
        <f t="shared" si="2"/>
        <v>0</v>
      </c>
      <c r="AA14" s="63">
        <f t="shared" si="3"/>
        <v>0</v>
      </c>
      <c r="AB14" s="58" t="str">
        <f t="shared" si="4"/>
        <v>ok</v>
      </c>
    </row>
    <row r="15" spans="1:28">
      <c r="A15" s="60" t="s">
        <v>387</v>
      </c>
      <c r="D15" s="60" t="s">
        <v>1092</v>
      </c>
      <c r="F15" s="76">
        <f>SUM(F9:F14)</f>
        <v>2428078429.8559113</v>
      </c>
      <c r="G15" s="76">
        <f t="shared" ref="G15:P15" si="5">SUM(G9:G14)</f>
        <v>956780375.16320169</v>
      </c>
      <c r="H15" s="76">
        <f t="shared" si="5"/>
        <v>321998189.23241925</v>
      </c>
      <c r="I15" s="76">
        <f t="shared" si="5"/>
        <v>0</v>
      </c>
      <c r="J15" s="76">
        <f t="shared" si="5"/>
        <v>29575001.991195112</v>
      </c>
      <c r="K15" s="76">
        <f t="shared" si="5"/>
        <v>381631021.76632243</v>
      </c>
      <c r="L15" s="76">
        <f t="shared" si="5"/>
        <v>0</v>
      </c>
      <c r="M15" s="76">
        <f t="shared" si="5"/>
        <v>0</v>
      </c>
      <c r="N15" s="76">
        <f t="shared" si="5"/>
        <v>322055971.04127908</v>
      </c>
      <c r="O15" s="76">
        <f>SUM(O9:O14)</f>
        <v>186233391.97343355</v>
      </c>
      <c r="P15" s="76">
        <f t="shared" si="5"/>
        <v>192273738.44211164</v>
      </c>
      <c r="Q15" s="76">
        <f t="shared" ref="Q15:Z15" si="6">SUM(Q9:Q14)</f>
        <v>20391337.669632863</v>
      </c>
      <c r="R15" s="76">
        <f t="shared" si="6"/>
        <v>9040189.2657536492</v>
      </c>
      <c r="S15" s="76">
        <f t="shared" si="6"/>
        <v>7352742.1771733621</v>
      </c>
      <c r="T15" s="76">
        <f t="shared" si="6"/>
        <v>239671.75845746684</v>
      </c>
      <c r="U15" s="76">
        <f t="shared" si="6"/>
        <v>506799.37493145477</v>
      </c>
      <c r="V15" s="76">
        <f t="shared" si="6"/>
        <v>0</v>
      </c>
      <c r="W15" s="76">
        <f t="shared" si="6"/>
        <v>0</v>
      </c>
      <c r="X15" s="62">
        <f t="shared" si="6"/>
        <v>0</v>
      </c>
      <c r="Y15" s="62">
        <f t="shared" si="6"/>
        <v>0</v>
      </c>
      <c r="Z15" s="62">
        <f t="shared" si="6"/>
        <v>0</v>
      </c>
      <c r="AA15" s="64">
        <f t="shared" si="3"/>
        <v>2428078429.8559113</v>
      </c>
      <c r="AB15" s="58" t="str">
        <f t="shared" si="4"/>
        <v>ok</v>
      </c>
    </row>
    <row r="16" spans="1:28">
      <c r="F16" s="79"/>
      <c r="G16" s="79"/>
    </row>
    <row r="17" spans="1:28" ht="15">
      <c r="A17" s="65" t="s">
        <v>1131</v>
      </c>
      <c r="F17" s="79"/>
      <c r="G17" s="79"/>
    </row>
    <row r="18" spans="1:28">
      <c r="A18" s="68" t="s">
        <v>1363</v>
      </c>
      <c r="C18" s="60" t="s">
        <v>960</v>
      </c>
      <c r="D18" s="60" t="s">
        <v>360</v>
      </c>
      <c r="E18" s="60" t="s">
        <v>1367</v>
      </c>
      <c r="F18" s="76">
        <f>VLOOKUP(C18,'Functional Assignment'!$C$2:$AP$780,'Functional Assignment'!$N$2,)</f>
        <v>465684635.2936042</v>
      </c>
      <c r="G18" s="76">
        <f t="shared" ref="G18:P20" si="7">IF(VLOOKUP($E18,$D$6:$AN$1131,3,)=0,0,(VLOOKUP($E18,$D$6:$AN$1131,G$2,)/VLOOKUP($E18,$D$6:$AN$1131,3,))*$F18)</f>
        <v>206944618.61384949</v>
      </c>
      <c r="H18" s="76">
        <f t="shared" si="7"/>
        <v>59568432.414921001</v>
      </c>
      <c r="I18" s="76">
        <f t="shared" si="7"/>
        <v>0</v>
      </c>
      <c r="J18" s="76">
        <f t="shared" si="7"/>
        <v>5292707.3815755583</v>
      </c>
      <c r="K18" s="76">
        <f t="shared" si="7"/>
        <v>61430380.790279523</v>
      </c>
      <c r="L18" s="76">
        <f t="shared" si="7"/>
        <v>0</v>
      </c>
      <c r="M18" s="76">
        <f t="shared" si="7"/>
        <v>0</v>
      </c>
      <c r="N18" s="76">
        <f t="shared" si="7"/>
        <v>55882901.121297717</v>
      </c>
      <c r="O18" s="76">
        <f t="shared" si="7"/>
        <v>33180333.805065773</v>
      </c>
      <c r="P18" s="76">
        <f t="shared" si="7"/>
        <v>34368775.929895379</v>
      </c>
      <c r="Q18" s="76">
        <f t="shared" ref="Q18:Z20" si="8">IF(VLOOKUP($E18,$D$6:$AN$1131,3,)=0,0,(VLOOKUP($E18,$D$6:$AN$1131,Q$2,)/VLOOKUP($E18,$D$6:$AN$1131,3,))*$F18)</f>
        <v>3464523.9369553626</v>
      </c>
      <c r="R18" s="76">
        <f t="shared" si="8"/>
        <v>1813381.6732500023</v>
      </c>
      <c r="S18" s="76">
        <f t="shared" si="8"/>
        <v>3572282.1783979638</v>
      </c>
      <c r="T18" s="76">
        <f t="shared" si="8"/>
        <v>114251.89598414062</v>
      </c>
      <c r="U18" s="76">
        <f t="shared" si="8"/>
        <v>52045.552132363286</v>
      </c>
      <c r="V18" s="76">
        <f t="shared" si="8"/>
        <v>0</v>
      </c>
      <c r="W18" s="76">
        <f t="shared" si="8"/>
        <v>0</v>
      </c>
      <c r="X18" s="62">
        <f t="shared" si="8"/>
        <v>0</v>
      </c>
      <c r="Y18" s="62">
        <f t="shared" si="8"/>
        <v>0</v>
      </c>
      <c r="Z18" s="62">
        <f t="shared" si="8"/>
        <v>0</v>
      </c>
      <c r="AA18" s="64">
        <f>SUM(G18:Z18)</f>
        <v>465684635.29360431</v>
      </c>
      <c r="AB18" s="58" t="str">
        <f>IF(ABS(F18-AA18)&lt;0.01,"ok","err")</f>
        <v>ok</v>
      </c>
    </row>
    <row r="19" spans="1:28" hidden="1">
      <c r="A19" s="68" t="s">
        <v>1364</v>
      </c>
      <c r="C19" s="60" t="s">
        <v>960</v>
      </c>
      <c r="D19" s="60" t="s">
        <v>361</v>
      </c>
      <c r="E19" s="60" t="s">
        <v>188</v>
      </c>
      <c r="F19" s="79">
        <f>VLOOKUP(C19,'Functional Assignment'!$C$2:$AP$780,'Functional Assignment'!$O$2,)</f>
        <v>0</v>
      </c>
      <c r="G19" s="79">
        <f t="shared" si="7"/>
        <v>0</v>
      </c>
      <c r="H19" s="79">
        <f t="shared" si="7"/>
        <v>0</v>
      </c>
      <c r="I19" s="79">
        <f t="shared" si="7"/>
        <v>0</v>
      </c>
      <c r="J19" s="79">
        <f t="shared" si="7"/>
        <v>0</v>
      </c>
      <c r="K19" s="79">
        <f t="shared" si="7"/>
        <v>0</v>
      </c>
      <c r="L19" s="79">
        <f t="shared" si="7"/>
        <v>0</v>
      </c>
      <c r="M19" s="79">
        <f t="shared" si="7"/>
        <v>0</v>
      </c>
      <c r="N19" s="79">
        <f t="shared" si="7"/>
        <v>0</v>
      </c>
      <c r="O19" s="79">
        <f t="shared" si="7"/>
        <v>0</v>
      </c>
      <c r="P19" s="79">
        <f t="shared" si="7"/>
        <v>0</v>
      </c>
      <c r="Q19" s="79">
        <f t="shared" si="8"/>
        <v>0</v>
      </c>
      <c r="R19" s="79">
        <f t="shared" si="8"/>
        <v>0</v>
      </c>
      <c r="S19" s="79">
        <f t="shared" si="8"/>
        <v>0</v>
      </c>
      <c r="T19" s="79">
        <f t="shared" si="8"/>
        <v>0</v>
      </c>
      <c r="U19" s="79">
        <f t="shared" si="8"/>
        <v>0</v>
      </c>
      <c r="V19" s="79">
        <f t="shared" si="8"/>
        <v>0</v>
      </c>
      <c r="W19" s="79">
        <f t="shared" si="8"/>
        <v>0</v>
      </c>
      <c r="X19" s="63">
        <f t="shared" si="8"/>
        <v>0</v>
      </c>
      <c r="Y19" s="63">
        <f t="shared" si="8"/>
        <v>0</v>
      </c>
      <c r="Z19" s="63">
        <f t="shared" si="8"/>
        <v>0</v>
      </c>
      <c r="AA19" s="63">
        <f>SUM(G19:Z19)</f>
        <v>0</v>
      </c>
      <c r="AB19" s="58" t="str">
        <f>IF(ABS(F19-AA19)&lt;0.01,"ok","err")</f>
        <v>ok</v>
      </c>
    </row>
    <row r="20" spans="1:28" hidden="1">
      <c r="A20" s="68" t="s">
        <v>1364</v>
      </c>
      <c r="C20" s="60" t="s">
        <v>960</v>
      </c>
      <c r="D20" s="60" t="s">
        <v>362</v>
      </c>
      <c r="E20" s="60" t="s">
        <v>191</v>
      </c>
      <c r="F20" s="79">
        <f>VLOOKUP(C20,'Functional Assignment'!$C$2:$AP$780,'Functional Assignment'!$P$2,)</f>
        <v>0</v>
      </c>
      <c r="G20" s="79">
        <f t="shared" si="7"/>
        <v>0</v>
      </c>
      <c r="H20" s="79">
        <f t="shared" si="7"/>
        <v>0</v>
      </c>
      <c r="I20" s="79">
        <f t="shared" si="7"/>
        <v>0</v>
      </c>
      <c r="J20" s="79">
        <f t="shared" si="7"/>
        <v>0</v>
      </c>
      <c r="K20" s="79">
        <f t="shared" si="7"/>
        <v>0</v>
      </c>
      <c r="L20" s="79">
        <f t="shared" si="7"/>
        <v>0</v>
      </c>
      <c r="M20" s="79">
        <f t="shared" si="7"/>
        <v>0</v>
      </c>
      <c r="N20" s="79">
        <f t="shared" si="7"/>
        <v>0</v>
      </c>
      <c r="O20" s="79">
        <f t="shared" si="7"/>
        <v>0</v>
      </c>
      <c r="P20" s="79">
        <f t="shared" si="7"/>
        <v>0</v>
      </c>
      <c r="Q20" s="79">
        <f t="shared" si="8"/>
        <v>0</v>
      </c>
      <c r="R20" s="79">
        <f t="shared" si="8"/>
        <v>0</v>
      </c>
      <c r="S20" s="79">
        <f t="shared" si="8"/>
        <v>0</v>
      </c>
      <c r="T20" s="79">
        <f t="shared" si="8"/>
        <v>0</v>
      </c>
      <c r="U20" s="79">
        <f t="shared" si="8"/>
        <v>0</v>
      </c>
      <c r="V20" s="79">
        <f t="shared" si="8"/>
        <v>0</v>
      </c>
      <c r="W20" s="79">
        <f t="shared" si="8"/>
        <v>0</v>
      </c>
      <c r="X20" s="63">
        <f t="shared" si="8"/>
        <v>0</v>
      </c>
      <c r="Y20" s="63">
        <f t="shared" si="8"/>
        <v>0</v>
      </c>
      <c r="Z20" s="63">
        <f t="shared" si="8"/>
        <v>0</v>
      </c>
      <c r="AA20" s="63">
        <f>SUM(G20:Z20)</f>
        <v>0</v>
      </c>
      <c r="AB20" s="58" t="str">
        <f>IF(ABS(F20-AA20)&lt;0.01,"ok","err")</f>
        <v>ok</v>
      </c>
    </row>
    <row r="21" spans="1:28" ht="14.25" hidden="1" customHeight="1">
      <c r="A21" s="60" t="s">
        <v>1133</v>
      </c>
      <c r="D21" s="60" t="s">
        <v>363</v>
      </c>
      <c r="F21" s="76">
        <f t="shared" ref="F21:Y21" si="9">SUM(F18:F20)</f>
        <v>465684635.2936042</v>
      </c>
      <c r="G21" s="76">
        <f t="shared" si="9"/>
        <v>206944618.61384949</v>
      </c>
      <c r="H21" s="76">
        <f t="shared" si="9"/>
        <v>59568432.414921001</v>
      </c>
      <c r="I21" s="76">
        <f t="shared" si="9"/>
        <v>0</v>
      </c>
      <c r="J21" s="76">
        <f t="shared" si="9"/>
        <v>5292707.3815755583</v>
      </c>
      <c r="K21" s="76">
        <f t="shared" si="9"/>
        <v>61430380.790279523</v>
      </c>
      <c r="L21" s="76">
        <f t="shared" si="9"/>
        <v>0</v>
      </c>
      <c r="M21" s="76">
        <f t="shared" si="9"/>
        <v>0</v>
      </c>
      <c r="N21" s="76">
        <f t="shared" si="9"/>
        <v>55882901.121297717</v>
      </c>
      <c r="O21" s="76">
        <f>SUM(O18:O20)</f>
        <v>33180333.805065773</v>
      </c>
      <c r="P21" s="76">
        <f t="shared" si="9"/>
        <v>34368775.929895379</v>
      </c>
      <c r="Q21" s="76">
        <f t="shared" si="9"/>
        <v>3464523.9369553626</v>
      </c>
      <c r="R21" s="76">
        <f t="shared" si="9"/>
        <v>1813381.6732500023</v>
      </c>
      <c r="S21" s="76">
        <f t="shared" si="9"/>
        <v>3572282.1783979638</v>
      </c>
      <c r="T21" s="76">
        <f t="shared" si="9"/>
        <v>114251.89598414062</v>
      </c>
      <c r="U21" s="76">
        <f t="shared" si="9"/>
        <v>52045.552132363286</v>
      </c>
      <c r="V21" s="76">
        <f t="shared" si="9"/>
        <v>0</v>
      </c>
      <c r="W21" s="76">
        <f t="shared" si="9"/>
        <v>0</v>
      </c>
      <c r="X21" s="62">
        <f t="shared" si="9"/>
        <v>0</v>
      </c>
      <c r="Y21" s="62">
        <f t="shared" si="9"/>
        <v>0</v>
      </c>
      <c r="Z21" s="62">
        <f>SUM(Z18:Z20)</f>
        <v>0</v>
      </c>
      <c r="AA21" s="64">
        <f>SUM(G21:Z21)</f>
        <v>465684635.29360431</v>
      </c>
      <c r="AB21" s="58" t="str">
        <f>IF(ABS(F21-AA21)&lt;0.01,"ok","err")</f>
        <v>ok</v>
      </c>
    </row>
    <row r="22" spans="1:28">
      <c r="F22" s="79"/>
      <c r="G22" s="79"/>
    </row>
    <row r="23" spans="1:28" ht="15">
      <c r="A23" s="65" t="s">
        <v>348</v>
      </c>
      <c r="F23" s="79"/>
      <c r="G23" s="79"/>
    </row>
    <row r="24" spans="1:28">
      <c r="A24" s="68" t="s">
        <v>372</v>
      </c>
      <c r="C24" s="60" t="s">
        <v>960</v>
      </c>
      <c r="D24" s="60" t="s">
        <v>375</v>
      </c>
      <c r="E24" s="60" t="s">
        <v>1368</v>
      </c>
      <c r="F24" s="76">
        <f>VLOOKUP(C24,'Functional Assignment'!$C$2:$AP$780,'Functional Assignment'!$Q$2,)</f>
        <v>0</v>
      </c>
      <c r="G24" s="76">
        <f t="shared" ref="G24:Z24" si="10">IF(VLOOKUP($E24,$D$6:$AN$1131,3,)=0,0,(VLOOKUP($E24,$D$6:$AN$1131,G$2,)/VLOOKUP($E24,$D$6:$AN$1131,3,))*$F24)</f>
        <v>0</v>
      </c>
      <c r="H24" s="76">
        <f t="shared" si="10"/>
        <v>0</v>
      </c>
      <c r="I24" s="76">
        <f t="shared" si="10"/>
        <v>0</v>
      </c>
      <c r="J24" s="76">
        <f t="shared" si="10"/>
        <v>0</v>
      </c>
      <c r="K24" s="76">
        <f t="shared" si="10"/>
        <v>0</v>
      </c>
      <c r="L24" s="76">
        <f t="shared" si="10"/>
        <v>0</v>
      </c>
      <c r="M24" s="76">
        <f t="shared" si="10"/>
        <v>0</v>
      </c>
      <c r="N24" s="76">
        <f t="shared" si="10"/>
        <v>0</v>
      </c>
      <c r="O24" s="76">
        <f t="shared" si="10"/>
        <v>0</v>
      </c>
      <c r="P24" s="76">
        <f t="shared" si="10"/>
        <v>0</v>
      </c>
      <c r="Q24" s="76">
        <f t="shared" si="10"/>
        <v>0</v>
      </c>
      <c r="R24" s="76">
        <f t="shared" si="10"/>
        <v>0</v>
      </c>
      <c r="S24" s="76">
        <f t="shared" si="10"/>
        <v>0</v>
      </c>
      <c r="T24" s="76">
        <f t="shared" si="10"/>
        <v>0</v>
      </c>
      <c r="U24" s="76">
        <f t="shared" si="10"/>
        <v>0</v>
      </c>
      <c r="V24" s="76">
        <f t="shared" si="10"/>
        <v>0</v>
      </c>
      <c r="W24" s="76">
        <f t="shared" si="10"/>
        <v>0</v>
      </c>
      <c r="X24" s="62">
        <f t="shared" si="10"/>
        <v>0</v>
      </c>
      <c r="Y24" s="62">
        <f t="shared" si="10"/>
        <v>0</v>
      </c>
      <c r="Z24" s="62">
        <f t="shared" si="10"/>
        <v>0</v>
      </c>
      <c r="AA24" s="64">
        <f>SUM(G24:Z24)</f>
        <v>0</v>
      </c>
      <c r="AB24" s="58" t="str">
        <f>IF(ABS(F24-AA24)&lt;0.01,"ok","err")</f>
        <v>ok</v>
      </c>
    </row>
    <row r="25" spans="1:28">
      <c r="F25" s="79"/>
    </row>
    <row r="26" spans="1:28" ht="15">
      <c r="A26" s="65" t="s">
        <v>349</v>
      </c>
      <c r="F26" s="79"/>
      <c r="G26" s="79"/>
    </row>
    <row r="27" spans="1:28">
      <c r="A27" s="68" t="s">
        <v>374</v>
      </c>
      <c r="C27" s="60" t="s">
        <v>960</v>
      </c>
      <c r="D27" s="60" t="s">
        <v>376</v>
      </c>
      <c r="E27" s="60" t="s">
        <v>1368</v>
      </c>
      <c r="F27" s="76">
        <f>VLOOKUP(C27,'Functional Assignment'!$C$2:$AP$780,'Functional Assignment'!$R$2,)</f>
        <v>161101605.49619821</v>
      </c>
      <c r="G27" s="76">
        <f t="shared" ref="G27:Z27" si="11">IF(VLOOKUP($E27,$D$6:$AN$1131,3,)=0,0,(VLOOKUP($E27,$D$6:$AN$1131,G$2,)/VLOOKUP($E27,$D$6:$AN$1131,3,))*$F27)</f>
        <v>77296277.388623074</v>
      </c>
      <c r="H27" s="76">
        <f t="shared" si="11"/>
        <v>22249518.283637244</v>
      </c>
      <c r="I27" s="76">
        <f t="shared" si="11"/>
        <v>0</v>
      </c>
      <c r="J27" s="76">
        <f t="shared" si="11"/>
        <v>1976889.1824457345</v>
      </c>
      <c r="K27" s="76">
        <f t="shared" si="11"/>
        <v>22944978.156278629</v>
      </c>
      <c r="L27" s="76">
        <f t="shared" si="11"/>
        <v>0</v>
      </c>
      <c r="M27" s="76">
        <f t="shared" si="11"/>
        <v>0</v>
      </c>
      <c r="N27" s="76">
        <f t="shared" si="11"/>
        <v>20872928.493071448</v>
      </c>
      <c r="O27" s="76">
        <f t="shared" si="11"/>
        <v>12393249.473324699</v>
      </c>
      <c r="P27" s="76">
        <f t="shared" si="11"/>
        <v>0</v>
      </c>
      <c r="Q27" s="76">
        <f t="shared" si="11"/>
        <v>1294040.9131880871</v>
      </c>
      <c r="R27" s="76">
        <f t="shared" si="11"/>
        <v>677319.63153158838</v>
      </c>
      <c r="S27" s="76">
        <f t="shared" si="11"/>
        <v>1334289.8985313573</v>
      </c>
      <c r="T27" s="76">
        <f t="shared" si="11"/>
        <v>42674.442579466158</v>
      </c>
      <c r="U27" s="76">
        <f t="shared" si="11"/>
        <v>19439.63298689984</v>
      </c>
      <c r="V27" s="76">
        <f t="shared" si="11"/>
        <v>0</v>
      </c>
      <c r="W27" s="76">
        <f t="shared" si="11"/>
        <v>0</v>
      </c>
      <c r="X27" s="62">
        <f t="shared" si="11"/>
        <v>0</v>
      </c>
      <c r="Y27" s="62">
        <f t="shared" si="11"/>
        <v>0</v>
      </c>
      <c r="Z27" s="62">
        <f t="shared" si="11"/>
        <v>0</v>
      </c>
      <c r="AA27" s="64">
        <f>SUM(G27:Z27)</f>
        <v>161101605.49619824</v>
      </c>
      <c r="AB27" s="58" t="str">
        <f>IF(ABS(F27-AA27)&lt;0.01,"ok","err")</f>
        <v>ok</v>
      </c>
    </row>
    <row r="28" spans="1:28">
      <c r="F28" s="79"/>
    </row>
    <row r="29" spans="1:28" ht="15">
      <c r="A29" s="65" t="s">
        <v>373</v>
      </c>
      <c r="F29" s="79"/>
    </row>
    <row r="30" spans="1:28">
      <c r="A30" s="68" t="s">
        <v>623</v>
      </c>
      <c r="C30" s="60" t="s">
        <v>960</v>
      </c>
      <c r="D30" s="60" t="s">
        <v>379</v>
      </c>
      <c r="E30" s="60" t="s">
        <v>1368</v>
      </c>
      <c r="F30" s="76">
        <f>VLOOKUP(C30,'Functional Assignment'!$C$2:$AP$780,'Functional Assignment'!$S$2,)</f>
        <v>0</v>
      </c>
      <c r="G30" s="76">
        <f t="shared" ref="G30:P34" si="12">IF(VLOOKUP($E30,$D$6:$AN$1131,3,)=0,0,(VLOOKUP($E30,$D$6:$AN$1131,G$2,)/VLOOKUP($E30,$D$6:$AN$1131,3,))*$F30)</f>
        <v>0</v>
      </c>
      <c r="H30" s="76">
        <f t="shared" si="12"/>
        <v>0</v>
      </c>
      <c r="I30" s="76">
        <f t="shared" si="12"/>
        <v>0</v>
      </c>
      <c r="J30" s="76">
        <f t="shared" si="12"/>
        <v>0</v>
      </c>
      <c r="K30" s="76">
        <f t="shared" si="12"/>
        <v>0</v>
      </c>
      <c r="L30" s="76">
        <f t="shared" si="12"/>
        <v>0</v>
      </c>
      <c r="M30" s="76">
        <f t="shared" si="12"/>
        <v>0</v>
      </c>
      <c r="N30" s="76">
        <f t="shared" si="12"/>
        <v>0</v>
      </c>
      <c r="O30" s="76">
        <f t="shared" si="12"/>
        <v>0</v>
      </c>
      <c r="P30" s="76">
        <f t="shared" si="12"/>
        <v>0</v>
      </c>
      <c r="Q30" s="76">
        <f t="shared" ref="Q30:Z34" si="13">IF(VLOOKUP($E30,$D$6:$AN$1131,3,)=0,0,(VLOOKUP($E30,$D$6:$AN$1131,Q$2,)/VLOOKUP($E30,$D$6:$AN$1131,3,))*$F30)</f>
        <v>0</v>
      </c>
      <c r="R30" s="76">
        <f t="shared" si="13"/>
        <v>0</v>
      </c>
      <c r="S30" s="76">
        <f t="shared" si="13"/>
        <v>0</v>
      </c>
      <c r="T30" s="76">
        <f t="shared" si="13"/>
        <v>0</v>
      </c>
      <c r="U30" s="76">
        <f t="shared" si="13"/>
        <v>0</v>
      </c>
      <c r="V30" s="76">
        <f t="shared" si="13"/>
        <v>0</v>
      </c>
      <c r="W30" s="76">
        <f t="shared" si="13"/>
        <v>0</v>
      </c>
      <c r="X30" s="62">
        <f t="shared" si="13"/>
        <v>0</v>
      </c>
      <c r="Y30" s="62">
        <f t="shared" si="13"/>
        <v>0</v>
      </c>
      <c r="Z30" s="62">
        <f t="shared" si="13"/>
        <v>0</v>
      </c>
      <c r="AA30" s="64">
        <f t="shared" ref="AA30:AA35" si="14">SUM(G30:Z30)</f>
        <v>0</v>
      </c>
      <c r="AB30" s="58" t="str">
        <f t="shared" ref="AB30:AB35" si="15">IF(ABS(F30-AA30)&lt;0.01,"ok","err")</f>
        <v>ok</v>
      </c>
    </row>
    <row r="31" spans="1:28">
      <c r="A31" s="68" t="s">
        <v>624</v>
      </c>
      <c r="C31" s="60" t="s">
        <v>960</v>
      </c>
      <c r="D31" s="60" t="s">
        <v>380</v>
      </c>
      <c r="E31" s="60" t="s">
        <v>1368</v>
      </c>
      <c r="F31" s="79">
        <f>VLOOKUP(C31,'Functional Assignment'!$C$2:$AP$780,'Functional Assignment'!$T$2,)</f>
        <v>275500316.31922829</v>
      </c>
      <c r="G31" s="79">
        <f t="shared" si="12"/>
        <v>132184585.03423795</v>
      </c>
      <c r="H31" s="79">
        <f t="shared" si="12"/>
        <v>38048964.851794526</v>
      </c>
      <c r="I31" s="79">
        <f t="shared" si="12"/>
        <v>0</v>
      </c>
      <c r="J31" s="79">
        <f t="shared" si="12"/>
        <v>3380683.8449211679</v>
      </c>
      <c r="K31" s="79">
        <f t="shared" si="12"/>
        <v>39238272.769055188</v>
      </c>
      <c r="L31" s="79">
        <f t="shared" si="12"/>
        <v>0</v>
      </c>
      <c r="M31" s="79">
        <f t="shared" si="12"/>
        <v>0</v>
      </c>
      <c r="N31" s="79">
        <f t="shared" si="12"/>
        <v>35694854.713819236</v>
      </c>
      <c r="O31" s="79">
        <f t="shared" si="12"/>
        <v>21193731.36976365</v>
      </c>
      <c r="P31" s="79">
        <f t="shared" si="12"/>
        <v>0</v>
      </c>
      <c r="Q31" s="79">
        <f t="shared" si="13"/>
        <v>2212943.0666769748</v>
      </c>
      <c r="R31" s="79">
        <f t="shared" si="13"/>
        <v>1158286.2390566263</v>
      </c>
      <c r="S31" s="79">
        <f t="shared" si="13"/>
        <v>2281772.9716269947</v>
      </c>
      <c r="T31" s="79">
        <f t="shared" si="13"/>
        <v>72977.686306590636</v>
      </c>
      <c r="U31" s="79">
        <f t="shared" si="13"/>
        <v>33243.771969404719</v>
      </c>
      <c r="V31" s="79">
        <f t="shared" si="13"/>
        <v>0</v>
      </c>
      <c r="W31" s="79">
        <f t="shared" si="13"/>
        <v>0</v>
      </c>
      <c r="X31" s="63">
        <f t="shared" si="13"/>
        <v>0</v>
      </c>
      <c r="Y31" s="63">
        <f t="shared" si="13"/>
        <v>0</v>
      </c>
      <c r="Z31" s="63">
        <f t="shared" si="13"/>
        <v>0</v>
      </c>
      <c r="AA31" s="63">
        <f t="shared" si="14"/>
        <v>275500316.31922829</v>
      </c>
      <c r="AB31" s="58" t="str">
        <f t="shared" si="15"/>
        <v>ok</v>
      </c>
    </row>
    <row r="32" spans="1:28">
      <c r="A32" s="68" t="s">
        <v>625</v>
      </c>
      <c r="C32" s="60" t="s">
        <v>960</v>
      </c>
      <c r="D32" s="60" t="s">
        <v>381</v>
      </c>
      <c r="E32" s="60" t="s">
        <v>698</v>
      </c>
      <c r="F32" s="79">
        <f>VLOOKUP(C32,'Functional Assignment'!$C$2:$AP$780,'Functional Assignment'!$U$2,)</f>
        <v>438423397.80823392</v>
      </c>
      <c r="G32" s="79">
        <f t="shared" si="12"/>
        <v>377970614.12232178</v>
      </c>
      <c r="H32" s="79">
        <f t="shared" si="12"/>
        <v>46959149.168316647</v>
      </c>
      <c r="I32" s="79">
        <f t="shared" si="12"/>
        <v>0</v>
      </c>
      <c r="J32" s="79">
        <f t="shared" si="12"/>
        <v>74741.002721639336</v>
      </c>
      <c r="K32" s="79">
        <f t="shared" si="12"/>
        <v>2931681.2294402281</v>
      </c>
      <c r="L32" s="79">
        <f t="shared" si="12"/>
        <v>0</v>
      </c>
      <c r="M32" s="79">
        <f t="shared" si="12"/>
        <v>0</v>
      </c>
      <c r="N32" s="79">
        <f t="shared" si="12"/>
        <v>109516.33037684654</v>
      </c>
      <c r="O32" s="79">
        <f t="shared" si="12"/>
        <v>286507.17709961749</v>
      </c>
      <c r="P32" s="79">
        <f t="shared" si="12"/>
        <v>0</v>
      </c>
      <c r="Q32" s="79">
        <f t="shared" si="13"/>
        <v>1038.0694822449909</v>
      </c>
      <c r="R32" s="79">
        <f t="shared" si="13"/>
        <v>1038.0694822449909</v>
      </c>
      <c r="S32" s="79">
        <f t="shared" si="13"/>
        <v>9965697.7116590776</v>
      </c>
      <c r="T32" s="79">
        <f t="shared" si="13"/>
        <v>19031.273841158163</v>
      </c>
      <c r="U32" s="79">
        <f t="shared" si="13"/>
        <v>104383.65349241297</v>
      </c>
      <c r="V32" s="79">
        <f t="shared" si="13"/>
        <v>0</v>
      </c>
      <c r="W32" s="79">
        <f t="shared" si="13"/>
        <v>0</v>
      </c>
      <c r="X32" s="63">
        <f t="shared" si="13"/>
        <v>0</v>
      </c>
      <c r="Y32" s="63">
        <f t="shared" si="13"/>
        <v>0</v>
      </c>
      <c r="Z32" s="63">
        <f t="shared" si="13"/>
        <v>0</v>
      </c>
      <c r="AA32" s="63">
        <f t="shared" si="14"/>
        <v>438423397.80823398</v>
      </c>
      <c r="AB32" s="58" t="str">
        <f t="shared" si="15"/>
        <v>ok</v>
      </c>
    </row>
    <row r="33" spans="1:28">
      <c r="A33" s="68" t="s">
        <v>626</v>
      </c>
      <c r="C33" s="60" t="s">
        <v>960</v>
      </c>
      <c r="D33" s="60" t="s">
        <v>382</v>
      </c>
      <c r="E33" s="60" t="s">
        <v>678</v>
      </c>
      <c r="F33" s="79">
        <f>VLOOKUP(C33,'Functional Assignment'!$C$2:$AP$780,'Functional Assignment'!$V$2,)</f>
        <v>75736072.29061836</v>
      </c>
      <c r="G33" s="79">
        <f t="shared" si="12"/>
        <v>63558319.173293732</v>
      </c>
      <c r="H33" s="79">
        <f t="shared" si="12"/>
        <v>11630885.740016388</v>
      </c>
      <c r="I33" s="79">
        <f t="shared" si="12"/>
        <v>0</v>
      </c>
      <c r="J33" s="79">
        <f t="shared" si="12"/>
        <v>0</v>
      </c>
      <c r="K33" s="79">
        <f t="shared" si="12"/>
        <v>0</v>
      </c>
      <c r="L33" s="79">
        <f t="shared" si="12"/>
        <v>0</v>
      </c>
      <c r="M33" s="79">
        <f t="shared" si="12"/>
        <v>0</v>
      </c>
      <c r="N33" s="79">
        <f t="shared" si="12"/>
        <v>0</v>
      </c>
      <c r="O33" s="79">
        <f t="shared" si="12"/>
        <v>0</v>
      </c>
      <c r="P33" s="79">
        <f t="shared" si="12"/>
        <v>0</v>
      </c>
      <c r="Q33" s="79">
        <f t="shared" si="13"/>
        <v>0</v>
      </c>
      <c r="R33" s="79">
        <f t="shared" si="13"/>
        <v>0</v>
      </c>
      <c r="S33" s="79">
        <f t="shared" si="13"/>
        <v>522541.92261963681</v>
      </c>
      <c r="T33" s="79">
        <f t="shared" si="13"/>
        <v>16712.399079645347</v>
      </c>
      <c r="U33" s="79">
        <f t="shared" si="13"/>
        <v>7613.0556089614511</v>
      </c>
      <c r="V33" s="79">
        <f t="shared" si="13"/>
        <v>0</v>
      </c>
      <c r="W33" s="79">
        <f t="shared" si="13"/>
        <v>0</v>
      </c>
      <c r="X33" s="63">
        <f t="shared" si="13"/>
        <v>0</v>
      </c>
      <c r="Y33" s="63">
        <f t="shared" si="13"/>
        <v>0</v>
      </c>
      <c r="Z33" s="63">
        <f t="shared" si="13"/>
        <v>0</v>
      </c>
      <c r="AA33" s="63">
        <f t="shared" si="14"/>
        <v>75736072.290618375</v>
      </c>
      <c r="AB33" s="58" t="str">
        <f t="shared" si="15"/>
        <v>ok</v>
      </c>
    </row>
    <row r="34" spans="1:28">
      <c r="A34" s="68" t="s">
        <v>627</v>
      </c>
      <c r="C34" s="60" t="s">
        <v>960</v>
      </c>
      <c r="D34" s="60" t="s">
        <v>383</v>
      </c>
      <c r="E34" s="60" t="s">
        <v>697</v>
      </c>
      <c r="F34" s="79">
        <f>VLOOKUP(C34,'Functional Assignment'!$C$2:$AP$780,'Functional Assignment'!$W$2,)</f>
        <v>115092781.63131401</v>
      </c>
      <c r="G34" s="79">
        <f t="shared" si="12"/>
        <v>99999544.298557967</v>
      </c>
      <c r="H34" s="79">
        <f t="shared" si="12"/>
        <v>12423964.567679197</v>
      </c>
      <c r="I34" s="79">
        <f t="shared" si="12"/>
        <v>0</v>
      </c>
      <c r="J34" s="79">
        <f t="shared" si="12"/>
        <v>0</v>
      </c>
      <c r="K34" s="79">
        <f t="shared" si="12"/>
        <v>0</v>
      </c>
      <c r="L34" s="79">
        <f t="shared" si="12"/>
        <v>0</v>
      </c>
      <c r="M34" s="79">
        <f t="shared" si="12"/>
        <v>0</v>
      </c>
      <c r="N34" s="79">
        <f t="shared" si="12"/>
        <v>0</v>
      </c>
      <c r="O34" s="79">
        <f t="shared" si="12"/>
        <v>0</v>
      </c>
      <c r="P34" s="79">
        <f t="shared" si="12"/>
        <v>0</v>
      </c>
      <c r="Q34" s="79">
        <f t="shared" si="13"/>
        <v>0</v>
      </c>
      <c r="R34" s="79">
        <f t="shared" si="13"/>
        <v>0</v>
      </c>
      <c r="S34" s="79">
        <f t="shared" si="13"/>
        <v>2636620.923817568</v>
      </c>
      <c r="T34" s="79">
        <f t="shared" si="13"/>
        <v>5035.0970166188135</v>
      </c>
      <c r="U34" s="79">
        <f t="shared" si="13"/>
        <v>27616.744242666828</v>
      </c>
      <c r="V34" s="79">
        <f t="shared" si="13"/>
        <v>0</v>
      </c>
      <c r="W34" s="79">
        <f t="shared" si="13"/>
        <v>0</v>
      </c>
      <c r="X34" s="63">
        <f t="shared" si="13"/>
        <v>0</v>
      </c>
      <c r="Y34" s="63">
        <f t="shared" si="13"/>
        <v>0</v>
      </c>
      <c r="Z34" s="63">
        <f t="shared" si="13"/>
        <v>0</v>
      </c>
      <c r="AA34" s="63">
        <f t="shared" si="14"/>
        <v>115092781.63131402</v>
      </c>
      <c r="AB34" s="58" t="str">
        <f t="shared" si="15"/>
        <v>ok</v>
      </c>
    </row>
    <row r="35" spans="1:28">
      <c r="A35" s="60" t="s">
        <v>378</v>
      </c>
      <c r="D35" s="60" t="s">
        <v>384</v>
      </c>
      <c r="F35" s="76">
        <f>SUM(F30:F34)</f>
        <v>904752568.04939461</v>
      </c>
      <c r="G35" s="76">
        <f t="shared" ref="G35:Z35" si="16">SUM(G30:G34)</f>
        <v>673713062.62841141</v>
      </c>
      <c r="H35" s="76">
        <f t="shared" si="16"/>
        <v>109062964.32780676</v>
      </c>
      <c r="I35" s="76">
        <f t="shared" si="16"/>
        <v>0</v>
      </c>
      <c r="J35" s="76">
        <f t="shared" si="16"/>
        <v>3455424.8476428073</v>
      </c>
      <c r="K35" s="76">
        <f t="shared" si="16"/>
        <v>42169953.998495415</v>
      </c>
      <c r="L35" s="76">
        <f t="shared" si="16"/>
        <v>0</v>
      </c>
      <c r="M35" s="76">
        <f t="shared" si="16"/>
        <v>0</v>
      </c>
      <c r="N35" s="76">
        <f t="shared" si="16"/>
        <v>35804371.044196084</v>
      </c>
      <c r="O35" s="76">
        <f>SUM(O30:O34)</f>
        <v>21480238.546863269</v>
      </c>
      <c r="P35" s="76">
        <f t="shared" si="16"/>
        <v>0</v>
      </c>
      <c r="Q35" s="76">
        <f t="shared" si="16"/>
        <v>2213981.1361592198</v>
      </c>
      <c r="R35" s="76">
        <f t="shared" si="16"/>
        <v>1159324.3085388714</v>
      </c>
      <c r="S35" s="76">
        <f t="shared" si="16"/>
        <v>15406633.529723277</v>
      </c>
      <c r="T35" s="76">
        <f t="shared" si="16"/>
        <v>113756.45624401297</v>
      </c>
      <c r="U35" s="76">
        <f t="shared" si="16"/>
        <v>172857.22531344596</v>
      </c>
      <c r="V35" s="76">
        <f t="shared" si="16"/>
        <v>0</v>
      </c>
      <c r="W35" s="76">
        <f t="shared" si="16"/>
        <v>0</v>
      </c>
      <c r="X35" s="62">
        <f t="shared" si="16"/>
        <v>0</v>
      </c>
      <c r="Y35" s="62">
        <f t="shared" si="16"/>
        <v>0</v>
      </c>
      <c r="Z35" s="62">
        <f t="shared" si="16"/>
        <v>0</v>
      </c>
      <c r="AA35" s="64">
        <f t="shared" si="14"/>
        <v>904752568.04939461</v>
      </c>
      <c r="AB35" s="58" t="str">
        <f t="shared" si="15"/>
        <v>ok</v>
      </c>
    </row>
    <row r="36" spans="1:28">
      <c r="F36" s="79"/>
    </row>
    <row r="37" spans="1:28" ht="15">
      <c r="A37" s="65" t="s">
        <v>634</v>
      </c>
      <c r="F37" s="79"/>
    </row>
    <row r="38" spans="1:28">
      <c r="A38" s="68" t="s">
        <v>1090</v>
      </c>
      <c r="C38" s="60" t="s">
        <v>960</v>
      </c>
      <c r="D38" s="60" t="s">
        <v>385</v>
      </c>
      <c r="E38" s="60" t="s">
        <v>1336</v>
      </c>
      <c r="F38" s="76">
        <f>VLOOKUP(C38,'Functional Assignment'!$C$2:$AP$780,'Functional Assignment'!$X$2,)</f>
        <v>104690101.93262604</v>
      </c>
      <c r="G38" s="76">
        <f t="shared" ref="G38:P39" si="17">IF(VLOOKUP($E38,$D$6:$AN$1131,3,)=0,0,(VLOOKUP($E38,$D$6:$AN$1131,G$2,)/VLOOKUP($E38,$D$6:$AN$1131,3,))*$F38)</f>
        <v>72634069.293179259</v>
      </c>
      <c r="H38" s="76">
        <f t="shared" si="17"/>
        <v>13291707.077369861</v>
      </c>
      <c r="I38" s="76">
        <f t="shared" si="17"/>
        <v>0</v>
      </c>
      <c r="J38" s="76">
        <f t="shared" si="17"/>
        <v>0</v>
      </c>
      <c r="K38" s="76">
        <f t="shared" si="17"/>
        <v>11706100.559042342</v>
      </c>
      <c r="L38" s="76">
        <f t="shared" si="17"/>
        <v>0</v>
      </c>
      <c r="M38" s="76">
        <f t="shared" si="17"/>
        <v>0</v>
      </c>
      <c r="N38" s="76">
        <f t="shared" si="17"/>
        <v>0</v>
      </c>
      <c r="O38" s="76">
        <f t="shared" si="17"/>
        <v>6433268.2154064439</v>
      </c>
      <c r="P38" s="76">
        <f t="shared" si="17"/>
        <v>0</v>
      </c>
      <c r="Q38" s="76">
        <f t="shared" ref="Q38:Z39" si="18">IF(VLOOKUP($E38,$D$6:$AN$1131,3,)=0,0,(VLOOKUP($E38,$D$6:$AN$1131,Q$2,)/VLOOKUP($E38,$D$6:$AN$1131,3,))*$F38)</f>
        <v>0</v>
      </c>
      <c r="R38" s="76">
        <f t="shared" si="18"/>
        <v>0</v>
      </c>
      <c r="S38" s="76">
        <f t="shared" si="18"/>
        <v>597157.80262631096</v>
      </c>
      <c r="T38" s="76">
        <f t="shared" si="18"/>
        <v>19098.830311992955</v>
      </c>
      <c r="U38" s="76">
        <f t="shared" si="18"/>
        <v>8700.1546898439956</v>
      </c>
      <c r="V38" s="76">
        <f t="shared" si="18"/>
        <v>0</v>
      </c>
      <c r="W38" s="76">
        <f t="shared" si="18"/>
        <v>0</v>
      </c>
      <c r="X38" s="62">
        <f t="shared" si="18"/>
        <v>0</v>
      </c>
      <c r="Y38" s="62">
        <f t="shared" si="18"/>
        <v>0</v>
      </c>
      <c r="Z38" s="62">
        <f t="shared" si="18"/>
        <v>0</v>
      </c>
      <c r="AA38" s="64">
        <f>SUM(G38:Z38)</f>
        <v>104690101.93262605</v>
      </c>
      <c r="AB38" s="58" t="str">
        <f>IF(ABS(F38-AA38)&lt;0.01,"ok","err")</f>
        <v>ok</v>
      </c>
    </row>
    <row r="39" spans="1:28">
      <c r="A39" s="68" t="s">
        <v>1093</v>
      </c>
      <c r="C39" s="60" t="s">
        <v>960</v>
      </c>
      <c r="D39" s="60" t="s">
        <v>386</v>
      </c>
      <c r="E39" s="60" t="s">
        <v>1334</v>
      </c>
      <c r="F39" s="79">
        <f>VLOOKUP(C39,'Functional Assignment'!$C$2:$AP$780,'Functional Assignment'!$Y$2,)</f>
        <v>73215269.23630555</v>
      </c>
      <c r="G39" s="79">
        <f t="shared" si="17"/>
        <v>63146690.520794146</v>
      </c>
      <c r="H39" s="79">
        <f t="shared" si="17"/>
        <v>7845358.2073759874</v>
      </c>
      <c r="I39" s="79">
        <f t="shared" si="17"/>
        <v>0</v>
      </c>
      <c r="J39" s="79">
        <f t="shared" si="17"/>
        <v>0</v>
      </c>
      <c r="K39" s="79">
        <f t="shared" si="17"/>
        <v>489789.31267172925</v>
      </c>
      <c r="L39" s="79">
        <f t="shared" si="17"/>
        <v>0</v>
      </c>
      <c r="M39" s="79">
        <f t="shared" si="17"/>
        <v>0</v>
      </c>
      <c r="N39" s="79">
        <f t="shared" si="17"/>
        <v>0</v>
      </c>
      <c r="O39" s="79">
        <f t="shared" si="17"/>
        <v>47866.10220031772</v>
      </c>
      <c r="P39" s="79">
        <f t="shared" si="17"/>
        <v>0</v>
      </c>
      <c r="Q39" s="79">
        <f t="shared" si="18"/>
        <v>0</v>
      </c>
      <c r="R39" s="79">
        <f t="shared" si="18"/>
        <v>0</v>
      </c>
      <c r="S39" s="79">
        <f t="shared" si="18"/>
        <v>1664946.4421545297</v>
      </c>
      <c r="T39" s="79">
        <f t="shared" si="18"/>
        <v>3179.5116195863216</v>
      </c>
      <c r="U39" s="79">
        <f t="shared" si="18"/>
        <v>17439.13948924619</v>
      </c>
      <c r="V39" s="79">
        <f t="shared" si="18"/>
        <v>0</v>
      </c>
      <c r="W39" s="79">
        <f t="shared" si="18"/>
        <v>0</v>
      </c>
      <c r="X39" s="63">
        <f t="shared" si="18"/>
        <v>0</v>
      </c>
      <c r="Y39" s="63">
        <f t="shared" si="18"/>
        <v>0</v>
      </c>
      <c r="Z39" s="63">
        <f t="shared" si="18"/>
        <v>0</v>
      </c>
      <c r="AA39" s="63">
        <f>SUM(G39:Z39)</f>
        <v>73215269.236305535</v>
      </c>
      <c r="AB39" s="58" t="str">
        <f>IF(ABS(F39-AA39)&lt;0.01,"ok","err")</f>
        <v>ok</v>
      </c>
    </row>
    <row r="40" spans="1:28">
      <c r="A40" s="60" t="s">
        <v>712</v>
      </c>
      <c r="D40" s="60" t="s">
        <v>389</v>
      </c>
      <c r="F40" s="76">
        <f t="shared" ref="F40:Q40" si="19">F38+F39</f>
        <v>177905371.1689316</v>
      </c>
      <c r="G40" s="76">
        <f t="shared" si="19"/>
        <v>135780759.8139734</v>
      </c>
      <c r="H40" s="76">
        <f t="shared" si="19"/>
        <v>21137065.28474585</v>
      </c>
      <c r="I40" s="76">
        <f t="shared" si="19"/>
        <v>0</v>
      </c>
      <c r="J40" s="76">
        <f t="shared" si="19"/>
        <v>0</v>
      </c>
      <c r="K40" s="76">
        <f t="shared" si="19"/>
        <v>12195889.87171407</v>
      </c>
      <c r="L40" s="76">
        <f t="shared" si="19"/>
        <v>0</v>
      </c>
      <c r="M40" s="76">
        <f t="shared" si="19"/>
        <v>0</v>
      </c>
      <c r="N40" s="76">
        <f t="shared" si="19"/>
        <v>0</v>
      </c>
      <c r="O40" s="76">
        <f>O38+O39</f>
        <v>6481134.3176067621</v>
      </c>
      <c r="P40" s="76">
        <f t="shared" si="19"/>
        <v>0</v>
      </c>
      <c r="Q40" s="76">
        <f t="shared" si="19"/>
        <v>0</v>
      </c>
      <c r="R40" s="76">
        <f t="shared" ref="R40:Z40" si="20">R38+R39</f>
        <v>0</v>
      </c>
      <c r="S40" s="76">
        <f t="shared" si="20"/>
        <v>2262104.2447808408</v>
      </c>
      <c r="T40" s="76">
        <f t="shared" si="20"/>
        <v>22278.341931579278</v>
      </c>
      <c r="U40" s="76">
        <f t="shared" si="20"/>
        <v>26139.294179090186</v>
      </c>
      <c r="V40" s="76">
        <f t="shared" si="20"/>
        <v>0</v>
      </c>
      <c r="W40" s="76">
        <f t="shared" si="20"/>
        <v>0</v>
      </c>
      <c r="X40" s="62">
        <f t="shared" si="20"/>
        <v>0</v>
      </c>
      <c r="Y40" s="62">
        <f t="shared" si="20"/>
        <v>0</v>
      </c>
      <c r="Z40" s="62">
        <f t="shared" si="20"/>
        <v>0</v>
      </c>
      <c r="AA40" s="64">
        <f>SUM(G40:Z40)</f>
        <v>177905371.16893154</v>
      </c>
      <c r="AB40" s="58" t="str">
        <f>IF(ABS(F40-AA40)&lt;0.01,"ok","err")</f>
        <v>ok</v>
      </c>
    </row>
    <row r="41" spans="1:28">
      <c r="F41" s="79"/>
    </row>
    <row r="42" spans="1:28" ht="15">
      <c r="A42" s="65" t="s">
        <v>354</v>
      </c>
      <c r="F42" s="79"/>
    </row>
    <row r="43" spans="1:28">
      <c r="A43" s="68" t="s">
        <v>1093</v>
      </c>
      <c r="C43" s="60" t="s">
        <v>960</v>
      </c>
      <c r="D43" s="60" t="s">
        <v>377</v>
      </c>
      <c r="E43" s="60" t="s">
        <v>1095</v>
      </c>
      <c r="F43" s="76">
        <f>VLOOKUP(C43,'Functional Assignment'!$C$2:$AP$780,'Functional Assignment'!$Z$2,)</f>
        <v>36360071.655844547</v>
      </c>
      <c r="G43" s="76">
        <f t="shared" ref="G43:Z43" si="21">IF(VLOOKUP($E43,$D$6:$AN$1131,3,)=0,0,(VLOOKUP($E43,$D$6:$AN$1131,G$2,)/VLOOKUP($E43,$D$6:$AN$1131,3,))*$F43)</f>
        <v>27946947.403324068</v>
      </c>
      <c r="H43" s="76">
        <f t="shared" si="21"/>
        <v>7033359.6870304905</v>
      </c>
      <c r="I43" s="76">
        <f t="shared" si="21"/>
        <v>0</v>
      </c>
      <c r="J43" s="76">
        <f t="shared" si="21"/>
        <v>0</v>
      </c>
      <c r="K43" s="76">
        <f t="shared" si="21"/>
        <v>1227014.662493892</v>
      </c>
      <c r="L43" s="76">
        <f t="shared" si="21"/>
        <v>0</v>
      </c>
      <c r="M43" s="76">
        <f t="shared" si="21"/>
        <v>0</v>
      </c>
      <c r="N43" s="76">
        <f t="shared" si="21"/>
        <v>0</v>
      </c>
      <c r="O43" s="76">
        <f t="shared" si="21"/>
        <v>152749.90299609301</v>
      </c>
      <c r="P43" s="76">
        <f t="shared" si="21"/>
        <v>0</v>
      </c>
      <c r="Q43" s="76">
        <f t="shared" si="21"/>
        <v>0</v>
      </c>
      <c r="R43" s="76">
        <f t="shared" si="21"/>
        <v>0</v>
      </c>
      <c r="S43" s="76">
        <f t="shared" si="21"/>
        <v>0</v>
      </c>
      <c r="T43" s="76">
        <f t="shared" si="21"/>
        <v>0</v>
      </c>
      <c r="U43" s="76">
        <f t="shared" si="21"/>
        <v>0</v>
      </c>
      <c r="V43" s="76">
        <f t="shared" si="21"/>
        <v>0</v>
      </c>
      <c r="W43" s="76">
        <f t="shared" si="21"/>
        <v>0</v>
      </c>
      <c r="X43" s="62">
        <f t="shared" si="21"/>
        <v>0</v>
      </c>
      <c r="Y43" s="62">
        <f t="shared" si="21"/>
        <v>0</v>
      </c>
      <c r="Z43" s="62">
        <f t="shared" si="21"/>
        <v>0</v>
      </c>
      <c r="AA43" s="64">
        <f>SUM(G43:Z43)</f>
        <v>36360071.655844547</v>
      </c>
      <c r="AB43" s="58" t="str">
        <f>IF(ABS(F43-AA43)&lt;0.01,"ok","err")</f>
        <v>ok</v>
      </c>
    </row>
    <row r="44" spans="1:28">
      <c r="F44" s="79"/>
    </row>
    <row r="45" spans="1:28" ht="15">
      <c r="A45" s="65" t="s">
        <v>353</v>
      </c>
      <c r="F45" s="79"/>
    </row>
    <row r="46" spans="1:28">
      <c r="A46" s="68" t="s">
        <v>1093</v>
      </c>
      <c r="C46" s="60" t="s">
        <v>960</v>
      </c>
      <c r="D46" s="60" t="s">
        <v>388</v>
      </c>
      <c r="E46" s="60" t="s">
        <v>1096</v>
      </c>
      <c r="F46" s="76">
        <f>VLOOKUP(C46,'Functional Assignment'!$C$2:$AP$780,'Functional Assignment'!$AA$2,)</f>
        <v>42176667.513765797</v>
      </c>
      <c r="G46" s="76">
        <f t="shared" ref="G46:Z46" si="22">IF(VLOOKUP($E46,$D$6:$AN$1131,3,)=0,0,(VLOOKUP($E46,$D$6:$AN$1131,G$2,)/VLOOKUP($E46,$D$6:$AN$1131,3,))*$F46)</f>
        <v>29520291.53314314</v>
      </c>
      <c r="H46" s="76">
        <f t="shared" si="22"/>
        <v>8679135.1573968995</v>
      </c>
      <c r="I46" s="76">
        <f t="shared" si="22"/>
        <v>0</v>
      </c>
      <c r="J46" s="76">
        <f t="shared" si="22"/>
        <v>337864.59483946633</v>
      </c>
      <c r="K46" s="76">
        <f t="shared" si="22"/>
        <v>2334770.0996709722</v>
      </c>
      <c r="L46" s="76">
        <f t="shared" si="22"/>
        <v>0</v>
      </c>
      <c r="M46" s="76">
        <f t="shared" si="22"/>
        <v>0</v>
      </c>
      <c r="N46" s="76">
        <f t="shared" si="22"/>
        <v>529063.87969147123</v>
      </c>
      <c r="O46" s="76">
        <f t="shared" si="22"/>
        <v>245966.33013183833</v>
      </c>
      <c r="P46" s="76">
        <f t="shared" si="22"/>
        <v>432795.6079834975</v>
      </c>
      <c r="Q46" s="76">
        <f t="shared" si="22"/>
        <v>5014.823504184561</v>
      </c>
      <c r="R46" s="76">
        <f t="shared" si="22"/>
        <v>5014.823504184561</v>
      </c>
      <c r="S46" s="76">
        <f t="shared" si="22"/>
        <v>0</v>
      </c>
      <c r="T46" s="76">
        <f t="shared" si="22"/>
        <v>13377.438825723835</v>
      </c>
      <c r="U46" s="76">
        <f t="shared" si="22"/>
        <v>73373.225074424685</v>
      </c>
      <c r="V46" s="76">
        <f t="shared" si="22"/>
        <v>0</v>
      </c>
      <c r="W46" s="76">
        <f t="shared" si="22"/>
        <v>0</v>
      </c>
      <c r="X46" s="62">
        <f t="shared" si="22"/>
        <v>0</v>
      </c>
      <c r="Y46" s="62">
        <f t="shared" si="22"/>
        <v>0</v>
      </c>
      <c r="Z46" s="62">
        <f t="shared" si="22"/>
        <v>0</v>
      </c>
      <c r="AA46" s="64">
        <f>SUM(G46:Z46)</f>
        <v>42176667.513765812</v>
      </c>
      <c r="AB46" s="58" t="str">
        <f>IF(ABS(F46-AA46)&lt;0.01,"ok","err")</f>
        <v>ok</v>
      </c>
    </row>
    <row r="47" spans="1:28">
      <c r="F47" s="79"/>
    </row>
    <row r="48" spans="1:28" ht="15">
      <c r="A48" s="65" t="s">
        <v>371</v>
      </c>
      <c r="F48" s="79"/>
    </row>
    <row r="49" spans="1:28">
      <c r="A49" s="68" t="s">
        <v>1093</v>
      </c>
      <c r="C49" s="60" t="s">
        <v>960</v>
      </c>
      <c r="D49" s="60" t="s">
        <v>390</v>
      </c>
      <c r="E49" s="60" t="s">
        <v>1097</v>
      </c>
      <c r="F49" s="76">
        <f>VLOOKUP(C49,'Functional Assignment'!$C$2:$AP$780,'Functional Assignment'!$AB$2,)</f>
        <v>115567184.76096536</v>
      </c>
      <c r="G49" s="76">
        <f t="shared" ref="G49:Z49" si="23">IF(VLOOKUP($E49,$D$6:$AN$1131,3,)=0,0,(VLOOKUP($E49,$D$6:$AN$1131,G$2,)/VLOOKUP($E49,$D$6:$AN$1131,3,))*$F49)</f>
        <v>0</v>
      </c>
      <c r="H49" s="76">
        <f t="shared" si="23"/>
        <v>0</v>
      </c>
      <c r="I49" s="76">
        <f t="shared" si="23"/>
        <v>0</v>
      </c>
      <c r="J49" s="76">
        <f t="shared" si="23"/>
        <v>0</v>
      </c>
      <c r="K49" s="76">
        <f t="shared" si="23"/>
        <v>0</v>
      </c>
      <c r="L49" s="76">
        <f t="shared" si="23"/>
        <v>0</v>
      </c>
      <c r="M49" s="76">
        <f t="shared" si="23"/>
        <v>0</v>
      </c>
      <c r="N49" s="76">
        <f t="shared" si="23"/>
        <v>0</v>
      </c>
      <c r="O49" s="76">
        <f t="shared" si="23"/>
        <v>0</v>
      </c>
      <c r="P49" s="76">
        <f t="shared" si="23"/>
        <v>0</v>
      </c>
      <c r="Q49" s="76">
        <f t="shared" si="23"/>
        <v>0</v>
      </c>
      <c r="R49" s="76">
        <f t="shared" si="23"/>
        <v>0</v>
      </c>
      <c r="S49" s="76">
        <f t="shared" si="23"/>
        <v>115567184.76096536</v>
      </c>
      <c r="T49" s="76">
        <f t="shared" si="23"/>
        <v>0</v>
      </c>
      <c r="U49" s="76">
        <f t="shared" si="23"/>
        <v>0</v>
      </c>
      <c r="V49" s="76">
        <f t="shared" si="23"/>
        <v>0</v>
      </c>
      <c r="W49" s="76">
        <f t="shared" si="23"/>
        <v>0</v>
      </c>
      <c r="X49" s="62">
        <f t="shared" si="23"/>
        <v>0</v>
      </c>
      <c r="Y49" s="62">
        <f t="shared" si="23"/>
        <v>0</v>
      </c>
      <c r="Z49" s="62">
        <f t="shared" si="23"/>
        <v>0</v>
      </c>
      <c r="AA49" s="64">
        <f>SUM(G49:Z49)</f>
        <v>115567184.76096536</v>
      </c>
      <c r="AB49" s="58" t="str">
        <f>IF(ABS(F49-AA49)&lt;0.01,"ok","err")</f>
        <v>ok</v>
      </c>
    </row>
    <row r="50" spans="1:28">
      <c r="F50" s="79"/>
    </row>
    <row r="51" spans="1:28" ht="15">
      <c r="A51" s="65" t="s">
        <v>1025</v>
      </c>
      <c r="F51" s="79"/>
    </row>
    <row r="52" spans="1:28">
      <c r="A52" s="68" t="s">
        <v>1093</v>
      </c>
      <c r="C52" s="60" t="s">
        <v>960</v>
      </c>
      <c r="D52" s="60" t="s">
        <v>391</v>
      </c>
      <c r="E52" s="60" t="s">
        <v>1098</v>
      </c>
      <c r="F52" s="76">
        <f>VLOOKUP(C52,'Functional Assignment'!$C$2:$AP$780,'Functional Assignment'!$AC$2,)</f>
        <v>0</v>
      </c>
      <c r="G52" s="76">
        <f t="shared" ref="G52:Z52" si="24">IF(VLOOKUP($E52,$D$6:$AN$1131,3,)=0,0,(VLOOKUP($E52,$D$6:$AN$1131,G$2,)/VLOOKUP($E52,$D$6:$AN$1131,3,))*$F52)</f>
        <v>0</v>
      </c>
      <c r="H52" s="76">
        <f t="shared" si="24"/>
        <v>0</v>
      </c>
      <c r="I52" s="76">
        <f t="shared" si="24"/>
        <v>0</v>
      </c>
      <c r="J52" s="76">
        <f t="shared" si="24"/>
        <v>0</v>
      </c>
      <c r="K52" s="76">
        <f t="shared" si="24"/>
        <v>0</v>
      </c>
      <c r="L52" s="76">
        <f t="shared" si="24"/>
        <v>0</v>
      </c>
      <c r="M52" s="76">
        <f t="shared" si="24"/>
        <v>0</v>
      </c>
      <c r="N52" s="76">
        <f t="shared" si="24"/>
        <v>0</v>
      </c>
      <c r="O52" s="76">
        <f t="shared" si="24"/>
        <v>0</v>
      </c>
      <c r="P52" s="76">
        <f t="shared" si="24"/>
        <v>0</v>
      </c>
      <c r="Q52" s="76">
        <f t="shared" si="24"/>
        <v>0</v>
      </c>
      <c r="R52" s="76">
        <f t="shared" si="24"/>
        <v>0</v>
      </c>
      <c r="S52" s="76">
        <f t="shared" si="24"/>
        <v>0</v>
      </c>
      <c r="T52" s="76">
        <f t="shared" si="24"/>
        <v>0</v>
      </c>
      <c r="U52" s="76">
        <f t="shared" si="24"/>
        <v>0</v>
      </c>
      <c r="V52" s="76">
        <f t="shared" si="24"/>
        <v>0</v>
      </c>
      <c r="W52" s="76">
        <f t="shared" si="24"/>
        <v>0</v>
      </c>
      <c r="X52" s="62">
        <f t="shared" si="24"/>
        <v>0</v>
      </c>
      <c r="Y52" s="62">
        <f t="shared" si="24"/>
        <v>0</v>
      </c>
      <c r="Z52" s="62">
        <f t="shared" si="24"/>
        <v>0</v>
      </c>
      <c r="AA52" s="64">
        <f>SUM(G52:Z52)</f>
        <v>0</v>
      </c>
      <c r="AB52" s="58" t="str">
        <f>IF(ABS(F52-AA52)&lt;0.01,"ok","err")</f>
        <v>ok</v>
      </c>
    </row>
    <row r="53" spans="1:28">
      <c r="F53" s="79"/>
    </row>
    <row r="54" spans="1:28" ht="15">
      <c r="A54" s="65" t="s">
        <v>351</v>
      </c>
      <c r="F54" s="79"/>
    </row>
    <row r="55" spans="1:28">
      <c r="A55" s="68" t="s">
        <v>1093</v>
      </c>
      <c r="C55" s="60" t="s">
        <v>960</v>
      </c>
      <c r="D55" s="60" t="s">
        <v>392</v>
      </c>
      <c r="E55" s="60" t="s">
        <v>1099</v>
      </c>
      <c r="F55" s="76">
        <f>VLOOKUP(C55,'Functional Assignment'!$C$2:$AP$780,'Functional Assignment'!$AD$2,)</f>
        <v>0</v>
      </c>
      <c r="G55" s="76">
        <f t="shared" ref="G55:Z55" si="25">IF(VLOOKUP($E55,$D$6:$AN$1131,3,)=0,0,(VLOOKUP($E55,$D$6:$AN$1131,G$2,)/VLOOKUP($E55,$D$6:$AN$1131,3,))*$F55)</f>
        <v>0</v>
      </c>
      <c r="H55" s="76">
        <f t="shared" si="25"/>
        <v>0</v>
      </c>
      <c r="I55" s="76">
        <f t="shared" si="25"/>
        <v>0</v>
      </c>
      <c r="J55" s="76">
        <f t="shared" si="25"/>
        <v>0</v>
      </c>
      <c r="K55" s="76">
        <f t="shared" si="25"/>
        <v>0</v>
      </c>
      <c r="L55" s="76">
        <f t="shared" si="25"/>
        <v>0</v>
      </c>
      <c r="M55" s="76">
        <f t="shared" si="25"/>
        <v>0</v>
      </c>
      <c r="N55" s="76">
        <f t="shared" si="25"/>
        <v>0</v>
      </c>
      <c r="O55" s="76">
        <f t="shared" si="25"/>
        <v>0</v>
      </c>
      <c r="P55" s="76">
        <f t="shared" si="25"/>
        <v>0</v>
      </c>
      <c r="Q55" s="76">
        <f t="shared" si="25"/>
        <v>0</v>
      </c>
      <c r="R55" s="76">
        <f t="shared" si="25"/>
        <v>0</v>
      </c>
      <c r="S55" s="76">
        <f t="shared" si="25"/>
        <v>0</v>
      </c>
      <c r="T55" s="76">
        <f t="shared" si="25"/>
        <v>0</v>
      </c>
      <c r="U55" s="76">
        <f t="shared" si="25"/>
        <v>0</v>
      </c>
      <c r="V55" s="76">
        <f t="shared" si="25"/>
        <v>0</v>
      </c>
      <c r="W55" s="76">
        <f t="shared" si="25"/>
        <v>0</v>
      </c>
      <c r="X55" s="62">
        <f t="shared" si="25"/>
        <v>0</v>
      </c>
      <c r="Y55" s="62">
        <f t="shared" si="25"/>
        <v>0</v>
      </c>
      <c r="Z55" s="62">
        <f t="shared" si="25"/>
        <v>0</v>
      </c>
      <c r="AA55" s="64">
        <f>SUM(G55:Z55)</f>
        <v>0</v>
      </c>
      <c r="AB55" s="58" t="str">
        <f>IF(ABS(F55-AA55)&lt;0.01,"ok","err")</f>
        <v>ok</v>
      </c>
    </row>
    <row r="56" spans="1:28">
      <c r="F56" s="79"/>
    </row>
    <row r="57" spans="1:28" ht="15">
      <c r="A57" s="65" t="s">
        <v>350</v>
      </c>
      <c r="F57" s="79"/>
    </row>
    <row r="58" spans="1:28">
      <c r="A58" s="68" t="s">
        <v>1093</v>
      </c>
      <c r="C58" s="60" t="s">
        <v>960</v>
      </c>
      <c r="D58" s="60" t="s">
        <v>393</v>
      </c>
      <c r="E58" s="60" t="s">
        <v>1099</v>
      </c>
      <c r="F58" s="76">
        <f>VLOOKUP(C58,'Functional Assignment'!$C$2:$AP$780,'Functional Assignment'!$AE$2,)</f>
        <v>0</v>
      </c>
      <c r="G58" s="76">
        <f t="shared" ref="G58:Z58" si="26">IF(VLOOKUP($E58,$D$6:$AN$1131,3,)=0,0,(VLOOKUP($E58,$D$6:$AN$1131,G$2,)/VLOOKUP($E58,$D$6:$AN$1131,3,))*$F58)</f>
        <v>0</v>
      </c>
      <c r="H58" s="76">
        <f t="shared" si="26"/>
        <v>0</v>
      </c>
      <c r="I58" s="76">
        <f t="shared" si="26"/>
        <v>0</v>
      </c>
      <c r="J58" s="76">
        <f t="shared" si="26"/>
        <v>0</v>
      </c>
      <c r="K58" s="76">
        <f t="shared" si="26"/>
        <v>0</v>
      </c>
      <c r="L58" s="76">
        <f t="shared" si="26"/>
        <v>0</v>
      </c>
      <c r="M58" s="76">
        <f t="shared" si="26"/>
        <v>0</v>
      </c>
      <c r="N58" s="76">
        <f t="shared" si="26"/>
        <v>0</v>
      </c>
      <c r="O58" s="76">
        <f t="shared" si="26"/>
        <v>0</v>
      </c>
      <c r="P58" s="76">
        <f t="shared" si="26"/>
        <v>0</v>
      </c>
      <c r="Q58" s="76">
        <f t="shared" si="26"/>
        <v>0</v>
      </c>
      <c r="R58" s="76">
        <f t="shared" si="26"/>
        <v>0</v>
      </c>
      <c r="S58" s="76">
        <f t="shared" si="26"/>
        <v>0</v>
      </c>
      <c r="T58" s="76">
        <f t="shared" si="26"/>
        <v>0</v>
      </c>
      <c r="U58" s="76">
        <f t="shared" si="26"/>
        <v>0</v>
      </c>
      <c r="V58" s="76">
        <f t="shared" si="26"/>
        <v>0</v>
      </c>
      <c r="W58" s="76">
        <f t="shared" si="26"/>
        <v>0</v>
      </c>
      <c r="X58" s="62">
        <f t="shared" si="26"/>
        <v>0</v>
      </c>
      <c r="Y58" s="62">
        <f t="shared" si="26"/>
        <v>0</v>
      </c>
      <c r="Z58" s="62">
        <f t="shared" si="26"/>
        <v>0</v>
      </c>
      <c r="AA58" s="64">
        <f>SUM(G58:Z58)</f>
        <v>0</v>
      </c>
      <c r="AB58" s="58" t="str">
        <f>IF(ABS(F58-AA58)&lt;0.01,"ok","err")</f>
        <v>ok</v>
      </c>
    </row>
    <row r="59" spans="1:28">
      <c r="F59" s="79"/>
    </row>
    <row r="60" spans="1:28">
      <c r="A60" s="60" t="s">
        <v>922</v>
      </c>
      <c r="D60" s="60" t="s">
        <v>1100</v>
      </c>
      <c r="F60" s="76">
        <f t="shared" ref="F60:Z60" si="27">F15+F21+F24+F27+F35+F40+F43+F46+F49+F52+F55+F58</f>
        <v>4331626533.7946157</v>
      </c>
      <c r="G60" s="76">
        <f t="shared" si="27"/>
        <v>2107982332.5445261</v>
      </c>
      <c r="H60" s="76">
        <f t="shared" si="27"/>
        <v>549728664.38795745</v>
      </c>
      <c r="I60" s="76">
        <f t="shared" si="27"/>
        <v>0</v>
      </c>
      <c r="J60" s="76">
        <f t="shared" si="27"/>
        <v>40637887.99769868</v>
      </c>
      <c r="K60" s="76">
        <f t="shared" si="27"/>
        <v>523934009.34525484</v>
      </c>
      <c r="L60" s="76">
        <f t="shared" si="27"/>
        <v>0</v>
      </c>
      <c r="M60" s="76">
        <f t="shared" si="27"/>
        <v>0</v>
      </c>
      <c r="N60" s="76">
        <f t="shared" si="27"/>
        <v>435145235.57953578</v>
      </c>
      <c r="O60" s="76">
        <f t="shared" si="27"/>
        <v>260167064.34942195</v>
      </c>
      <c r="P60" s="76">
        <f t="shared" si="27"/>
        <v>227075309.97999051</v>
      </c>
      <c r="Q60" s="76">
        <f t="shared" si="27"/>
        <v>27368898.479439717</v>
      </c>
      <c r="R60" s="76">
        <f t="shared" si="27"/>
        <v>12695229.702578297</v>
      </c>
      <c r="S60" s="76">
        <f t="shared" si="27"/>
        <v>145495236.78957218</v>
      </c>
      <c r="T60" s="76">
        <f t="shared" si="27"/>
        <v>546010.33402238972</v>
      </c>
      <c r="U60" s="76">
        <f t="shared" si="27"/>
        <v>850654.30461767863</v>
      </c>
      <c r="V60" s="76">
        <f t="shared" si="27"/>
        <v>0</v>
      </c>
      <c r="W60" s="76">
        <f t="shared" si="27"/>
        <v>0</v>
      </c>
      <c r="X60" s="62">
        <f t="shared" si="27"/>
        <v>0</v>
      </c>
      <c r="Y60" s="62">
        <f t="shared" si="27"/>
        <v>0</v>
      </c>
      <c r="Z60" s="62">
        <f t="shared" si="27"/>
        <v>0</v>
      </c>
      <c r="AA60" s="64">
        <f>SUM(G60:Z60)</f>
        <v>4331626533.7946157</v>
      </c>
      <c r="AB60" s="58" t="str">
        <f>IF(ABS(F60-AA60)&lt;0.01,"ok","err")</f>
        <v>ok</v>
      </c>
    </row>
    <row r="65" spans="1:28" ht="15">
      <c r="A65" s="65" t="s">
        <v>972</v>
      </c>
    </row>
    <row r="67" spans="1:28" ht="15">
      <c r="A67" s="65" t="s">
        <v>364</v>
      </c>
    </row>
    <row r="68" spans="1:28">
      <c r="A68" s="68" t="s">
        <v>359</v>
      </c>
      <c r="C68" s="60" t="s">
        <v>973</v>
      </c>
      <c r="D68" s="60" t="s">
        <v>394</v>
      </c>
      <c r="E68" s="60" t="s">
        <v>869</v>
      </c>
      <c r="F68" s="76">
        <f>VLOOKUP(C68,'Functional Assignment'!$C$2:$AP$780,'Functional Assignment'!$H$2,)</f>
        <v>529045728.57886356</v>
      </c>
      <c r="G68" s="76">
        <f t="shared" ref="G68:P73" si="28">IF(VLOOKUP($E68,$D$6:$AN$1131,3,)=0,0,(VLOOKUP($E68,$D$6:$AN$1131,G$2,)/VLOOKUP($E68,$D$6:$AN$1131,3,))*$F68)</f>
        <v>191397122.90416172</v>
      </c>
      <c r="H68" s="76">
        <f t="shared" si="28"/>
        <v>62197213.535114296</v>
      </c>
      <c r="I68" s="76">
        <f t="shared" si="28"/>
        <v>0</v>
      </c>
      <c r="J68" s="76">
        <f t="shared" si="28"/>
        <v>7407793.8845576905</v>
      </c>
      <c r="K68" s="76">
        <f t="shared" si="28"/>
        <v>85828899.317972586</v>
      </c>
      <c r="L68" s="76">
        <f t="shared" si="28"/>
        <v>0</v>
      </c>
      <c r="M68" s="76">
        <f t="shared" si="28"/>
        <v>0</v>
      </c>
      <c r="N68" s="76">
        <f t="shared" si="28"/>
        <v>82848717.253047198</v>
      </c>
      <c r="O68" s="76">
        <f t="shared" si="28"/>
        <v>36437991.380418837</v>
      </c>
      <c r="P68" s="76">
        <f t="shared" si="28"/>
        <v>50448523.561437637</v>
      </c>
      <c r="Q68" s="76">
        <f t="shared" ref="Q68:Z73" si="29">IF(VLOOKUP($E68,$D$6:$AN$1131,3,)=0,0,(VLOOKUP($E68,$D$6:$AN$1131,Q$2,)/VLOOKUP($E68,$D$6:$AN$1131,3,))*$F68)</f>
        <v>4924030.1954528466</v>
      </c>
      <c r="R68" s="76">
        <f t="shared" si="29"/>
        <v>2601347.6592511903</v>
      </c>
      <c r="S68" s="76">
        <f t="shared" si="29"/>
        <v>4659854.0924213463</v>
      </c>
      <c r="T68" s="76">
        <f t="shared" si="29"/>
        <v>151893.72856742758</v>
      </c>
      <c r="U68" s="76">
        <f t="shared" si="29"/>
        <v>142341.06646094361</v>
      </c>
      <c r="V68" s="76">
        <f t="shared" si="29"/>
        <v>0</v>
      </c>
      <c r="W68" s="76">
        <f t="shared" si="29"/>
        <v>0</v>
      </c>
      <c r="X68" s="62">
        <f t="shared" si="29"/>
        <v>0</v>
      </c>
      <c r="Y68" s="62">
        <f t="shared" si="29"/>
        <v>0</v>
      </c>
      <c r="Z68" s="62">
        <f t="shared" si="29"/>
        <v>0</v>
      </c>
      <c r="AA68" s="64">
        <f t="shared" ref="AA68:AA74" si="30">SUM(G68:Z68)</f>
        <v>529045728.5788638</v>
      </c>
      <c r="AB68" s="58" t="str">
        <f t="shared" ref="AB68:AB74" si="31">IF(ABS(F68-AA68)&lt;0.01,"ok","err")</f>
        <v>ok</v>
      </c>
    </row>
    <row r="69" spans="1:28">
      <c r="A69" s="68" t="s">
        <v>1255</v>
      </c>
      <c r="C69" s="60" t="s">
        <v>973</v>
      </c>
      <c r="D69" s="60" t="s">
        <v>395</v>
      </c>
      <c r="E69" s="60" t="s">
        <v>188</v>
      </c>
      <c r="F69" s="79">
        <f>VLOOKUP(C69,'Functional Assignment'!$C$2:$AP$780,'Functional Assignment'!$I$2,)</f>
        <v>554208886.27741861</v>
      </c>
      <c r="G69" s="79">
        <f t="shared" si="28"/>
        <v>236823534.8026292</v>
      </c>
      <c r="H69" s="79">
        <f t="shared" si="28"/>
        <v>77493977.235737175</v>
      </c>
      <c r="I69" s="79">
        <f t="shared" si="28"/>
        <v>0</v>
      </c>
      <c r="J69" s="79">
        <f t="shared" si="28"/>
        <v>6026249.2756160991</v>
      </c>
      <c r="K69" s="79">
        <f t="shared" si="28"/>
        <v>81090069.527553439</v>
      </c>
      <c r="L69" s="79">
        <f t="shared" si="28"/>
        <v>0</v>
      </c>
      <c r="M69" s="79">
        <f t="shared" si="28"/>
        <v>0</v>
      </c>
      <c r="N69" s="79">
        <f t="shared" si="28"/>
        <v>64575672.739546739</v>
      </c>
      <c r="O69" s="79">
        <f t="shared" si="28"/>
        <v>43305356.34267205</v>
      </c>
      <c r="P69" s="79">
        <f t="shared" si="28"/>
        <v>38624860.924972154</v>
      </c>
      <c r="Q69" s="79">
        <f t="shared" si="29"/>
        <v>4459485.1582705006</v>
      </c>
      <c r="R69" s="79">
        <f t="shared" si="29"/>
        <v>1695067.6339805839</v>
      </c>
      <c r="S69" s="79">
        <f t="shared" si="29"/>
        <v>0</v>
      </c>
      <c r="T69" s="79">
        <f t="shared" si="29"/>
        <v>0</v>
      </c>
      <c r="U69" s="79">
        <f t="shared" si="29"/>
        <v>114612.63644066222</v>
      </c>
      <c r="V69" s="79">
        <f t="shared" si="29"/>
        <v>0</v>
      </c>
      <c r="W69" s="79">
        <f t="shared" si="29"/>
        <v>0</v>
      </c>
      <c r="X69" s="63">
        <f t="shared" si="29"/>
        <v>0</v>
      </c>
      <c r="Y69" s="63">
        <f t="shared" si="29"/>
        <v>0</v>
      </c>
      <c r="Z69" s="63">
        <f t="shared" si="29"/>
        <v>0</v>
      </c>
      <c r="AA69" s="63">
        <f t="shared" si="30"/>
        <v>554208886.27741861</v>
      </c>
      <c r="AB69" s="58" t="str">
        <f t="shared" si="31"/>
        <v>ok</v>
      </c>
    </row>
    <row r="70" spans="1:28">
      <c r="A70" s="68" t="s">
        <v>1256</v>
      </c>
      <c r="C70" s="60" t="s">
        <v>973</v>
      </c>
      <c r="D70" s="60" t="s">
        <v>396</v>
      </c>
      <c r="E70" s="60" t="s">
        <v>191</v>
      </c>
      <c r="F70" s="79">
        <f>VLOOKUP(C70,'Functional Assignment'!$C$2:$AP$780,'Functional Assignment'!$J$2,)</f>
        <v>455557835.71623755</v>
      </c>
      <c r="G70" s="79">
        <f t="shared" si="28"/>
        <v>178145897.69807371</v>
      </c>
      <c r="H70" s="79">
        <f t="shared" si="28"/>
        <v>64377514.984282233</v>
      </c>
      <c r="I70" s="79">
        <f t="shared" si="28"/>
        <v>0</v>
      </c>
      <c r="J70" s="79">
        <f t="shared" si="28"/>
        <v>5309330.50113698</v>
      </c>
      <c r="K70" s="79">
        <f t="shared" si="28"/>
        <v>74942480.355510995</v>
      </c>
      <c r="L70" s="79">
        <f t="shared" si="28"/>
        <v>0</v>
      </c>
      <c r="M70" s="79">
        <f t="shared" si="28"/>
        <v>0</v>
      </c>
      <c r="N70" s="79">
        <f t="shared" si="28"/>
        <v>56680935.406203978</v>
      </c>
      <c r="O70" s="79">
        <f t="shared" si="28"/>
        <v>38283425.529895909</v>
      </c>
      <c r="P70" s="79">
        <f t="shared" si="28"/>
        <v>32781502.48707376</v>
      </c>
      <c r="Q70" s="79">
        <f t="shared" si="29"/>
        <v>3539643.9248348647</v>
      </c>
      <c r="R70" s="79">
        <f t="shared" si="29"/>
        <v>1432870.7243122659</v>
      </c>
      <c r="S70" s="79">
        <f t="shared" si="29"/>
        <v>0</v>
      </c>
      <c r="T70" s="79">
        <f t="shared" si="29"/>
        <v>0</v>
      </c>
      <c r="U70" s="79">
        <f t="shared" si="29"/>
        <v>64234.104912811694</v>
      </c>
      <c r="V70" s="79">
        <f t="shared" si="29"/>
        <v>0</v>
      </c>
      <c r="W70" s="79">
        <f t="shared" si="29"/>
        <v>0</v>
      </c>
      <c r="X70" s="63">
        <f t="shared" si="29"/>
        <v>0</v>
      </c>
      <c r="Y70" s="63">
        <f t="shared" si="29"/>
        <v>0</v>
      </c>
      <c r="Z70" s="63">
        <f t="shared" si="29"/>
        <v>0</v>
      </c>
      <c r="AA70" s="63">
        <f t="shared" si="30"/>
        <v>455557835.71623749</v>
      </c>
      <c r="AB70" s="58" t="str">
        <f t="shared" si="31"/>
        <v>ok</v>
      </c>
    </row>
    <row r="71" spans="1:28">
      <c r="A71" s="68" t="s">
        <v>1257</v>
      </c>
      <c r="C71" s="60" t="s">
        <v>973</v>
      </c>
      <c r="D71" s="60" t="s">
        <v>397</v>
      </c>
      <c r="E71" s="60" t="s">
        <v>1091</v>
      </c>
      <c r="F71" s="79">
        <f>VLOOKUP(C71,'Functional Assignment'!$C$2:$AP$780,'Functional Assignment'!$K$2,)</f>
        <v>0</v>
      </c>
      <c r="G71" s="79">
        <f t="shared" si="28"/>
        <v>0</v>
      </c>
      <c r="H71" s="79">
        <f t="shared" si="28"/>
        <v>0</v>
      </c>
      <c r="I71" s="79">
        <f t="shared" si="28"/>
        <v>0</v>
      </c>
      <c r="J71" s="79">
        <f t="shared" si="28"/>
        <v>0</v>
      </c>
      <c r="K71" s="79">
        <f t="shared" si="28"/>
        <v>0</v>
      </c>
      <c r="L71" s="79">
        <f t="shared" si="28"/>
        <v>0</v>
      </c>
      <c r="M71" s="79">
        <f t="shared" si="28"/>
        <v>0</v>
      </c>
      <c r="N71" s="79">
        <f t="shared" si="28"/>
        <v>0</v>
      </c>
      <c r="O71" s="79">
        <f t="shared" si="28"/>
        <v>0</v>
      </c>
      <c r="P71" s="79">
        <f t="shared" si="28"/>
        <v>0</v>
      </c>
      <c r="Q71" s="79">
        <f t="shared" si="29"/>
        <v>0</v>
      </c>
      <c r="R71" s="79">
        <f t="shared" si="29"/>
        <v>0</v>
      </c>
      <c r="S71" s="79">
        <f t="shared" si="29"/>
        <v>0</v>
      </c>
      <c r="T71" s="79">
        <f t="shared" si="29"/>
        <v>0</v>
      </c>
      <c r="U71" s="79">
        <f t="shared" si="29"/>
        <v>0</v>
      </c>
      <c r="V71" s="79">
        <f t="shared" si="29"/>
        <v>0</v>
      </c>
      <c r="W71" s="79">
        <f t="shared" si="29"/>
        <v>0</v>
      </c>
      <c r="X71" s="63">
        <f t="shared" si="29"/>
        <v>0</v>
      </c>
      <c r="Y71" s="63">
        <f t="shared" si="29"/>
        <v>0</v>
      </c>
      <c r="Z71" s="63">
        <f t="shared" si="29"/>
        <v>0</v>
      </c>
      <c r="AA71" s="63">
        <f t="shared" si="30"/>
        <v>0</v>
      </c>
      <c r="AB71" s="58" t="str">
        <f t="shared" si="31"/>
        <v>ok</v>
      </c>
    </row>
    <row r="72" spans="1:28" hidden="1">
      <c r="A72" s="68" t="s">
        <v>1258</v>
      </c>
      <c r="C72" s="60" t="s">
        <v>973</v>
      </c>
      <c r="D72" s="60" t="s">
        <v>398</v>
      </c>
      <c r="E72" s="60" t="s">
        <v>1091</v>
      </c>
      <c r="F72" s="79">
        <f>VLOOKUP(C72,'Functional Assignment'!$C$2:$AP$780,'Functional Assignment'!$L$2,)</f>
        <v>0</v>
      </c>
      <c r="G72" s="79">
        <f t="shared" si="28"/>
        <v>0</v>
      </c>
      <c r="H72" s="79">
        <f t="shared" si="28"/>
        <v>0</v>
      </c>
      <c r="I72" s="79">
        <f t="shared" si="28"/>
        <v>0</v>
      </c>
      <c r="J72" s="79">
        <f t="shared" si="28"/>
        <v>0</v>
      </c>
      <c r="K72" s="79">
        <f t="shared" si="28"/>
        <v>0</v>
      </c>
      <c r="L72" s="79">
        <f t="shared" si="28"/>
        <v>0</v>
      </c>
      <c r="M72" s="79">
        <f t="shared" si="28"/>
        <v>0</v>
      </c>
      <c r="N72" s="79">
        <f t="shared" si="28"/>
        <v>0</v>
      </c>
      <c r="O72" s="79">
        <f t="shared" si="28"/>
        <v>0</v>
      </c>
      <c r="P72" s="79">
        <f t="shared" si="28"/>
        <v>0</v>
      </c>
      <c r="Q72" s="79">
        <f t="shared" si="29"/>
        <v>0</v>
      </c>
      <c r="R72" s="79">
        <f t="shared" si="29"/>
        <v>0</v>
      </c>
      <c r="S72" s="79">
        <f t="shared" si="29"/>
        <v>0</v>
      </c>
      <c r="T72" s="79">
        <f t="shared" si="29"/>
        <v>0</v>
      </c>
      <c r="U72" s="79">
        <f t="shared" si="29"/>
        <v>0</v>
      </c>
      <c r="V72" s="79">
        <f t="shared" si="29"/>
        <v>0</v>
      </c>
      <c r="W72" s="79">
        <f t="shared" si="29"/>
        <v>0</v>
      </c>
      <c r="X72" s="63">
        <f t="shared" si="29"/>
        <v>0</v>
      </c>
      <c r="Y72" s="63">
        <f t="shared" si="29"/>
        <v>0</v>
      </c>
      <c r="Z72" s="63">
        <f t="shared" si="29"/>
        <v>0</v>
      </c>
      <c r="AA72" s="63">
        <f t="shared" si="30"/>
        <v>0</v>
      </c>
      <c r="AB72" s="58" t="str">
        <f t="shared" si="31"/>
        <v>ok</v>
      </c>
    </row>
    <row r="73" spans="1:28" hidden="1">
      <c r="A73" s="68" t="s">
        <v>1258</v>
      </c>
      <c r="C73" s="60" t="s">
        <v>973</v>
      </c>
      <c r="D73" s="60" t="s">
        <v>399</v>
      </c>
      <c r="E73" s="60" t="s">
        <v>1091</v>
      </c>
      <c r="F73" s="79">
        <f>VLOOKUP(C73,'Functional Assignment'!$C$2:$AP$780,'Functional Assignment'!$M$2,)</f>
        <v>0</v>
      </c>
      <c r="G73" s="79">
        <f t="shared" si="28"/>
        <v>0</v>
      </c>
      <c r="H73" s="79">
        <f t="shared" si="28"/>
        <v>0</v>
      </c>
      <c r="I73" s="79">
        <f t="shared" si="28"/>
        <v>0</v>
      </c>
      <c r="J73" s="79">
        <f t="shared" si="28"/>
        <v>0</v>
      </c>
      <c r="K73" s="79">
        <f t="shared" si="28"/>
        <v>0</v>
      </c>
      <c r="L73" s="79">
        <f t="shared" si="28"/>
        <v>0</v>
      </c>
      <c r="M73" s="79">
        <f t="shared" si="28"/>
        <v>0</v>
      </c>
      <c r="N73" s="79">
        <f t="shared" si="28"/>
        <v>0</v>
      </c>
      <c r="O73" s="79">
        <f t="shared" si="28"/>
        <v>0</v>
      </c>
      <c r="P73" s="79">
        <f t="shared" si="28"/>
        <v>0</v>
      </c>
      <c r="Q73" s="79">
        <f t="shared" si="29"/>
        <v>0</v>
      </c>
      <c r="R73" s="79">
        <f t="shared" si="29"/>
        <v>0</v>
      </c>
      <c r="S73" s="79">
        <f t="shared" si="29"/>
        <v>0</v>
      </c>
      <c r="T73" s="79">
        <f t="shared" si="29"/>
        <v>0</v>
      </c>
      <c r="U73" s="79">
        <f t="shared" si="29"/>
        <v>0</v>
      </c>
      <c r="V73" s="79">
        <f t="shared" si="29"/>
        <v>0</v>
      </c>
      <c r="W73" s="79">
        <f t="shared" si="29"/>
        <v>0</v>
      </c>
      <c r="X73" s="63">
        <f t="shared" si="29"/>
        <v>0</v>
      </c>
      <c r="Y73" s="63">
        <f t="shared" si="29"/>
        <v>0</v>
      </c>
      <c r="Z73" s="63">
        <f t="shared" si="29"/>
        <v>0</v>
      </c>
      <c r="AA73" s="63">
        <f t="shared" si="30"/>
        <v>0</v>
      </c>
      <c r="AB73" s="58" t="str">
        <f t="shared" si="31"/>
        <v>ok</v>
      </c>
    </row>
    <row r="74" spans="1:28">
      <c r="A74" s="60" t="s">
        <v>387</v>
      </c>
      <c r="D74" s="60" t="s">
        <v>400</v>
      </c>
      <c r="F74" s="76">
        <f>SUM(F68:F73)</f>
        <v>1538812450.5725198</v>
      </c>
      <c r="G74" s="76">
        <f t="shared" ref="G74:P74" si="32">SUM(G68:G73)</f>
        <v>606366555.40486467</v>
      </c>
      <c r="H74" s="76">
        <f t="shared" si="32"/>
        <v>204068705.75513369</v>
      </c>
      <c r="I74" s="76">
        <f t="shared" si="32"/>
        <v>0</v>
      </c>
      <c r="J74" s="76">
        <f t="shared" si="32"/>
        <v>18743373.66131077</v>
      </c>
      <c r="K74" s="76">
        <f t="shared" si="32"/>
        <v>241861449.20103705</v>
      </c>
      <c r="L74" s="76">
        <f t="shared" si="32"/>
        <v>0</v>
      </c>
      <c r="M74" s="76">
        <f t="shared" si="32"/>
        <v>0</v>
      </c>
      <c r="N74" s="76">
        <f t="shared" si="32"/>
        <v>204105325.39879793</v>
      </c>
      <c r="O74" s="76">
        <f>SUM(O68:O73)</f>
        <v>118026773.25298679</v>
      </c>
      <c r="P74" s="76">
        <f t="shared" si="32"/>
        <v>121854886.97348355</v>
      </c>
      <c r="Q74" s="76">
        <f t="shared" ref="Q74:W74" si="33">SUM(Q68:Q73)</f>
        <v>12923159.278558211</v>
      </c>
      <c r="R74" s="76">
        <f t="shared" si="33"/>
        <v>5729286.0175440405</v>
      </c>
      <c r="S74" s="76">
        <f t="shared" si="33"/>
        <v>4659854.0924213463</v>
      </c>
      <c r="T74" s="76">
        <f t="shared" si="33"/>
        <v>151893.72856742758</v>
      </c>
      <c r="U74" s="76">
        <f t="shared" si="33"/>
        <v>321187.80781441752</v>
      </c>
      <c r="V74" s="76">
        <f t="shared" si="33"/>
        <v>0</v>
      </c>
      <c r="W74" s="76">
        <f t="shared" si="33"/>
        <v>0</v>
      </c>
      <c r="X74" s="62">
        <f>SUM(X68:X73)</f>
        <v>0</v>
      </c>
      <c r="Y74" s="62">
        <f>SUM(Y68:Y73)</f>
        <v>0</v>
      </c>
      <c r="Z74" s="62">
        <f>SUM(Z68:Z73)</f>
        <v>0</v>
      </c>
      <c r="AA74" s="64">
        <f t="shared" si="30"/>
        <v>1538812450.5725198</v>
      </c>
      <c r="AB74" s="58" t="str">
        <f t="shared" si="31"/>
        <v>ok</v>
      </c>
    </row>
    <row r="75" spans="1:28">
      <c r="F75" s="79"/>
      <c r="G75" s="79"/>
    </row>
    <row r="76" spans="1:28" ht="15">
      <c r="A76" s="65" t="s">
        <v>1131</v>
      </c>
      <c r="F76" s="79"/>
      <c r="G76" s="79"/>
    </row>
    <row r="77" spans="1:28">
      <c r="A77" s="68" t="s">
        <v>1363</v>
      </c>
      <c r="C77" s="60" t="s">
        <v>973</v>
      </c>
      <c r="D77" s="60" t="s">
        <v>401</v>
      </c>
      <c r="E77" s="60" t="s">
        <v>1367</v>
      </c>
      <c r="F77" s="76">
        <f>VLOOKUP(C77,'Functional Assignment'!$C$2:$AP$780,'Functional Assignment'!$N$2,)</f>
        <v>302524467.33177245</v>
      </c>
      <c r="G77" s="76">
        <f t="shared" ref="G77:P79" si="34">IF(VLOOKUP($E77,$D$6:$AN$1131,3,)=0,0,(VLOOKUP($E77,$D$6:$AN$1131,G$2,)/VLOOKUP($E77,$D$6:$AN$1131,3,))*$F77)</f>
        <v>134438213.69339359</v>
      </c>
      <c r="H77" s="76">
        <f t="shared" si="34"/>
        <v>38697665.588109575</v>
      </c>
      <c r="I77" s="76">
        <f t="shared" si="34"/>
        <v>0</v>
      </c>
      <c r="J77" s="76">
        <f t="shared" si="34"/>
        <v>3438321.473382046</v>
      </c>
      <c r="K77" s="76">
        <f t="shared" si="34"/>
        <v>39907250.139035232</v>
      </c>
      <c r="L77" s="76">
        <f t="shared" si="34"/>
        <v>0</v>
      </c>
      <c r="M77" s="76">
        <f t="shared" si="34"/>
        <v>0</v>
      </c>
      <c r="N77" s="76">
        <f t="shared" si="34"/>
        <v>36303419.982958779</v>
      </c>
      <c r="O77" s="76">
        <f t="shared" si="34"/>
        <v>21555065.48748225</v>
      </c>
      <c r="P77" s="76">
        <f t="shared" si="34"/>
        <v>22327117.630757362</v>
      </c>
      <c r="Q77" s="76">
        <f t="shared" ref="Q77:Z79" si="35">IF(VLOOKUP($E77,$D$6:$AN$1131,3,)=0,0,(VLOOKUP($E77,$D$6:$AN$1131,Q$2,)/VLOOKUP($E77,$D$6:$AN$1131,3,))*$F77)</f>
        <v>2250671.7618561531</v>
      </c>
      <c r="R77" s="76">
        <f t="shared" si="35"/>
        <v>1178033.980922045</v>
      </c>
      <c r="S77" s="76">
        <f t="shared" si="35"/>
        <v>2320675.1549732098</v>
      </c>
      <c r="T77" s="76">
        <f t="shared" si="35"/>
        <v>74221.890426888043</v>
      </c>
      <c r="U77" s="76">
        <f t="shared" si="35"/>
        <v>33810.548475373849</v>
      </c>
      <c r="V77" s="76">
        <f t="shared" si="35"/>
        <v>0</v>
      </c>
      <c r="W77" s="76">
        <f t="shared" si="35"/>
        <v>0</v>
      </c>
      <c r="X77" s="62">
        <f t="shared" si="35"/>
        <v>0</v>
      </c>
      <c r="Y77" s="62">
        <f t="shared" si="35"/>
        <v>0</v>
      </c>
      <c r="Z77" s="62">
        <f t="shared" si="35"/>
        <v>0</v>
      </c>
      <c r="AA77" s="64">
        <f>SUM(G77:Z77)</f>
        <v>302524467.33177251</v>
      </c>
      <c r="AB77" s="58" t="str">
        <f>IF(ABS(F77-AA77)&lt;0.01,"ok","err")</f>
        <v>ok</v>
      </c>
    </row>
    <row r="78" spans="1:28" hidden="1">
      <c r="A78" s="68" t="s">
        <v>1364</v>
      </c>
      <c r="C78" s="60" t="s">
        <v>973</v>
      </c>
      <c r="D78" s="60" t="s">
        <v>402</v>
      </c>
      <c r="E78" s="60" t="s">
        <v>188</v>
      </c>
      <c r="F78" s="79">
        <f>VLOOKUP(C78,'Functional Assignment'!$C$2:$AP$780,'Functional Assignment'!$O$2,)</f>
        <v>0</v>
      </c>
      <c r="G78" s="79">
        <f t="shared" si="34"/>
        <v>0</v>
      </c>
      <c r="H78" s="79">
        <f t="shared" si="34"/>
        <v>0</v>
      </c>
      <c r="I78" s="79">
        <f t="shared" si="34"/>
        <v>0</v>
      </c>
      <c r="J78" s="79">
        <f t="shared" si="34"/>
        <v>0</v>
      </c>
      <c r="K78" s="79">
        <f t="shared" si="34"/>
        <v>0</v>
      </c>
      <c r="L78" s="79">
        <f t="shared" si="34"/>
        <v>0</v>
      </c>
      <c r="M78" s="79">
        <f t="shared" si="34"/>
        <v>0</v>
      </c>
      <c r="N78" s="79">
        <f t="shared" si="34"/>
        <v>0</v>
      </c>
      <c r="O78" s="79">
        <f t="shared" si="34"/>
        <v>0</v>
      </c>
      <c r="P78" s="79">
        <f t="shared" si="34"/>
        <v>0</v>
      </c>
      <c r="Q78" s="79">
        <f t="shared" si="35"/>
        <v>0</v>
      </c>
      <c r="R78" s="79">
        <f t="shared" si="35"/>
        <v>0</v>
      </c>
      <c r="S78" s="79">
        <f t="shared" si="35"/>
        <v>0</v>
      </c>
      <c r="T78" s="79">
        <f t="shared" si="35"/>
        <v>0</v>
      </c>
      <c r="U78" s="79">
        <f t="shared" si="35"/>
        <v>0</v>
      </c>
      <c r="V78" s="79">
        <f t="shared" si="35"/>
        <v>0</v>
      </c>
      <c r="W78" s="79">
        <f t="shared" si="35"/>
        <v>0</v>
      </c>
      <c r="X78" s="63">
        <f t="shared" si="35"/>
        <v>0</v>
      </c>
      <c r="Y78" s="63">
        <f t="shared" si="35"/>
        <v>0</v>
      </c>
      <c r="Z78" s="63">
        <f t="shared" si="35"/>
        <v>0</v>
      </c>
      <c r="AA78" s="63">
        <f>SUM(G78:Z78)</f>
        <v>0</v>
      </c>
      <c r="AB78" s="58" t="str">
        <f>IF(ABS(F78-AA78)&lt;0.01,"ok","err")</f>
        <v>ok</v>
      </c>
    </row>
    <row r="79" spans="1:28" hidden="1">
      <c r="A79" s="68" t="s">
        <v>1364</v>
      </c>
      <c r="C79" s="60" t="s">
        <v>973</v>
      </c>
      <c r="D79" s="60" t="s">
        <v>403</v>
      </c>
      <c r="E79" s="60" t="s">
        <v>191</v>
      </c>
      <c r="F79" s="79">
        <f>VLOOKUP(C79,'Functional Assignment'!$C$2:$AP$780,'Functional Assignment'!$P$2,)</f>
        <v>0</v>
      </c>
      <c r="G79" s="79">
        <f t="shared" si="34"/>
        <v>0</v>
      </c>
      <c r="H79" s="79">
        <f t="shared" si="34"/>
        <v>0</v>
      </c>
      <c r="I79" s="79">
        <f t="shared" si="34"/>
        <v>0</v>
      </c>
      <c r="J79" s="79">
        <f t="shared" si="34"/>
        <v>0</v>
      </c>
      <c r="K79" s="79">
        <f t="shared" si="34"/>
        <v>0</v>
      </c>
      <c r="L79" s="79">
        <f t="shared" si="34"/>
        <v>0</v>
      </c>
      <c r="M79" s="79">
        <f t="shared" si="34"/>
        <v>0</v>
      </c>
      <c r="N79" s="79">
        <f t="shared" si="34"/>
        <v>0</v>
      </c>
      <c r="O79" s="79">
        <f t="shared" si="34"/>
        <v>0</v>
      </c>
      <c r="P79" s="79">
        <f t="shared" si="34"/>
        <v>0</v>
      </c>
      <c r="Q79" s="79">
        <f t="shared" si="35"/>
        <v>0</v>
      </c>
      <c r="R79" s="79">
        <f t="shared" si="35"/>
        <v>0</v>
      </c>
      <c r="S79" s="79">
        <f t="shared" si="35"/>
        <v>0</v>
      </c>
      <c r="T79" s="79">
        <f t="shared" si="35"/>
        <v>0</v>
      </c>
      <c r="U79" s="79">
        <f t="shared" si="35"/>
        <v>0</v>
      </c>
      <c r="V79" s="79">
        <f t="shared" si="35"/>
        <v>0</v>
      </c>
      <c r="W79" s="79">
        <f t="shared" si="35"/>
        <v>0</v>
      </c>
      <c r="X79" s="63">
        <f t="shared" si="35"/>
        <v>0</v>
      </c>
      <c r="Y79" s="63">
        <f t="shared" si="35"/>
        <v>0</v>
      </c>
      <c r="Z79" s="63">
        <f t="shared" si="35"/>
        <v>0</v>
      </c>
      <c r="AA79" s="63">
        <f>SUM(G79:Z79)</f>
        <v>0</v>
      </c>
      <c r="AB79" s="58" t="str">
        <f>IF(ABS(F79-AA79)&lt;0.01,"ok","err")</f>
        <v>ok</v>
      </c>
    </row>
    <row r="80" spans="1:28" hidden="1">
      <c r="A80" s="60" t="s">
        <v>1133</v>
      </c>
      <c r="D80" s="60" t="s">
        <v>404</v>
      </c>
      <c r="F80" s="76">
        <f>SUM(F77:F79)</f>
        <v>302524467.33177245</v>
      </c>
      <c r="G80" s="76">
        <f t="shared" ref="G80:W80" si="36">SUM(G77:G79)</f>
        <v>134438213.69339359</v>
      </c>
      <c r="H80" s="76">
        <f t="shared" si="36"/>
        <v>38697665.588109575</v>
      </c>
      <c r="I80" s="76">
        <f t="shared" si="36"/>
        <v>0</v>
      </c>
      <c r="J80" s="76">
        <f t="shared" si="36"/>
        <v>3438321.473382046</v>
      </c>
      <c r="K80" s="76">
        <f t="shared" si="36"/>
        <v>39907250.139035232</v>
      </c>
      <c r="L80" s="76">
        <f t="shared" si="36"/>
        <v>0</v>
      </c>
      <c r="M80" s="76">
        <f t="shared" si="36"/>
        <v>0</v>
      </c>
      <c r="N80" s="76">
        <f t="shared" si="36"/>
        <v>36303419.982958779</v>
      </c>
      <c r="O80" s="76">
        <f>SUM(O77:O79)</f>
        <v>21555065.48748225</v>
      </c>
      <c r="P80" s="76">
        <f t="shared" si="36"/>
        <v>22327117.630757362</v>
      </c>
      <c r="Q80" s="76">
        <f t="shared" si="36"/>
        <v>2250671.7618561531</v>
      </c>
      <c r="R80" s="76">
        <f t="shared" si="36"/>
        <v>1178033.980922045</v>
      </c>
      <c r="S80" s="76">
        <f t="shared" si="36"/>
        <v>2320675.1549732098</v>
      </c>
      <c r="T80" s="76">
        <f t="shared" si="36"/>
        <v>74221.890426888043</v>
      </c>
      <c r="U80" s="76">
        <f t="shared" si="36"/>
        <v>33810.548475373849</v>
      </c>
      <c r="V80" s="76">
        <f t="shared" si="36"/>
        <v>0</v>
      </c>
      <c r="W80" s="76">
        <f t="shared" si="36"/>
        <v>0</v>
      </c>
      <c r="X80" s="62">
        <f>SUM(X77:X79)</f>
        <v>0</v>
      </c>
      <c r="Y80" s="62">
        <f>SUM(Y77:Y79)</f>
        <v>0</v>
      </c>
      <c r="Z80" s="62">
        <f>SUM(Z77:Z79)</f>
        <v>0</v>
      </c>
      <c r="AA80" s="64">
        <f>SUM(G80:Z80)</f>
        <v>302524467.33177251</v>
      </c>
      <c r="AB80" s="58" t="str">
        <f>IF(ABS(F80-AA80)&lt;0.01,"ok","err")</f>
        <v>ok</v>
      </c>
    </row>
    <row r="81" spans="1:28">
      <c r="F81" s="79"/>
      <c r="G81" s="79"/>
    </row>
    <row r="82" spans="1:28" ht="15">
      <c r="A82" s="65" t="s">
        <v>348</v>
      </c>
      <c r="F82" s="79"/>
      <c r="G82" s="79"/>
    </row>
    <row r="83" spans="1:28">
      <c r="A83" s="68" t="s">
        <v>372</v>
      </c>
      <c r="C83" s="60" t="s">
        <v>973</v>
      </c>
      <c r="D83" s="60" t="s">
        <v>405</v>
      </c>
      <c r="E83" s="60" t="s">
        <v>1368</v>
      </c>
      <c r="F83" s="76">
        <f>VLOOKUP(C83,'Functional Assignment'!$C$2:$AP$780,'Functional Assignment'!$Q$2,)</f>
        <v>0</v>
      </c>
      <c r="G83" s="76">
        <f t="shared" ref="G83:Z83" si="37">IF(VLOOKUP($E83,$D$6:$AN$1131,3,)=0,0,(VLOOKUP($E83,$D$6:$AN$1131,G$2,)/VLOOKUP($E83,$D$6:$AN$1131,3,))*$F83)</f>
        <v>0</v>
      </c>
      <c r="H83" s="76">
        <f t="shared" si="37"/>
        <v>0</v>
      </c>
      <c r="I83" s="76">
        <f t="shared" si="37"/>
        <v>0</v>
      </c>
      <c r="J83" s="76">
        <f t="shared" si="37"/>
        <v>0</v>
      </c>
      <c r="K83" s="76">
        <f t="shared" si="37"/>
        <v>0</v>
      </c>
      <c r="L83" s="76">
        <f t="shared" si="37"/>
        <v>0</v>
      </c>
      <c r="M83" s="76">
        <f t="shared" si="37"/>
        <v>0</v>
      </c>
      <c r="N83" s="76">
        <f t="shared" si="37"/>
        <v>0</v>
      </c>
      <c r="O83" s="76">
        <f t="shared" si="37"/>
        <v>0</v>
      </c>
      <c r="P83" s="76">
        <f t="shared" si="37"/>
        <v>0</v>
      </c>
      <c r="Q83" s="76">
        <f t="shared" si="37"/>
        <v>0</v>
      </c>
      <c r="R83" s="76">
        <f t="shared" si="37"/>
        <v>0</v>
      </c>
      <c r="S83" s="76">
        <f t="shared" si="37"/>
        <v>0</v>
      </c>
      <c r="T83" s="76">
        <f t="shared" si="37"/>
        <v>0</v>
      </c>
      <c r="U83" s="76">
        <f t="shared" si="37"/>
        <v>0</v>
      </c>
      <c r="V83" s="76">
        <f t="shared" si="37"/>
        <v>0</v>
      </c>
      <c r="W83" s="76">
        <f t="shared" si="37"/>
        <v>0</v>
      </c>
      <c r="X83" s="62">
        <f t="shared" si="37"/>
        <v>0</v>
      </c>
      <c r="Y83" s="62">
        <f t="shared" si="37"/>
        <v>0</v>
      </c>
      <c r="Z83" s="62">
        <f t="shared" si="37"/>
        <v>0</v>
      </c>
      <c r="AA83" s="64">
        <f>SUM(G83:Z83)</f>
        <v>0</v>
      </c>
      <c r="AB83" s="58" t="str">
        <f>IF(ABS(F83-AA83)&lt;0.01,"ok","err")</f>
        <v>ok</v>
      </c>
    </row>
    <row r="84" spans="1:28">
      <c r="F84" s="79"/>
    </row>
    <row r="85" spans="1:28" ht="15">
      <c r="A85" s="65" t="s">
        <v>349</v>
      </c>
      <c r="F85" s="79"/>
      <c r="G85" s="79"/>
    </row>
    <row r="86" spans="1:28">
      <c r="A86" s="68" t="s">
        <v>374</v>
      </c>
      <c r="C86" s="60" t="s">
        <v>973</v>
      </c>
      <c r="D86" s="60" t="s">
        <v>406</v>
      </c>
      <c r="E86" s="60" t="s">
        <v>1368</v>
      </c>
      <c r="F86" s="76">
        <f>VLOOKUP(C86,'Functional Assignment'!$C$2:$AP$780,'Functional Assignment'!$R$2,)</f>
        <v>104174581.44635636</v>
      </c>
      <c r="G86" s="76">
        <f t="shared" ref="G86:Z86" si="38">IF(VLOOKUP($E86,$D$6:$AN$1131,3,)=0,0,(VLOOKUP($E86,$D$6:$AN$1131,G$2,)/VLOOKUP($E86,$D$6:$AN$1131,3,))*$F86)</f>
        <v>49982787.691779345</v>
      </c>
      <c r="H86" s="76">
        <f t="shared" si="38"/>
        <v>14387406.304499311</v>
      </c>
      <c r="I86" s="76">
        <f t="shared" si="38"/>
        <v>0</v>
      </c>
      <c r="J86" s="76">
        <f t="shared" si="38"/>
        <v>1278333.6485865994</v>
      </c>
      <c r="K86" s="76">
        <f t="shared" si="38"/>
        <v>14837117.782681087</v>
      </c>
      <c r="L86" s="76">
        <f t="shared" si="38"/>
        <v>0</v>
      </c>
      <c r="M86" s="76">
        <f t="shared" si="38"/>
        <v>0</v>
      </c>
      <c r="N86" s="76">
        <f t="shared" si="38"/>
        <v>13497249.655756893</v>
      </c>
      <c r="O86" s="76">
        <f t="shared" si="38"/>
        <v>8013958.4746369543</v>
      </c>
      <c r="P86" s="76">
        <f t="shared" si="38"/>
        <v>0</v>
      </c>
      <c r="Q86" s="76">
        <f t="shared" si="38"/>
        <v>836777.32503423735</v>
      </c>
      <c r="R86" s="76">
        <f t="shared" si="38"/>
        <v>437981.29076912673</v>
      </c>
      <c r="S86" s="76">
        <f t="shared" si="38"/>
        <v>862803.88876003877</v>
      </c>
      <c r="T86" s="76">
        <f t="shared" si="38"/>
        <v>27594.958973126839</v>
      </c>
      <c r="U86" s="76">
        <f t="shared" si="38"/>
        <v>12570.424879650645</v>
      </c>
      <c r="V86" s="76">
        <f t="shared" si="38"/>
        <v>0</v>
      </c>
      <c r="W86" s="76">
        <f t="shared" si="38"/>
        <v>0</v>
      </c>
      <c r="X86" s="62">
        <f t="shared" si="38"/>
        <v>0</v>
      </c>
      <c r="Y86" s="62">
        <f t="shared" si="38"/>
        <v>0</v>
      </c>
      <c r="Z86" s="62">
        <f t="shared" si="38"/>
        <v>0</v>
      </c>
      <c r="AA86" s="64">
        <f>SUM(G86:Z86)</f>
        <v>104174581.44635639</v>
      </c>
      <c r="AB86" s="58" t="str">
        <f>IF(ABS(F86-AA86)&lt;0.01,"ok","err")</f>
        <v>ok</v>
      </c>
    </row>
    <row r="87" spans="1:28">
      <c r="F87" s="79"/>
    </row>
    <row r="88" spans="1:28" ht="15">
      <c r="A88" s="65" t="s">
        <v>373</v>
      </c>
      <c r="F88" s="79"/>
    </row>
    <row r="89" spans="1:28">
      <c r="A89" s="68" t="s">
        <v>623</v>
      </c>
      <c r="C89" s="60" t="s">
        <v>973</v>
      </c>
      <c r="D89" s="60" t="s">
        <v>407</v>
      </c>
      <c r="E89" s="60" t="s">
        <v>1368</v>
      </c>
      <c r="F89" s="76">
        <f>VLOOKUP(C89,'Functional Assignment'!$C$2:$AP$780,'Functional Assignment'!$S$2,)</f>
        <v>0</v>
      </c>
      <c r="G89" s="76">
        <f t="shared" ref="G89:P93" si="39">IF(VLOOKUP($E89,$D$6:$AN$1131,3,)=0,0,(VLOOKUP($E89,$D$6:$AN$1131,G$2,)/VLOOKUP($E89,$D$6:$AN$1131,3,))*$F89)</f>
        <v>0</v>
      </c>
      <c r="H89" s="76">
        <f t="shared" si="39"/>
        <v>0</v>
      </c>
      <c r="I89" s="76">
        <f t="shared" si="39"/>
        <v>0</v>
      </c>
      <c r="J89" s="76">
        <f t="shared" si="39"/>
        <v>0</v>
      </c>
      <c r="K89" s="76">
        <f t="shared" si="39"/>
        <v>0</v>
      </c>
      <c r="L89" s="76">
        <f t="shared" si="39"/>
        <v>0</v>
      </c>
      <c r="M89" s="76">
        <f t="shared" si="39"/>
        <v>0</v>
      </c>
      <c r="N89" s="76">
        <f t="shared" si="39"/>
        <v>0</v>
      </c>
      <c r="O89" s="76">
        <f t="shared" si="39"/>
        <v>0</v>
      </c>
      <c r="P89" s="76">
        <f t="shared" si="39"/>
        <v>0</v>
      </c>
      <c r="Q89" s="76">
        <f t="shared" ref="Q89:Z93" si="40">IF(VLOOKUP($E89,$D$6:$AN$1131,3,)=0,0,(VLOOKUP($E89,$D$6:$AN$1131,Q$2,)/VLOOKUP($E89,$D$6:$AN$1131,3,))*$F89)</f>
        <v>0</v>
      </c>
      <c r="R89" s="76">
        <f t="shared" si="40"/>
        <v>0</v>
      </c>
      <c r="S89" s="76">
        <f t="shared" si="40"/>
        <v>0</v>
      </c>
      <c r="T89" s="76">
        <f t="shared" si="40"/>
        <v>0</v>
      </c>
      <c r="U89" s="76">
        <f t="shared" si="40"/>
        <v>0</v>
      </c>
      <c r="V89" s="76">
        <f t="shared" si="40"/>
        <v>0</v>
      </c>
      <c r="W89" s="76">
        <f t="shared" si="40"/>
        <v>0</v>
      </c>
      <c r="X89" s="62">
        <f t="shared" si="40"/>
        <v>0</v>
      </c>
      <c r="Y89" s="62">
        <f t="shared" si="40"/>
        <v>0</v>
      </c>
      <c r="Z89" s="62">
        <f t="shared" si="40"/>
        <v>0</v>
      </c>
      <c r="AA89" s="64">
        <f t="shared" ref="AA89:AA94" si="41">SUM(G89:Z89)</f>
        <v>0</v>
      </c>
      <c r="AB89" s="58" t="str">
        <f t="shared" ref="AB89:AB94" si="42">IF(ABS(F89-AA89)&lt;0.01,"ok","err")</f>
        <v>ok</v>
      </c>
    </row>
    <row r="90" spans="1:28">
      <c r="A90" s="68" t="s">
        <v>624</v>
      </c>
      <c r="C90" s="60" t="s">
        <v>973</v>
      </c>
      <c r="D90" s="60" t="s">
        <v>408</v>
      </c>
      <c r="E90" s="60" t="s">
        <v>1368</v>
      </c>
      <c r="F90" s="79">
        <f>VLOOKUP(C90,'Functional Assignment'!$C$2:$AP$780,'Functional Assignment'!$T$2,)</f>
        <v>178149249.67691696</v>
      </c>
      <c r="G90" s="79">
        <f t="shared" si="39"/>
        <v>85475708.185459405</v>
      </c>
      <c r="H90" s="79">
        <f t="shared" si="39"/>
        <v>24603944.670162577</v>
      </c>
      <c r="I90" s="79">
        <f t="shared" si="39"/>
        <v>0</v>
      </c>
      <c r="J90" s="79">
        <f t="shared" si="39"/>
        <v>2186082.0285582594</v>
      </c>
      <c r="K90" s="79">
        <f t="shared" si="39"/>
        <v>25372997.555202827</v>
      </c>
      <c r="L90" s="79">
        <f t="shared" si="39"/>
        <v>0</v>
      </c>
      <c r="M90" s="79">
        <f t="shared" si="39"/>
        <v>0</v>
      </c>
      <c r="N90" s="79">
        <f t="shared" si="39"/>
        <v>23081685.239247173</v>
      </c>
      <c r="O90" s="79">
        <f t="shared" si="39"/>
        <v>13704693.307874849</v>
      </c>
      <c r="P90" s="79">
        <f t="shared" si="39"/>
        <v>0</v>
      </c>
      <c r="Q90" s="79">
        <f t="shared" si="40"/>
        <v>1430975.2967740002</v>
      </c>
      <c r="R90" s="79">
        <f t="shared" si="40"/>
        <v>748993.05799684196</v>
      </c>
      <c r="S90" s="79">
        <f t="shared" si="40"/>
        <v>1475483.3978390144</v>
      </c>
      <c r="T90" s="79">
        <f t="shared" si="40"/>
        <v>47190.218263169205</v>
      </c>
      <c r="U90" s="79">
        <f t="shared" si="40"/>
        <v>21496.71953885386</v>
      </c>
      <c r="V90" s="79">
        <f t="shared" si="40"/>
        <v>0</v>
      </c>
      <c r="W90" s="79">
        <f t="shared" si="40"/>
        <v>0</v>
      </c>
      <c r="X90" s="63">
        <f t="shared" si="40"/>
        <v>0</v>
      </c>
      <c r="Y90" s="63">
        <f t="shared" si="40"/>
        <v>0</v>
      </c>
      <c r="Z90" s="63">
        <f t="shared" si="40"/>
        <v>0</v>
      </c>
      <c r="AA90" s="63">
        <f t="shared" si="41"/>
        <v>178149249.67691699</v>
      </c>
      <c r="AB90" s="58" t="str">
        <f t="shared" si="42"/>
        <v>ok</v>
      </c>
    </row>
    <row r="91" spans="1:28">
      <c r="A91" s="68" t="s">
        <v>625</v>
      </c>
      <c r="C91" s="60" t="s">
        <v>973</v>
      </c>
      <c r="D91" s="60" t="s">
        <v>409</v>
      </c>
      <c r="E91" s="60" t="s">
        <v>698</v>
      </c>
      <c r="F91" s="79">
        <f>VLOOKUP(C91,'Functional Assignment'!$C$2:$AP$780,'Functional Assignment'!$U$2,)</f>
        <v>283501668.54196858</v>
      </c>
      <c r="G91" s="79">
        <f t="shared" si="39"/>
        <v>244410540.81329033</v>
      </c>
      <c r="H91" s="79">
        <f t="shared" si="39"/>
        <v>30365617.366872516</v>
      </c>
      <c r="I91" s="79">
        <f t="shared" si="39"/>
        <v>0</v>
      </c>
      <c r="J91" s="79">
        <f t="shared" si="39"/>
        <v>48330.447430528577</v>
      </c>
      <c r="K91" s="79">
        <f t="shared" si="39"/>
        <v>1895739.4252553396</v>
      </c>
      <c r="L91" s="79">
        <f t="shared" si="39"/>
        <v>0</v>
      </c>
      <c r="M91" s="79">
        <f t="shared" si="39"/>
        <v>0</v>
      </c>
      <c r="N91" s="79">
        <f t="shared" si="39"/>
        <v>70817.530610010625</v>
      </c>
      <c r="O91" s="79">
        <f t="shared" si="39"/>
        <v>185266.71515035955</v>
      </c>
      <c r="P91" s="79">
        <f t="shared" si="39"/>
        <v>0</v>
      </c>
      <c r="Q91" s="79">
        <f t="shared" si="40"/>
        <v>671.25621431289687</v>
      </c>
      <c r="R91" s="79">
        <f t="shared" si="40"/>
        <v>671.25621431289687</v>
      </c>
      <c r="S91" s="79">
        <f t="shared" si="40"/>
        <v>6444208.8254514355</v>
      </c>
      <c r="T91" s="79">
        <f t="shared" si="40"/>
        <v>12306.363929069776</v>
      </c>
      <c r="U91" s="79">
        <f t="shared" si="40"/>
        <v>67498.541550352413</v>
      </c>
      <c r="V91" s="79">
        <f t="shared" si="40"/>
        <v>0</v>
      </c>
      <c r="W91" s="79">
        <f t="shared" si="40"/>
        <v>0</v>
      </c>
      <c r="X91" s="63">
        <f t="shared" si="40"/>
        <v>0</v>
      </c>
      <c r="Y91" s="63">
        <f t="shared" si="40"/>
        <v>0</v>
      </c>
      <c r="Z91" s="63">
        <f t="shared" si="40"/>
        <v>0</v>
      </c>
      <c r="AA91" s="63">
        <f t="shared" si="41"/>
        <v>283501668.54196864</v>
      </c>
      <c r="AB91" s="58" t="str">
        <f t="shared" si="42"/>
        <v>ok</v>
      </c>
    </row>
    <row r="92" spans="1:28">
      <c r="A92" s="68" t="s">
        <v>626</v>
      </c>
      <c r="C92" s="60" t="s">
        <v>973</v>
      </c>
      <c r="D92" s="60" t="s">
        <v>410</v>
      </c>
      <c r="E92" s="60" t="s">
        <v>678</v>
      </c>
      <c r="F92" s="79">
        <f>VLOOKUP(C92,'Functional Assignment'!$C$2:$AP$780,'Functional Assignment'!$V$2,)</f>
        <v>48973898.223828338</v>
      </c>
      <c r="G92" s="79">
        <f t="shared" si="39"/>
        <v>41099288.097833708</v>
      </c>
      <c r="H92" s="79">
        <f t="shared" si="39"/>
        <v>7520984.3507437622</v>
      </c>
      <c r="I92" s="79">
        <f t="shared" si="39"/>
        <v>0</v>
      </c>
      <c r="J92" s="79">
        <f t="shared" si="39"/>
        <v>0</v>
      </c>
      <c r="K92" s="79">
        <f t="shared" si="39"/>
        <v>0</v>
      </c>
      <c r="L92" s="79">
        <f t="shared" si="39"/>
        <v>0</v>
      </c>
      <c r="M92" s="79">
        <f t="shared" si="39"/>
        <v>0</v>
      </c>
      <c r="N92" s="79">
        <f t="shared" si="39"/>
        <v>0</v>
      </c>
      <c r="O92" s="79">
        <f t="shared" si="39"/>
        <v>0</v>
      </c>
      <c r="P92" s="79">
        <f t="shared" si="39"/>
        <v>0</v>
      </c>
      <c r="Q92" s="79">
        <f t="shared" si="40"/>
        <v>0</v>
      </c>
      <c r="R92" s="79">
        <f t="shared" si="40"/>
        <v>0</v>
      </c>
      <c r="S92" s="79">
        <f t="shared" si="40"/>
        <v>337895.98750063113</v>
      </c>
      <c r="T92" s="79">
        <f t="shared" si="40"/>
        <v>10806.889066835593</v>
      </c>
      <c r="U92" s="79">
        <f t="shared" si="40"/>
        <v>4922.8986834033167</v>
      </c>
      <c r="V92" s="79">
        <f t="shared" si="40"/>
        <v>0</v>
      </c>
      <c r="W92" s="79">
        <f t="shared" si="40"/>
        <v>0</v>
      </c>
      <c r="X92" s="63">
        <f t="shared" si="40"/>
        <v>0</v>
      </c>
      <c r="Y92" s="63">
        <f t="shared" si="40"/>
        <v>0</v>
      </c>
      <c r="Z92" s="63">
        <f t="shared" si="40"/>
        <v>0</v>
      </c>
      <c r="AA92" s="63">
        <f t="shared" si="41"/>
        <v>48973898.223828346</v>
      </c>
      <c r="AB92" s="58" t="str">
        <f t="shared" si="42"/>
        <v>ok</v>
      </c>
    </row>
    <row r="93" spans="1:28">
      <c r="A93" s="68" t="s">
        <v>627</v>
      </c>
      <c r="C93" s="60" t="s">
        <v>973</v>
      </c>
      <c r="D93" s="60" t="s">
        <v>411</v>
      </c>
      <c r="E93" s="60" t="s">
        <v>697</v>
      </c>
      <c r="F93" s="79">
        <f>VLOOKUP(C93,'Functional Assignment'!$C$2:$AP$780,'Functional Assignment'!$W$2,)</f>
        <v>74423481.485552132</v>
      </c>
      <c r="G93" s="79">
        <f t="shared" si="39"/>
        <v>64663605.555280991</v>
      </c>
      <c r="H93" s="79">
        <f t="shared" si="39"/>
        <v>8033820.052605778</v>
      </c>
      <c r="I93" s="79">
        <f t="shared" si="39"/>
        <v>0</v>
      </c>
      <c r="J93" s="79">
        <f t="shared" si="39"/>
        <v>0</v>
      </c>
      <c r="K93" s="79">
        <f t="shared" si="39"/>
        <v>0</v>
      </c>
      <c r="L93" s="79">
        <f t="shared" si="39"/>
        <v>0</v>
      </c>
      <c r="M93" s="79">
        <f t="shared" si="39"/>
        <v>0</v>
      </c>
      <c r="N93" s="79">
        <f t="shared" si="39"/>
        <v>0</v>
      </c>
      <c r="O93" s="79">
        <f t="shared" si="39"/>
        <v>0</v>
      </c>
      <c r="P93" s="79">
        <f t="shared" si="39"/>
        <v>0</v>
      </c>
      <c r="Q93" s="79">
        <f t="shared" si="40"/>
        <v>0</v>
      </c>
      <c r="R93" s="79">
        <f t="shared" si="40"/>
        <v>0</v>
      </c>
      <c r="S93" s="79">
        <f t="shared" si="40"/>
        <v>1704941.9236103299</v>
      </c>
      <c r="T93" s="79">
        <f t="shared" si="40"/>
        <v>3255.890111290299</v>
      </c>
      <c r="U93" s="79">
        <f t="shared" si="40"/>
        <v>17858.06394374376</v>
      </c>
      <c r="V93" s="79">
        <f t="shared" si="40"/>
        <v>0</v>
      </c>
      <c r="W93" s="79">
        <f t="shared" si="40"/>
        <v>0</v>
      </c>
      <c r="X93" s="63">
        <f t="shared" si="40"/>
        <v>0</v>
      </c>
      <c r="Y93" s="63">
        <f t="shared" si="40"/>
        <v>0</v>
      </c>
      <c r="Z93" s="63">
        <f t="shared" si="40"/>
        <v>0</v>
      </c>
      <c r="AA93" s="63">
        <f t="shared" si="41"/>
        <v>74423481.485552132</v>
      </c>
      <c r="AB93" s="58" t="str">
        <f t="shared" si="42"/>
        <v>ok</v>
      </c>
    </row>
    <row r="94" spans="1:28">
      <c r="A94" s="60" t="s">
        <v>378</v>
      </c>
      <c r="D94" s="60" t="s">
        <v>412</v>
      </c>
      <c r="F94" s="76">
        <f>SUM(F89:F93)</f>
        <v>585048297.92826605</v>
      </c>
      <c r="G94" s="76">
        <f t="shared" ref="G94:W94" si="43">SUM(G89:G93)</f>
        <v>435649142.65186441</v>
      </c>
      <c r="H94" s="76">
        <f t="shared" si="43"/>
        <v>70524366.440384626</v>
      </c>
      <c r="I94" s="76">
        <f t="shared" si="43"/>
        <v>0</v>
      </c>
      <c r="J94" s="76">
        <f t="shared" si="43"/>
        <v>2234412.4759887881</v>
      </c>
      <c r="K94" s="76">
        <f t="shared" si="43"/>
        <v>27268736.980458166</v>
      </c>
      <c r="L94" s="76">
        <f t="shared" si="43"/>
        <v>0</v>
      </c>
      <c r="M94" s="76">
        <f t="shared" si="43"/>
        <v>0</v>
      </c>
      <c r="N94" s="76">
        <f t="shared" si="43"/>
        <v>23152502.769857183</v>
      </c>
      <c r="O94" s="76">
        <f>SUM(O89:O93)</f>
        <v>13889960.023025209</v>
      </c>
      <c r="P94" s="76">
        <f t="shared" si="43"/>
        <v>0</v>
      </c>
      <c r="Q94" s="76">
        <f t="shared" si="43"/>
        <v>1431646.5529883131</v>
      </c>
      <c r="R94" s="76">
        <f t="shared" si="43"/>
        <v>749664.31421115482</v>
      </c>
      <c r="S94" s="76">
        <f t="shared" si="43"/>
        <v>9962530.1344014108</v>
      </c>
      <c r="T94" s="76">
        <f t="shared" si="43"/>
        <v>73559.361370364873</v>
      </c>
      <c r="U94" s="76">
        <f t="shared" si="43"/>
        <v>111776.22371635334</v>
      </c>
      <c r="V94" s="76">
        <f t="shared" si="43"/>
        <v>0</v>
      </c>
      <c r="W94" s="76">
        <f t="shared" si="43"/>
        <v>0</v>
      </c>
      <c r="X94" s="62">
        <f>SUM(X89:X93)</f>
        <v>0</v>
      </c>
      <c r="Y94" s="62">
        <f>SUM(Y89:Y93)</f>
        <v>0</v>
      </c>
      <c r="Z94" s="62">
        <f>SUM(Z89:Z93)</f>
        <v>0</v>
      </c>
      <c r="AA94" s="64">
        <f t="shared" si="41"/>
        <v>585048297.92826593</v>
      </c>
      <c r="AB94" s="58" t="str">
        <f t="shared" si="42"/>
        <v>ok</v>
      </c>
    </row>
    <row r="95" spans="1:28">
      <c r="F95" s="79"/>
    </row>
    <row r="96" spans="1:28" ht="15">
      <c r="A96" s="65" t="s">
        <v>634</v>
      </c>
      <c r="F96" s="79"/>
    </row>
    <row r="97" spans="1:28">
      <c r="A97" s="68" t="s">
        <v>1090</v>
      </c>
      <c r="C97" s="60" t="s">
        <v>973</v>
      </c>
      <c r="D97" s="60" t="s">
        <v>413</v>
      </c>
      <c r="E97" s="60" t="s">
        <v>1336</v>
      </c>
      <c r="F97" s="76">
        <f>VLOOKUP(C97,'Functional Assignment'!$C$2:$AP$780,'Functional Assignment'!$X$2,)</f>
        <v>67696703.063986972</v>
      </c>
      <c r="G97" s="76">
        <f t="shared" ref="G97:P98" si="44">IF(VLOOKUP($E97,$D$6:$AN$1131,3,)=0,0,(VLOOKUP($E97,$D$6:$AN$1131,G$2,)/VLOOKUP($E97,$D$6:$AN$1131,3,))*$F97)</f>
        <v>46968022.100444913</v>
      </c>
      <c r="H97" s="76">
        <f t="shared" si="44"/>
        <v>8594936.2033220343</v>
      </c>
      <c r="I97" s="76">
        <f t="shared" si="44"/>
        <v>0</v>
      </c>
      <c r="J97" s="76">
        <f t="shared" si="44"/>
        <v>0</v>
      </c>
      <c r="K97" s="76">
        <f t="shared" si="44"/>
        <v>7569621.1862765858</v>
      </c>
      <c r="L97" s="76">
        <f t="shared" si="44"/>
        <v>0</v>
      </c>
      <c r="M97" s="76">
        <f t="shared" si="44"/>
        <v>0</v>
      </c>
      <c r="N97" s="76">
        <f t="shared" si="44"/>
        <v>0</v>
      </c>
      <c r="O97" s="76">
        <f t="shared" si="44"/>
        <v>4160002.1403134293</v>
      </c>
      <c r="P97" s="76">
        <f t="shared" si="44"/>
        <v>0</v>
      </c>
      <c r="Q97" s="76">
        <f t="shared" ref="Q97:Z98" si="45">IF(VLOOKUP($E97,$D$6:$AN$1131,3,)=0,0,(VLOOKUP($E97,$D$6:$AN$1131,Q$2,)/VLOOKUP($E97,$D$6:$AN$1131,3,))*$F97)</f>
        <v>0</v>
      </c>
      <c r="R97" s="76">
        <f t="shared" si="45"/>
        <v>0</v>
      </c>
      <c r="S97" s="76">
        <f t="shared" si="45"/>
        <v>386145.52570359007</v>
      </c>
      <c r="T97" s="76">
        <f t="shared" si="45"/>
        <v>12350.048577969026</v>
      </c>
      <c r="U97" s="76">
        <f t="shared" si="45"/>
        <v>5625.8593484621797</v>
      </c>
      <c r="V97" s="76">
        <f t="shared" si="45"/>
        <v>0</v>
      </c>
      <c r="W97" s="76">
        <f t="shared" si="45"/>
        <v>0</v>
      </c>
      <c r="X97" s="62">
        <f t="shared" si="45"/>
        <v>0</v>
      </c>
      <c r="Y97" s="62">
        <f t="shared" si="45"/>
        <v>0</v>
      </c>
      <c r="Z97" s="62">
        <f t="shared" si="45"/>
        <v>0</v>
      </c>
      <c r="AA97" s="64">
        <f>SUM(G97:Z97)</f>
        <v>67696703.063986987</v>
      </c>
      <c r="AB97" s="58" t="str">
        <f>IF(ABS(F97-AA97)&lt;0.01,"ok","err")</f>
        <v>ok</v>
      </c>
    </row>
    <row r="98" spans="1:28">
      <c r="A98" s="68" t="s">
        <v>1093</v>
      </c>
      <c r="C98" s="60" t="s">
        <v>973</v>
      </c>
      <c r="D98" s="60" t="s">
        <v>414</v>
      </c>
      <c r="E98" s="60" t="s">
        <v>1334</v>
      </c>
      <c r="F98" s="79">
        <f>VLOOKUP(C98,'Functional Assignment'!$C$2:$AP$780,'Functional Assignment'!$Y$2,)</f>
        <v>47343848.651802614</v>
      </c>
      <c r="G98" s="79">
        <f t="shared" si="44"/>
        <v>40833112.956664898</v>
      </c>
      <c r="H98" s="79">
        <f t="shared" si="44"/>
        <v>5073114.6038728766</v>
      </c>
      <c r="I98" s="79">
        <f t="shared" si="44"/>
        <v>0</v>
      </c>
      <c r="J98" s="79">
        <f t="shared" si="44"/>
        <v>0</v>
      </c>
      <c r="K98" s="79">
        <f t="shared" si="44"/>
        <v>316716.8724813239</v>
      </c>
      <c r="L98" s="79">
        <f t="shared" si="44"/>
        <v>0</v>
      </c>
      <c r="M98" s="79">
        <f t="shared" si="44"/>
        <v>0</v>
      </c>
      <c r="N98" s="79">
        <f t="shared" si="44"/>
        <v>0</v>
      </c>
      <c r="O98" s="79">
        <f t="shared" si="44"/>
        <v>30952.088570615073</v>
      </c>
      <c r="P98" s="79">
        <f t="shared" si="44"/>
        <v>0</v>
      </c>
      <c r="Q98" s="79">
        <f t="shared" si="45"/>
        <v>0</v>
      </c>
      <c r="R98" s="79">
        <f t="shared" si="45"/>
        <v>0</v>
      </c>
      <c r="S98" s="79">
        <f t="shared" si="45"/>
        <v>1076619.306231193</v>
      </c>
      <c r="T98" s="79">
        <f t="shared" si="45"/>
        <v>2055.9962214780539</v>
      </c>
      <c r="U98" s="79">
        <f t="shared" si="45"/>
        <v>11276.827760228116</v>
      </c>
      <c r="V98" s="79">
        <f t="shared" si="45"/>
        <v>0</v>
      </c>
      <c r="W98" s="79">
        <f t="shared" si="45"/>
        <v>0</v>
      </c>
      <c r="X98" s="63">
        <f t="shared" si="45"/>
        <v>0</v>
      </c>
      <c r="Y98" s="63">
        <f t="shared" si="45"/>
        <v>0</v>
      </c>
      <c r="Z98" s="63">
        <f t="shared" si="45"/>
        <v>0</v>
      </c>
      <c r="AA98" s="63">
        <f>SUM(G98:Z98)</f>
        <v>47343848.651802607</v>
      </c>
      <c r="AB98" s="58" t="str">
        <f>IF(ABS(F98-AA98)&lt;0.01,"ok","err")</f>
        <v>ok</v>
      </c>
    </row>
    <row r="99" spans="1:28">
      <c r="A99" s="60" t="s">
        <v>712</v>
      </c>
      <c r="D99" s="60" t="s">
        <v>415</v>
      </c>
      <c r="F99" s="76">
        <f>F97+F98</f>
        <v>115040551.71578959</v>
      </c>
      <c r="G99" s="76">
        <f t="shared" ref="G99:W99" si="46">G97+G98</f>
        <v>87801135.057109803</v>
      </c>
      <c r="H99" s="76">
        <f t="shared" si="46"/>
        <v>13668050.807194911</v>
      </c>
      <c r="I99" s="76">
        <f t="shared" si="46"/>
        <v>0</v>
      </c>
      <c r="J99" s="76">
        <f t="shared" si="46"/>
        <v>0</v>
      </c>
      <c r="K99" s="76">
        <f t="shared" si="46"/>
        <v>7886338.0587579096</v>
      </c>
      <c r="L99" s="76">
        <f t="shared" si="46"/>
        <v>0</v>
      </c>
      <c r="M99" s="76">
        <f t="shared" si="46"/>
        <v>0</v>
      </c>
      <c r="N99" s="76">
        <f t="shared" si="46"/>
        <v>0</v>
      </c>
      <c r="O99" s="76">
        <f>O97+O98</f>
        <v>4190954.2288840446</v>
      </c>
      <c r="P99" s="76">
        <f t="shared" si="46"/>
        <v>0</v>
      </c>
      <c r="Q99" s="76">
        <f t="shared" si="46"/>
        <v>0</v>
      </c>
      <c r="R99" s="76">
        <f t="shared" si="46"/>
        <v>0</v>
      </c>
      <c r="S99" s="76">
        <f t="shared" si="46"/>
        <v>1462764.8319347831</v>
      </c>
      <c r="T99" s="76">
        <f t="shared" si="46"/>
        <v>14406.04479944708</v>
      </c>
      <c r="U99" s="76">
        <f t="shared" si="46"/>
        <v>16902.687108690297</v>
      </c>
      <c r="V99" s="76">
        <f t="shared" si="46"/>
        <v>0</v>
      </c>
      <c r="W99" s="76">
        <f t="shared" si="46"/>
        <v>0</v>
      </c>
      <c r="X99" s="62">
        <f>X97+X98</f>
        <v>0</v>
      </c>
      <c r="Y99" s="62">
        <f>Y97+Y98</f>
        <v>0</v>
      </c>
      <c r="Z99" s="62">
        <f>Z97+Z98</f>
        <v>0</v>
      </c>
      <c r="AA99" s="64">
        <f>SUM(G99:Z99)</f>
        <v>115040551.7157896</v>
      </c>
      <c r="AB99" s="58" t="str">
        <f>IF(ABS(F99-AA99)&lt;0.01,"ok","err")</f>
        <v>ok</v>
      </c>
    </row>
    <row r="100" spans="1:28">
      <c r="F100" s="79"/>
    </row>
    <row r="101" spans="1:28" ht="15">
      <c r="A101" s="65" t="s">
        <v>354</v>
      </c>
      <c r="F101" s="79"/>
    </row>
    <row r="102" spans="1:28">
      <c r="A102" s="68" t="s">
        <v>1093</v>
      </c>
      <c r="C102" s="60" t="s">
        <v>973</v>
      </c>
      <c r="D102" s="60" t="s">
        <v>416</v>
      </c>
      <c r="E102" s="60" t="s">
        <v>1095</v>
      </c>
      <c r="F102" s="76">
        <f>VLOOKUP(C102,'Functional Assignment'!$C$2:$AP$780,'Functional Assignment'!$Z$2,)</f>
        <v>23511840.458948858</v>
      </c>
      <c r="G102" s="76">
        <f t="shared" ref="G102:Z102" si="47">IF(VLOOKUP($E102,$D$6:$AN$1131,3,)=0,0,(VLOOKUP($E102,$D$6:$AN$1131,G$2,)/VLOOKUP($E102,$D$6:$AN$1131,3,))*$F102)</f>
        <v>18071586.18610616</v>
      </c>
      <c r="H102" s="76">
        <f t="shared" si="47"/>
        <v>4548044.690810781</v>
      </c>
      <c r="I102" s="76">
        <f t="shared" si="47"/>
        <v>0</v>
      </c>
      <c r="J102" s="76">
        <f t="shared" si="47"/>
        <v>0</v>
      </c>
      <c r="K102" s="76">
        <f t="shared" si="47"/>
        <v>793435.5371576969</v>
      </c>
      <c r="L102" s="76">
        <f t="shared" si="47"/>
        <v>0</v>
      </c>
      <c r="M102" s="76">
        <f t="shared" si="47"/>
        <v>0</v>
      </c>
      <c r="N102" s="76">
        <f t="shared" si="47"/>
        <v>0</v>
      </c>
      <c r="O102" s="76">
        <f t="shared" si="47"/>
        <v>98774.044874214756</v>
      </c>
      <c r="P102" s="76">
        <f t="shared" si="47"/>
        <v>0</v>
      </c>
      <c r="Q102" s="76">
        <f t="shared" si="47"/>
        <v>0</v>
      </c>
      <c r="R102" s="76">
        <f t="shared" si="47"/>
        <v>0</v>
      </c>
      <c r="S102" s="76">
        <f t="shared" si="47"/>
        <v>0</v>
      </c>
      <c r="T102" s="76">
        <f t="shared" si="47"/>
        <v>0</v>
      </c>
      <c r="U102" s="76">
        <f t="shared" si="47"/>
        <v>0</v>
      </c>
      <c r="V102" s="76">
        <f t="shared" si="47"/>
        <v>0</v>
      </c>
      <c r="W102" s="76">
        <f t="shared" si="47"/>
        <v>0</v>
      </c>
      <c r="X102" s="62">
        <f t="shared" si="47"/>
        <v>0</v>
      </c>
      <c r="Y102" s="62">
        <f t="shared" si="47"/>
        <v>0</v>
      </c>
      <c r="Z102" s="62">
        <f t="shared" si="47"/>
        <v>0</v>
      </c>
      <c r="AA102" s="64">
        <f>SUM(G102:Z102)</f>
        <v>23511840.458948851</v>
      </c>
      <c r="AB102" s="58" t="str">
        <f>IF(ABS(F102-AA102)&lt;0.01,"ok","err")</f>
        <v>ok</v>
      </c>
    </row>
    <row r="103" spans="1:28">
      <c r="F103" s="79"/>
    </row>
    <row r="104" spans="1:28" ht="15">
      <c r="A104" s="65" t="s">
        <v>353</v>
      </c>
      <c r="F104" s="79"/>
    </row>
    <row r="105" spans="1:28">
      <c r="A105" s="68" t="s">
        <v>1093</v>
      </c>
      <c r="C105" s="60" t="s">
        <v>973</v>
      </c>
      <c r="D105" s="60" t="s">
        <v>417</v>
      </c>
      <c r="E105" s="60" t="s">
        <v>1096</v>
      </c>
      <c r="F105" s="76">
        <f>VLOOKUP(C105,'Functional Assignment'!$C$2:$AP$780,'Functional Assignment'!$AA$2,)</f>
        <v>27273078.201274503</v>
      </c>
      <c r="G105" s="76">
        <f t="shared" ref="G105:Z105" si="48">IF(VLOOKUP($E105,$D$6:$AN$1131,3,)=0,0,(VLOOKUP($E105,$D$6:$AN$1131,G$2,)/VLOOKUP($E105,$D$6:$AN$1131,3,))*$F105)</f>
        <v>19088971.864480749</v>
      </c>
      <c r="H105" s="76">
        <f t="shared" si="48"/>
        <v>5612267.2989718588</v>
      </c>
      <c r="I105" s="76">
        <f t="shared" si="48"/>
        <v>0</v>
      </c>
      <c r="J105" s="76">
        <f t="shared" si="48"/>
        <v>218476.42451815779</v>
      </c>
      <c r="K105" s="76">
        <f t="shared" si="48"/>
        <v>1509753.407841929</v>
      </c>
      <c r="L105" s="76">
        <f t="shared" si="48"/>
        <v>0</v>
      </c>
      <c r="M105" s="76">
        <f t="shared" si="48"/>
        <v>0</v>
      </c>
      <c r="N105" s="76">
        <f t="shared" si="48"/>
        <v>342113.33931457996</v>
      </c>
      <c r="O105" s="76">
        <f t="shared" si="48"/>
        <v>159051.42231487724</v>
      </c>
      <c r="P105" s="76">
        <f t="shared" si="48"/>
        <v>279862.52014456905</v>
      </c>
      <c r="Q105" s="76">
        <f t="shared" si="48"/>
        <v>3242.7804674367767</v>
      </c>
      <c r="R105" s="76">
        <f t="shared" si="48"/>
        <v>3242.7804674367767</v>
      </c>
      <c r="S105" s="76">
        <f t="shared" si="48"/>
        <v>0</v>
      </c>
      <c r="T105" s="76">
        <f t="shared" si="48"/>
        <v>8650.3736955427466</v>
      </c>
      <c r="U105" s="76">
        <f t="shared" si="48"/>
        <v>47445.989057370825</v>
      </c>
      <c r="V105" s="76">
        <f t="shared" si="48"/>
        <v>0</v>
      </c>
      <c r="W105" s="76">
        <f t="shared" si="48"/>
        <v>0</v>
      </c>
      <c r="X105" s="62">
        <f t="shared" si="48"/>
        <v>0</v>
      </c>
      <c r="Y105" s="62">
        <f t="shared" si="48"/>
        <v>0</v>
      </c>
      <c r="Z105" s="62">
        <f t="shared" si="48"/>
        <v>0</v>
      </c>
      <c r="AA105" s="64">
        <f>SUM(G105:Z105)</f>
        <v>27273078.201274503</v>
      </c>
      <c r="AB105" s="58" t="str">
        <f>IF(ABS(F105-AA105)&lt;0.01,"ok","err")</f>
        <v>ok</v>
      </c>
    </row>
    <row r="106" spans="1:28">
      <c r="F106" s="79"/>
    </row>
    <row r="107" spans="1:28" ht="15">
      <c r="A107" s="65" t="s">
        <v>371</v>
      </c>
      <c r="F107" s="79"/>
    </row>
    <row r="108" spans="1:28">
      <c r="A108" s="68" t="s">
        <v>1093</v>
      </c>
      <c r="C108" s="60" t="s">
        <v>973</v>
      </c>
      <c r="D108" s="60" t="s">
        <v>418</v>
      </c>
      <c r="E108" s="60" t="s">
        <v>1097</v>
      </c>
      <c r="F108" s="76">
        <f>VLOOKUP(C108,'Functional Assignment'!$C$2:$AP$780,'Functional Assignment'!$AB$2,)</f>
        <v>74730249.051996008</v>
      </c>
      <c r="G108" s="76">
        <f t="shared" ref="G108:Z108" si="49">IF(VLOOKUP($E108,$D$6:$AN$1131,3,)=0,0,(VLOOKUP($E108,$D$6:$AN$1131,G$2,)/VLOOKUP($E108,$D$6:$AN$1131,3,))*$F108)</f>
        <v>0</v>
      </c>
      <c r="H108" s="76">
        <f t="shared" si="49"/>
        <v>0</v>
      </c>
      <c r="I108" s="76">
        <f t="shared" si="49"/>
        <v>0</v>
      </c>
      <c r="J108" s="76">
        <f t="shared" si="49"/>
        <v>0</v>
      </c>
      <c r="K108" s="76">
        <f t="shared" si="49"/>
        <v>0</v>
      </c>
      <c r="L108" s="76">
        <f t="shared" si="49"/>
        <v>0</v>
      </c>
      <c r="M108" s="76">
        <f t="shared" si="49"/>
        <v>0</v>
      </c>
      <c r="N108" s="76">
        <f t="shared" si="49"/>
        <v>0</v>
      </c>
      <c r="O108" s="76">
        <f t="shared" si="49"/>
        <v>0</v>
      </c>
      <c r="P108" s="76">
        <f t="shared" si="49"/>
        <v>0</v>
      </c>
      <c r="Q108" s="76">
        <f t="shared" si="49"/>
        <v>0</v>
      </c>
      <c r="R108" s="76">
        <f t="shared" si="49"/>
        <v>0</v>
      </c>
      <c r="S108" s="76">
        <f t="shared" si="49"/>
        <v>74730249.051996008</v>
      </c>
      <c r="T108" s="76">
        <f t="shared" si="49"/>
        <v>0</v>
      </c>
      <c r="U108" s="76">
        <f t="shared" si="49"/>
        <v>0</v>
      </c>
      <c r="V108" s="76">
        <f t="shared" si="49"/>
        <v>0</v>
      </c>
      <c r="W108" s="76">
        <f t="shared" si="49"/>
        <v>0</v>
      </c>
      <c r="X108" s="62">
        <f t="shared" si="49"/>
        <v>0</v>
      </c>
      <c r="Y108" s="62">
        <f t="shared" si="49"/>
        <v>0</v>
      </c>
      <c r="Z108" s="62">
        <f t="shared" si="49"/>
        <v>0</v>
      </c>
      <c r="AA108" s="64">
        <f>SUM(G108:Z108)</f>
        <v>74730249.051996008</v>
      </c>
      <c r="AB108" s="58" t="str">
        <f>IF(ABS(F108-AA108)&lt;0.01,"ok","err")</f>
        <v>ok</v>
      </c>
    </row>
    <row r="109" spans="1:28">
      <c r="F109" s="79"/>
    </row>
    <row r="110" spans="1:28" ht="15">
      <c r="A110" s="65" t="s">
        <v>1025</v>
      </c>
      <c r="F110" s="79"/>
    </row>
    <row r="111" spans="1:28">
      <c r="A111" s="68" t="s">
        <v>1093</v>
      </c>
      <c r="C111" s="60" t="s">
        <v>973</v>
      </c>
      <c r="D111" s="60" t="s">
        <v>419</v>
      </c>
      <c r="E111" s="60" t="s">
        <v>1098</v>
      </c>
      <c r="F111" s="76">
        <f>VLOOKUP(C111,'Functional Assignment'!$C$2:$AP$780,'Functional Assignment'!$AC$2,)</f>
        <v>0</v>
      </c>
      <c r="G111" s="76">
        <f t="shared" ref="G111:Z111" si="50">IF(VLOOKUP($E111,$D$6:$AN$1131,3,)=0,0,(VLOOKUP($E111,$D$6:$AN$1131,G$2,)/VLOOKUP($E111,$D$6:$AN$1131,3,))*$F111)</f>
        <v>0</v>
      </c>
      <c r="H111" s="76">
        <f t="shared" si="50"/>
        <v>0</v>
      </c>
      <c r="I111" s="76">
        <f t="shared" si="50"/>
        <v>0</v>
      </c>
      <c r="J111" s="76">
        <f t="shared" si="50"/>
        <v>0</v>
      </c>
      <c r="K111" s="76">
        <f t="shared" si="50"/>
        <v>0</v>
      </c>
      <c r="L111" s="76">
        <f t="shared" si="50"/>
        <v>0</v>
      </c>
      <c r="M111" s="76">
        <f t="shared" si="50"/>
        <v>0</v>
      </c>
      <c r="N111" s="76">
        <f t="shared" si="50"/>
        <v>0</v>
      </c>
      <c r="O111" s="76">
        <f t="shared" si="50"/>
        <v>0</v>
      </c>
      <c r="P111" s="76">
        <f t="shared" si="50"/>
        <v>0</v>
      </c>
      <c r="Q111" s="76">
        <f t="shared" si="50"/>
        <v>0</v>
      </c>
      <c r="R111" s="76">
        <f t="shared" si="50"/>
        <v>0</v>
      </c>
      <c r="S111" s="76">
        <f t="shared" si="50"/>
        <v>0</v>
      </c>
      <c r="T111" s="76">
        <f t="shared" si="50"/>
        <v>0</v>
      </c>
      <c r="U111" s="76">
        <f t="shared" si="50"/>
        <v>0</v>
      </c>
      <c r="V111" s="76">
        <f t="shared" si="50"/>
        <v>0</v>
      </c>
      <c r="W111" s="76">
        <f t="shared" si="50"/>
        <v>0</v>
      </c>
      <c r="X111" s="62">
        <f t="shared" si="50"/>
        <v>0</v>
      </c>
      <c r="Y111" s="62">
        <f t="shared" si="50"/>
        <v>0</v>
      </c>
      <c r="Z111" s="62">
        <f t="shared" si="50"/>
        <v>0</v>
      </c>
      <c r="AA111" s="64">
        <f>SUM(G111:Z111)</f>
        <v>0</v>
      </c>
      <c r="AB111" s="58" t="str">
        <f>IF(ABS(F111-AA111)&lt;0.01,"ok","err")</f>
        <v>ok</v>
      </c>
    </row>
    <row r="112" spans="1:28">
      <c r="F112" s="79"/>
    </row>
    <row r="113" spans="1:28" ht="15">
      <c r="A113" s="65" t="s">
        <v>351</v>
      </c>
      <c r="F113" s="79"/>
    </row>
    <row r="114" spans="1:28">
      <c r="A114" s="68" t="s">
        <v>1093</v>
      </c>
      <c r="C114" s="60" t="s">
        <v>973</v>
      </c>
      <c r="D114" s="60" t="s">
        <v>420</v>
      </c>
      <c r="E114" s="60" t="s">
        <v>1099</v>
      </c>
      <c r="F114" s="76">
        <f>VLOOKUP(C114,'Functional Assignment'!$C$2:$AP$780,'Functional Assignment'!$AD$2,)</f>
        <v>0</v>
      </c>
      <c r="G114" s="76">
        <f t="shared" ref="G114:Z114" si="51">IF(VLOOKUP($E114,$D$6:$AN$1131,3,)=0,0,(VLOOKUP($E114,$D$6:$AN$1131,G$2,)/VLOOKUP($E114,$D$6:$AN$1131,3,))*$F114)</f>
        <v>0</v>
      </c>
      <c r="H114" s="76">
        <f t="shared" si="51"/>
        <v>0</v>
      </c>
      <c r="I114" s="76">
        <f t="shared" si="51"/>
        <v>0</v>
      </c>
      <c r="J114" s="76">
        <f t="shared" si="51"/>
        <v>0</v>
      </c>
      <c r="K114" s="76">
        <f t="shared" si="51"/>
        <v>0</v>
      </c>
      <c r="L114" s="76">
        <f t="shared" si="51"/>
        <v>0</v>
      </c>
      <c r="M114" s="76">
        <f t="shared" si="51"/>
        <v>0</v>
      </c>
      <c r="N114" s="76">
        <f t="shared" si="51"/>
        <v>0</v>
      </c>
      <c r="O114" s="76">
        <f t="shared" si="51"/>
        <v>0</v>
      </c>
      <c r="P114" s="76">
        <f t="shared" si="51"/>
        <v>0</v>
      </c>
      <c r="Q114" s="76">
        <f t="shared" si="51"/>
        <v>0</v>
      </c>
      <c r="R114" s="76">
        <f t="shared" si="51"/>
        <v>0</v>
      </c>
      <c r="S114" s="76">
        <f t="shared" si="51"/>
        <v>0</v>
      </c>
      <c r="T114" s="76">
        <f t="shared" si="51"/>
        <v>0</v>
      </c>
      <c r="U114" s="76">
        <f t="shared" si="51"/>
        <v>0</v>
      </c>
      <c r="V114" s="76">
        <f t="shared" si="51"/>
        <v>0</v>
      </c>
      <c r="W114" s="76">
        <f t="shared" si="51"/>
        <v>0</v>
      </c>
      <c r="X114" s="62">
        <f t="shared" si="51"/>
        <v>0</v>
      </c>
      <c r="Y114" s="62">
        <f t="shared" si="51"/>
        <v>0</v>
      </c>
      <c r="Z114" s="62">
        <f t="shared" si="51"/>
        <v>0</v>
      </c>
      <c r="AA114" s="64">
        <f>SUM(G114:Z114)</f>
        <v>0</v>
      </c>
      <c r="AB114" s="58" t="str">
        <f>IF(ABS(F114-AA114)&lt;0.01,"ok","err")</f>
        <v>ok</v>
      </c>
    </row>
    <row r="115" spans="1:28">
      <c r="F115" s="79"/>
    </row>
    <row r="116" spans="1:28" ht="15">
      <c r="A116" s="65" t="s">
        <v>350</v>
      </c>
      <c r="F116" s="79"/>
    </row>
    <row r="117" spans="1:28">
      <c r="A117" s="68" t="s">
        <v>1093</v>
      </c>
      <c r="C117" s="60" t="s">
        <v>973</v>
      </c>
      <c r="D117" s="60" t="s">
        <v>421</v>
      </c>
      <c r="E117" s="60" t="s">
        <v>1099</v>
      </c>
      <c r="F117" s="76">
        <f>VLOOKUP(C117,'Functional Assignment'!$C$2:$AP$780,'Functional Assignment'!$AE$2,)</f>
        <v>0</v>
      </c>
      <c r="G117" s="76">
        <f t="shared" ref="G117:Z117" si="52">IF(VLOOKUP($E117,$D$6:$AN$1131,3,)=0,0,(VLOOKUP($E117,$D$6:$AN$1131,G$2,)/VLOOKUP($E117,$D$6:$AN$1131,3,))*$F117)</f>
        <v>0</v>
      </c>
      <c r="H117" s="76">
        <f t="shared" si="52"/>
        <v>0</v>
      </c>
      <c r="I117" s="76">
        <f t="shared" si="52"/>
        <v>0</v>
      </c>
      <c r="J117" s="76">
        <f t="shared" si="52"/>
        <v>0</v>
      </c>
      <c r="K117" s="76">
        <f t="shared" si="52"/>
        <v>0</v>
      </c>
      <c r="L117" s="76">
        <f t="shared" si="52"/>
        <v>0</v>
      </c>
      <c r="M117" s="76">
        <f t="shared" si="52"/>
        <v>0</v>
      </c>
      <c r="N117" s="76">
        <f t="shared" si="52"/>
        <v>0</v>
      </c>
      <c r="O117" s="76">
        <f t="shared" si="52"/>
        <v>0</v>
      </c>
      <c r="P117" s="76">
        <f t="shared" si="52"/>
        <v>0</v>
      </c>
      <c r="Q117" s="76">
        <f t="shared" si="52"/>
        <v>0</v>
      </c>
      <c r="R117" s="76">
        <f t="shared" si="52"/>
        <v>0</v>
      </c>
      <c r="S117" s="76">
        <f t="shared" si="52"/>
        <v>0</v>
      </c>
      <c r="T117" s="76">
        <f t="shared" si="52"/>
        <v>0</v>
      </c>
      <c r="U117" s="76">
        <f t="shared" si="52"/>
        <v>0</v>
      </c>
      <c r="V117" s="76">
        <f t="shared" si="52"/>
        <v>0</v>
      </c>
      <c r="W117" s="76">
        <f t="shared" si="52"/>
        <v>0</v>
      </c>
      <c r="X117" s="62">
        <f t="shared" si="52"/>
        <v>0</v>
      </c>
      <c r="Y117" s="62">
        <f t="shared" si="52"/>
        <v>0</v>
      </c>
      <c r="Z117" s="62">
        <f t="shared" si="52"/>
        <v>0</v>
      </c>
      <c r="AA117" s="64">
        <f>SUM(G117:Z117)</f>
        <v>0</v>
      </c>
      <c r="AB117" s="58" t="str">
        <f>IF(ABS(F117-AA117)&lt;0.01,"ok","err")</f>
        <v>ok</v>
      </c>
    </row>
    <row r="118" spans="1:28">
      <c r="F118" s="79"/>
    </row>
    <row r="119" spans="1:28">
      <c r="A119" s="60" t="s">
        <v>922</v>
      </c>
      <c r="D119" s="60" t="s">
        <v>422</v>
      </c>
      <c r="F119" s="76">
        <f>F74+F80+F83+F86+F94+F99+F102+F105+F108+F111+F114+F117</f>
        <v>2771115516.706924</v>
      </c>
      <c r="G119" s="76">
        <f t="shared" ref="G119:Y119" si="53">G74+G80+G83+G86+G94+G99+G102+G105+G108+G111+G114+G117</f>
        <v>1351398392.5495989</v>
      </c>
      <c r="H119" s="76">
        <f t="shared" si="53"/>
        <v>351506506.88510472</v>
      </c>
      <c r="I119" s="76">
        <f t="shared" si="53"/>
        <v>0</v>
      </c>
      <c r="J119" s="76">
        <f t="shared" si="53"/>
        <v>25912917.683786359</v>
      </c>
      <c r="K119" s="76">
        <f t="shared" si="53"/>
        <v>334064081.10696906</v>
      </c>
      <c r="L119" s="76">
        <f t="shared" si="53"/>
        <v>0</v>
      </c>
      <c r="M119" s="76">
        <f t="shared" si="53"/>
        <v>0</v>
      </c>
      <c r="N119" s="76">
        <f t="shared" si="53"/>
        <v>277400611.14668536</v>
      </c>
      <c r="O119" s="76">
        <f>O74+O80+O83+O86+O94+O99+O102+O105+O108+O111+O114+O117</f>
        <v>165934536.93420434</v>
      </c>
      <c r="P119" s="76">
        <f t="shared" si="53"/>
        <v>144461867.12438548</v>
      </c>
      <c r="Q119" s="76">
        <f t="shared" si="53"/>
        <v>17445497.69890435</v>
      </c>
      <c r="R119" s="76">
        <f t="shared" si="53"/>
        <v>8098208.3839138029</v>
      </c>
      <c r="S119" s="76">
        <f t="shared" si="53"/>
        <v>93998877.154486805</v>
      </c>
      <c r="T119" s="76">
        <f t="shared" si="53"/>
        <v>350326.35783279716</v>
      </c>
      <c r="U119" s="76">
        <f t="shared" si="53"/>
        <v>543693.68105185649</v>
      </c>
      <c r="V119" s="76">
        <f t="shared" si="53"/>
        <v>0</v>
      </c>
      <c r="W119" s="76">
        <f t="shared" si="53"/>
        <v>0</v>
      </c>
      <c r="X119" s="62">
        <f t="shared" si="53"/>
        <v>0</v>
      </c>
      <c r="Y119" s="62">
        <f t="shared" si="53"/>
        <v>0</v>
      </c>
      <c r="Z119" s="62">
        <f>Z74+Z80+Z83+Z86+Z94+Z99+Z102+Z105+Z108+Z111+Z114+Z117</f>
        <v>0</v>
      </c>
      <c r="AA119" s="64">
        <f>SUM(G119:Z119)</f>
        <v>2771115516.706924</v>
      </c>
      <c r="AB119" s="58" t="str">
        <f>IF(ABS(F119-AA119)&lt;0.01,"ok","err")</f>
        <v>ok</v>
      </c>
    </row>
    <row r="122" spans="1:28" ht="15">
      <c r="A122" s="65" t="s">
        <v>1102</v>
      </c>
    </row>
    <row r="124" spans="1:28" ht="15">
      <c r="A124" s="65" t="s">
        <v>364</v>
      </c>
    </row>
    <row r="125" spans="1:28">
      <c r="A125" s="68" t="s">
        <v>359</v>
      </c>
      <c r="C125" s="60" t="s">
        <v>984</v>
      </c>
      <c r="D125" s="60" t="s">
        <v>423</v>
      </c>
      <c r="E125" s="60" t="s">
        <v>869</v>
      </c>
      <c r="F125" s="76">
        <f>VLOOKUP(C125,'Functional Assignment'!$C$2:$AP$780,'Functional Assignment'!$H$2,)</f>
        <v>449333292.60367596</v>
      </c>
      <c r="G125" s="76">
        <f t="shared" ref="G125:P130" si="54">IF(VLOOKUP($E125,$D$6:$AN$1131,3,)=0,0,(VLOOKUP($E125,$D$6:$AN$1131,G$2,)/VLOOKUP($E125,$D$6:$AN$1131,3,))*$F125)</f>
        <v>162558914.63374218</v>
      </c>
      <c r="H125" s="76">
        <f t="shared" si="54"/>
        <v>52825828.163435958</v>
      </c>
      <c r="I125" s="76">
        <f t="shared" si="54"/>
        <v>0</v>
      </c>
      <c r="J125" s="76">
        <f t="shared" si="54"/>
        <v>6291645.9528346807</v>
      </c>
      <c r="K125" s="76">
        <f t="shared" si="54"/>
        <v>72896877.997088134</v>
      </c>
      <c r="L125" s="76">
        <f t="shared" si="54"/>
        <v>0</v>
      </c>
      <c r="M125" s="76">
        <f t="shared" si="54"/>
        <v>0</v>
      </c>
      <c r="N125" s="76">
        <f t="shared" si="54"/>
        <v>70365726.250738233</v>
      </c>
      <c r="O125" s="76">
        <f t="shared" si="54"/>
        <v>30947802.351242889</v>
      </c>
      <c r="P125" s="76">
        <f t="shared" si="54"/>
        <v>42847338.092581928</v>
      </c>
      <c r="Q125" s="76">
        <f t="shared" ref="Q125:Z130" si="55">IF(VLOOKUP($E125,$D$6:$AN$1131,3,)=0,0,(VLOOKUP($E125,$D$6:$AN$1131,Q$2,)/VLOOKUP($E125,$D$6:$AN$1131,3,))*$F125)</f>
        <v>4182116.1783993747</v>
      </c>
      <c r="R125" s="76">
        <f t="shared" si="55"/>
        <v>2209397.1197500401</v>
      </c>
      <c r="S125" s="76">
        <f t="shared" si="55"/>
        <v>3957744.0461052242</v>
      </c>
      <c r="T125" s="76">
        <f t="shared" si="55"/>
        <v>129007.58005624324</v>
      </c>
      <c r="U125" s="76">
        <f t="shared" si="55"/>
        <v>120894.23770119394</v>
      </c>
      <c r="V125" s="76">
        <f t="shared" si="55"/>
        <v>0</v>
      </c>
      <c r="W125" s="76">
        <f t="shared" si="55"/>
        <v>0</v>
      </c>
      <c r="X125" s="62">
        <f t="shared" si="55"/>
        <v>0</v>
      </c>
      <c r="Y125" s="62">
        <f t="shared" si="55"/>
        <v>0</v>
      </c>
      <c r="Z125" s="62">
        <f t="shared" si="55"/>
        <v>0</v>
      </c>
      <c r="AA125" s="64">
        <f t="shared" ref="AA125:AA131" si="56">SUM(G125:Z125)</f>
        <v>449333292.60367608</v>
      </c>
      <c r="AB125" s="58" t="str">
        <f t="shared" ref="AB125:AB131" si="57">IF(ABS(F125-AA125)&lt;0.01,"ok","err")</f>
        <v>ok</v>
      </c>
    </row>
    <row r="126" spans="1:28">
      <c r="A126" s="68" t="s">
        <v>1255</v>
      </c>
      <c r="C126" s="60" t="s">
        <v>984</v>
      </c>
      <c r="D126" s="60" t="s">
        <v>424</v>
      </c>
      <c r="E126" s="60" t="s">
        <v>188</v>
      </c>
      <c r="F126" s="79">
        <f>VLOOKUP(C126,'Functional Assignment'!$C$2:$AP$780,'Functional Assignment'!$I$2,)</f>
        <v>470705064.24876517</v>
      </c>
      <c r="G126" s="79">
        <f t="shared" si="54"/>
        <v>201140833.22202641</v>
      </c>
      <c r="H126" s="79">
        <f t="shared" si="54"/>
        <v>65817796.207946278</v>
      </c>
      <c r="I126" s="79">
        <f t="shared" si="54"/>
        <v>0</v>
      </c>
      <c r="J126" s="79">
        <f t="shared" si="54"/>
        <v>5118261.5845644334</v>
      </c>
      <c r="K126" s="79">
        <f t="shared" si="54"/>
        <v>68872057.688005909</v>
      </c>
      <c r="L126" s="79">
        <f t="shared" si="54"/>
        <v>0</v>
      </c>
      <c r="M126" s="79">
        <f t="shared" si="54"/>
        <v>0</v>
      </c>
      <c r="N126" s="79">
        <f t="shared" si="54"/>
        <v>54845919.902049892</v>
      </c>
      <c r="O126" s="79">
        <f t="shared" si="54"/>
        <v>36780446.947560377</v>
      </c>
      <c r="P126" s="79">
        <f t="shared" si="54"/>
        <v>32805171.648200303</v>
      </c>
      <c r="Q126" s="79">
        <f t="shared" si="55"/>
        <v>3787565.1219518511</v>
      </c>
      <c r="R126" s="79">
        <f t="shared" si="55"/>
        <v>1439668.2177330558</v>
      </c>
      <c r="S126" s="79">
        <f t="shared" si="55"/>
        <v>0</v>
      </c>
      <c r="T126" s="79">
        <f t="shared" si="55"/>
        <v>0</v>
      </c>
      <c r="U126" s="79">
        <f t="shared" si="55"/>
        <v>97343.708726671903</v>
      </c>
      <c r="V126" s="79">
        <f t="shared" si="55"/>
        <v>0</v>
      </c>
      <c r="W126" s="79">
        <f t="shared" si="55"/>
        <v>0</v>
      </c>
      <c r="X126" s="63">
        <f t="shared" si="55"/>
        <v>0</v>
      </c>
      <c r="Y126" s="63">
        <f t="shared" si="55"/>
        <v>0</v>
      </c>
      <c r="Z126" s="63">
        <f t="shared" si="55"/>
        <v>0</v>
      </c>
      <c r="AA126" s="63">
        <f t="shared" si="56"/>
        <v>470705064.24876523</v>
      </c>
      <c r="AB126" s="58" t="str">
        <f t="shared" si="57"/>
        <v>ok</v>
      </c>
    </row>
    <row r="127" spans="1:28">
      <c r="A127" s="68" t="s">
        <v>1256</v>
      </c>
      <c r="C127" s="60" t="s">
        <v>984</v>
      </c>
      <c r="D127" s="60" t="s">
        <v>425</v>
      </c>
      <c r="E127" s="60" t="s">
        <v>191</v>
      </c>
      <c r="F127" s="79">
        <f>VLOOKUP(C127,'Functional Assignment'!$C$2:$AP$780,'Functional Assignment'!$J$2,)</f>
        <v>386917975.58529532</v>
      </c>
      <c r="G127" s="79">
        <f t="shared" si="54"/>
        <v>151304279.48362252</v>
      </c>
      <c r="H127" s="79">
        <f t="shared" si="54"/>
        <v>54677618.993795447</v>
      </c>
      <c r="I127" s="79">
        <f t="shared" si="54"/>
        <v>0</v>
      </c>
      <c r="J127" s="79">
        <f t="shared" si="54"/>
        <v>4509362.4742145138</v>
      </c>
      <c r="K127" s="79">
        <f t="shared" si="54"/>
        <v>63650738.745182656</v>
      </c>
      <c r="L127" s="79">
        <f t="shared" si="54"/>
        <v>0</v>
      </c>
      <c r="M127" s="79">
        <f t="shared" si="54"/>
        <v>0</v>
      </c>
      <c r="N127" s="79">
        <f t="shared" si="54"/>
        <v>48140699.29709179</v>
      </c>
      <c r="O127" s="79">
        <f t="shared" si="54"/>
        <v>32515181.044376381</v>
      </c>
      <c r="P127" s="79">
        <f t="shared" si="54"/>
        <v>27842244.353016656</v>
      </c>
      <c r="Q127" s="79">
        <f t="shared" si="55"/>
        <v>3006318.3076121542</v>
      </c>
      <c r="R127" s="79">
        <f t="shared" si="55"/>
        <v>1216977.0695628426</v>
      </c>
      <c r="S127" s="79">
        <f t="shared" si="55"/>
        <v>0</v>
      </c>
      <c r="T127" s="79">
        <f t="shared" si="55"/>
        <v>0</v>
      </c>
      <c r="U127" s="79">
        <f t="shared" si="55"/>
        <v>54555.816820324573</v>
      </c>
      <c r="V127" s="79">
        <f t="shared" si="55"/>
        <v>0</v>
      </c>
      <c r="W127" s="79">
        <f t="shared" si="55"/>
        <v>0</v>
      </c>
      <c r="X127" s="63">
        <f t="shared" si="55"/>
        <v>0</v>
      </c>
      <c r="Y127" s="63">
        <f t="shared" si="55"/>
        <v>0</v>
      </c>
      <c r="Z127" s="63">
        <f t="shared" si="55"/>
        <v>0</v>
      </c>
      <c r="AA127" s="63">
        <f t="shared" si="56"/>
        <v>386917975.58529532</v>
      </c>
      <c r="AB127" s="58" t="str">
        <f t="shared" si="57"/>
        <v>ok</v>
      </c>
    </row>
    <row r="128" spans="1:28">
      <c r="A128" s="68" t="s">
        <v>1257</v>
      </c>
      <c r="C128" s="60" t="s">
        <v>984</v>
      </c>
      <c r="D128" s="60" t="s">
        <v>426</v>
      </c>
      <c r="E128" s="60" t="s">
        <v>1091</v>
      </c>
      <c r="F128" s="79">
        <f>VLOOKUP(C128,'Functional Assignment'!$C$2:$AP$780,'Functional Assignment'!$K$2,)</f>
        <v>51365920.441896409</v>
      </c>
      <c r="G128" s="79">
        <f t="shared" si="54"/>
        <v>18583061.593407668</v>
      </c>
      <c r="H128" s="79">
        <f t="shared" si="54"/>
        <v>6038829.7358286763</v>
      </c>
      <c r="I128" s="79">
        <f t="shared" si="54"/>
        <v>0</v>
      </c>
      <c r="J128" s="79">
        <f t="shared" si="54"/>
        <v>719234.73728128499</v>
      </c>
      <c r="K128" s="79">
        <f t="shared" si="54"/>
        <v>8333269.1657637507</v>
      </c>
      <c r="L128" s="79">
        <f t="shared" si="54"/>
        <v>0</v>
      </c>
      <c r="M128" s="79">
        <f t="shared" si="54"/>
        <v>0</v>
      </c>
      <c r="N128" s="79">
        <f t="shared" si="54"/>
        <v>8043918.1569502605</v>
      </c>
      <c r="O128" s="79">
        <f t="shared" si="54"/>
        <v>3537824.6983978343</v>
      </c>
      <c r="P128" s="79">
        <f t="shared" si="54"/>
        <v>4898130.2292325012</v>
      </c>
      <c r="Q128" s="79">
        <f t="shared" si="55"/>
        <v>478082.36359861575</v>
      </c>
      <c r="R128" s="79">
        <f t="shared" si="55"/>
        <v>252569.1301528106</v>
      </c>
      <c r="S128" s="79">
        <f t="shared" si="55"/>
        <v>452432.72869681998</v>
      </c>
      <c r="T128" s="79">
        <f t="shared" si="55"/>
        <v>14747.764428638089</v>
      </c>
      <c r="U128" s="79">
        <f t="shared" si="55"/>
        <v>13820.13815754413</v>
      </c>
      <c r="V128" s="79">
        <f t="shared" si="55"/>
        <v>0</v>
      </c>
      <c r="W128" s="79">
        <f t="shared" si="55"/>
        <v>0</v>
      </c>
      <c r="X128" s="63">
        <f t="shared" si="55"/>
        <v>0</v>
      </c>
      <c r="Y128" s="63">
        <f t="shared" si="55"/>
        <v>0</v>
      </c>
      <c r="Z128" s="63">
        <f t="shared" si="55"/>
        <v>0</v>
      </c>
      <c r="AA128" s="63">
        <f t="shared" si="56"/>
        <v>51365920.441896409</v>
      </c>
      <c r="AB128" s="58" t="str">
        <f t="shared" si="57"/>
        <v>ok</v>
      </c>
    </row>
    <row r="129" spans="1:28" hidden="1">
      <c r="A129" s="68" t="s">
        <v>1258</v>
      </c>
      <c r="C129" s="60" t="s">
        <v>984</v>
      </c>
      <c r="D129" s="60" t="s">
        <v>427</v>
      </c>
      <c r="E129" s="60" t="s">
        <v>1091</v>
      </c>
      <c r="F129" s="79">
        <f>VLOOKUP(C129,'Functional Assignment'!$C$2:$AP$780,'Functional Assignment'!$L$2,)</f>
        <v>0</v>
      </c>
      <c r="G129" s="79">
        <f t="shared" si="54"/>
        <v>0</v>
      </c>
      <c r="H129" s="79">
        <f t="shared" si="54"/>
        <v>0</v>
      </c>
      <c r="I129" s="79">
        <f t="shared" si="54"/>
        <v>0</v>
      </c>
      <c r="J129" s="79">
        <f t="shared" si="54"/>
        <v>0</v>
      </c>
      <c r="K129" s="79">
        <f t="shared" si="54"/>
        <v>0</v>
      </c>
      <c r="L129" s="79">
        <f t="shared" si="54"/>
        <v>0</v>
      </c>
      <c r="M129" s="79">
        <f t="shared" si="54"/>
        <v>0</v>
      </c>
      <c r="N129" s="79">
        <f t="shared" si="54"/>
        <v>0</v>
      </c>
      <c r="O129" s="79">
        <f t="shared" si="54"/>
        <v>0</v>
      </c>
      <c r="P129" s="79">
        <f t="shared" si="54"/>
        <v>0</v>
      </c>
      <c r="Q129" s="79">
        <f t="shared" si="55"/>
        <v>0</v>
      </c>
      <c r="R129" s="79">
        <f t="shared" si="55"/>
        <v>0</v>
      </c>
      <c r="S129" s="79">
        <f t="shared" si="55"/>
        <v>0</v>
      </c>
      <c r="T129" s="79">
        <f t="shared" si="55"/>
        <v>0</v>
      </c>
      <c r="U129" s="79">
        <f t="shared" si="55"/>
        <v>0</v>
      </c>
      <c r="V129" s="79">
        <f t="shared" si="55"/>
        <v>0</v>
      </c>
      <c r="W129" s="79">
        <f t="shared" si="55"/>
        <v>0</v>
      </c>
      <c r="X129" s="63">
        <f t="shared" si="55"/>
        <v>0</v>
      </c>
      <c r="Y129" s="63">
        <f t="shared" si="55"/>
        <v>0</v>
      </c>
      <c r="Z129" s="63">
        <f t="shared" si="55"/>
        <v>0</v>
      </c>
      <c r="AA129" s="63">
        <f t="shared" si="56"/>
        <v>0</v>
      </c>
      <c r="AB129" s="58" t="str">
        <f t="shared" si="57"/>
        <v>ok</v>
      </c>
    </row>
    <row r="130" spans="1:28" hidden="1">
      <c r="A130" s="68" t="s">
        <v>1258</v>
      </c>
      <c r="C130" s="60" t="s">
        <v>984</v>
      </c>
      <c r="D130" s="60" t="s">
        <v>428</v>
      </c>
      <c r="E130" s="60" t="s">
        <v>1091</v>
      </c>
      <c r="F130" s="79">
        <f>VLOOKUP(C130,'Functional Assignment'!$C$2:$AP$780,'Functional Assignment'!$M$2,)</f>
        <v>0</v>
      </c>
      <c r="G130" s="79">
        <f t="shared" si="54"/>
        <v>0</v>
      </c>
      <c r="H130" s="79">
        <f t="shared" si="54"/>
        <v>0</v>
      </c>
      <c r="I130" s="79">
        <f t="shared" si="54"/>
        <v>0</v>
      </c>
      <c r="J130" s="79">
        <f t="shared" si="54"/>
        <v>0</v>
      </c>
      <c r="K130" s="79">
        <f t="shared" si="54"/>
        <v>0</v>
      </c>
      <c r="L130" s="79">
        <f t="shared" si="54"/>
        <v>0</v>
      </c>
      <c r="M130" s="79">
        <f t="shared" si="54"/>
        <v>0</v>
      </c>
      <c r="N130" s="79">
        <f t="shared" si="54"/>
        <v>0</v>
      </c>
      <c r="O130" s="79">
        <f t="shared" si="54"/>
        <v>0</v>
      </c>
      <c r="P130" s="79">
        <f t="shared" si="54"/>
        <v>0</v>
      </c>
      <c r="Q130" s="79">
        <f t="shared" si="55"/>
        <v>0</v>
      </c>
      <c r="R130" s="79">
        <f t="shared" si="55"/>
        <v>0</v>
      </c>
      <c r="S130" s="79">
        <f t="shared" si="55"/>
        <v>0</v>
      </c>
      <c r="T130" s="79">
        <f t="shared" si="55"/>
        <v>0</v>
      </c>
      <c r="U130" s="79">
        <f t="shared" si="55"/>
        <v>0</v>
      </c>
      <c r="V130" s="79">
        <f t="shared" si="55"/>
        <v>0</v>
      </c>
      <c r="W130" s="79">
        <f t="shared" si="55"/>
        <v>0</v>
      </c>
      <c r="X130" s="63">
        <f t="shared" si="55"/>
        <v>0</v>
      </c>
      <c r="Y130" s="63">
        <f t="shared" si="55"/>
        <v>0</v>
      </c>
      <c r="Z130" s="63">
        <f t="shared" si="55"/>
        <v>0</v>
      </c>
      <c r="AA130" s="63">
        <f t="shared" si="56"/>
        <v>0</v>
      </c>
      <c r="AB130" s="58" t="str">
        <f t="shared" si="57"/>
        <v>ok</v>
      </c>
    </row>
    <row r="131" spans="1:28">
      <c r="A131" s="60" t="s">
        <v>387</v>
      </c>
      <c r="D131" s="60" t="s">
        <v>1103</v>
      </c>
      <c r="F131" s="76">
        <f>SUM(F125:F130)</f>
        <v>1358322252.8796329</v>
      </c>
      <c r="G131" s="76">
        <f t="shared" ref="G131:P131" si="58">SUM(G125:G130)</f>
        <v>533587088.9327988</v>
      </c>
      <c r="H131" s="76">
        <f t="shared" si="58"/>
        <v>179360073.10100636</v>
      </c>
      <c r="I131" s="76">
        <f t="shared" si="58"/>
        <v>0</v>
      </c>
      <c r="J131" s="76">
        <f t="shared" si="58"/>
        <v>16638504.748894911</v>
      </c>
      <c r="K131" s="76">
        <f t="shared" si="58"/>
        <v>213752943.59604049</v>
      </c>
      <c r="L131" s="76">
        <f t="shared" si="58"/>
        <v>0</v>
      </c>
      <c r="M131" s="76">
        <f t="shared" si="58"/>
        <v>0</v>
      </c>
      <c r="N131" s="76">
        <f t="shared" si="58"/>
        <v>181396263.60683018</v>
      </c>
      <c r="O131" s="76">
        <f>SUM(O125:O130)</f>
        <v>103781255.04157747</v>
      </c>
      <c r="P131" s="76">
        <f t="shared" si="58"/>
        <v>108392884.3230314</v>
      </c>
      <c r="Q131" s="76">
        <f t="shared" ref="Q131:W131" si="59">SUM(Q125:Q130)</f>
        <v>11454081.971561994</v>
      </c>
      <c r="R131" s="76">
        <f t="shared" si="59"/>
        <v>5118611.5371987484</v>
      </c>
      <c r="S131" s="76">
        <f t="shared" si="59"/>
        <v>4410176.774802044</v>
      </c>
      <c r="T131" s="76">
        <f t="shared" si="59"/>
        <v>143755.34448488132</v>
      </c>
      <c r="U131" s="76">
        <f t="shared" si="59"/>
        <v>286613.90140573453</v>
      </c>
      <c r="V131" s="76">
        <f t="shared" si="59"/>
        <v>0</v>
      </c>
      <c r="W131" s="76">
        <f t="shared" si="59"/>
        <v>0</v>
      </c>
      <c r="X131" s="62">
        <f>SUM(X125:X130)</f>
        <v>0</v>
      </c>
      <c r="Y131" s="62">
        <f>SUM(Y125:Y130)</f>
        <v>0</v>
      </c>
      <c r="Z131" s="62">
        <f>SUM(Z125:Z130)</f>
        <v>0</v>
      </c>
      <c r="AA131" s="64">
        <f t="shared" si="56"/>
        <v>1358322252.8796329</v>
      </c>
      <c r="AB131" s="58" t="str">
        <f t="shared" si="57"/>
        <v>ok</v>
      </c>
    </row>
    <row r="132" spans="1:28">
      <c r="F132" s="79"/>
      <c r="G132" s="79"/>
    </row>
    <row r="133" spans="1:28" ht="15">
      <c r="A133" s="65" t="s">
        <v>1131</v>
      </c>
      <c r="F133" s="79"/>
      <c r="G133" s="79"/>
    </row>
    <row r="134" spans="1:28">
      <c r="A134" s="68" t="s">
        <v>1363</v>
      </c>
      <c r="C134" s="60" t="s">
        <v>984</v>
      </c>
      <c r="D134" s="60" t="s">
        <v>429</v>
      </c>
      <c r="E134" s="60" t="s">
        <v>1367</v>
      </c>
      <c r="F134" s="76">
        <f>VLOOKUP(C134,'Functional Assignment'!$C$2:$AP$780,'Functional Assignment'!$N$2,)</f>
        <v>251904274.24505213</v>
      </c>
      <c r="G134" s="76">
        <f t="shared" ref="G134:P136" si="60">IF(VLOOKUP($E134,$D$6:$AN$1131,3,)=0,0,(VLOOKUP($E134,$D$6:$AN$1131,G$2,)/VLOOKUP($E134,$D$6:$AN$1131,3,))*$F134)</f>
        <v>111943212.22982559</v>
      </c>
      <c r="H134" s="76">
        <f t="shared" si="60"/>
        <v>32222542.034128826</v>
      </c>
      <c r="I134" s="76">
        <f t="shared" si="60"/>
        <v>0</v>
      </c>
      <c r="J134" s="76">
        <f t="shared" si="60"/>
        <v>2863001.0756241339</v>
      </c>
      <c r="K134" s="76">
        <f t="shared" si="60"/>
        <v>33229731.704195406</v>
      </c>
      <c r="L134" s="76">
        <f t="shared" si="60"/>
        <v>0</v>
      </c>
      <c r="M134" s="76">
        <f t="shared" si="60"/>
        <v>0</v>
      </c>
      <c r="N134" s="76">
        <f t="shared" si="60"/>
        <v>30228915.843000002</v>
      </c>
      <c r="O134" s="76">
        <f t="shared" si="60"/>
        <v>17948343.735034235</v>
      </c>
      <c r="P134" s="76">
        <f t="shared" si="60"/>
        <v>18591211.522047866</v>
      </c>
      <c r="Q134" s="76">
        <f t="shared" ref="Q134:Z136" si="61">IF(VLOOKUP($E134,$D$6:$AN$1131,3,)=0,0,(VLOOKUP($E134,$D$6:$AN$1131,Q$2,)/VLOOKUP($E134,$D$6:$AN$1131,3,))*$F134)</f>
        <v>1874075.977175229</v>
      </c>
      <c r="R134" s="76">
        <f t="shared" si="61"/>
        <v>980918.32907761366</v>
      </c>
      <c r="S134" s="76">
        <f t="shared" si="61"/>
        <v>1932365.9862226765</v>
      </c>
      <c r="T134" s="76">
        <f t="shared" si="61"/>
        <v>61802.642298603241</v>
      </c>
      <c r="U134" s="76">
        <f t="shared" si="61"/>
        <v>28153.166421993097</v>
      </c>
      <c r="V134" s="76">
        <f t="shared" si="61"/>
        <v>0</v>
      </c>
      <c r="W134" s="76">
        <f t="shared" si="61"/>
        <v>0</v>
      </c>
      <c r="X134" s="62">
        <f t="shared" si="61"/>
        <v>0</v>
      </c>
      <c r="Y134" s="62">
        <f t="shared" si="61"/>
        <v>0</v>
      </c>
      <c r="Z134" s="62">
        <f t="shared" si="61"/>
        <v>0</v>
      </c>
      <c r="AA134" s="64">
        <f>SUM(G134:Z134)</f>
        <v>251904274.24505216</v>
      </c>
      <c r="AB134" s="58" t="str">
        <f>IF(ABS(F134-AA134)&lt;0.01,"ok","err")</f>
        <v>ok</v>
      </c>
    </row>
    <row r="135" spans="1:28" hidden="1">
      <c r="A135" s="68" t="s">
        <v>1364</v>
      </c>
      <c r="C135" s="60" t="s">
        <v>984</v>
      </c>
      <c r="D135" s="60" t="s">
        <v>430</v>
      </c>
      <c r="E135" s="60" t="s">
        <v>188</v>
      </c>
      <c r="F135" s="79">
        <f>VLOOKUP(C135,'Functional Assignment'!$C$2:$AP$780,'Functional Assignment'!$O$2,)</f>
        <v>0</v>
      </c>
      <c r="G135" s="79">
        <f t="shared" si="60"/>
        <v>0</v>
      </c>
      <c r="H135" s="79">
        <f t="shared" si="60"/>
        <v>0</v>
      </c>
      <c r="I135" s="79">
        <f t="shared" si="60"/>
        <v>0</v>
      </c>
      <c r="J135" s="79">
        <f t="shared" si="60"/>
        <v>0</v>
      </c>
      <c r="K135" s="79">
        <f t="shared" si="60"/>
        <v>0</v>
      </c>
      <c r="L135" s="79">
        <f t="shared" si="60"/>
        <v>0</v>
      </c>
      <c r="M135" s="79">
        <f t="shared" si="60"/>
        <v>0</v>
      </c>
      <c r="N135" s="79">
        <f t="shared" si="60"/>
        <v>0</v>
      </c>
      <c r="O135" s="79">
        <f t="shared" si="60"/>
        <v>0</v>
      </c>
      <c r="P135" s="79">
        <f t="shared" si="60"/>
        <v>0</v>
      </c>
      <c r="Q135" s="79">
        <f t="shared" si="61"/>
        <v>0</v>
      </c>
      <c r="R135" s="79">
        <f t="shared" si="61"/>
        <v>0</v>
      </c>
      <c r="S135" s="79">
        <f t="shared" si="61"/>
        <v>0</v>
      </c>
      <c r="T135" s="79">
        <f t="shared" si="61"/>
        <v>0</v>
      </c>
      <c r="U135" s="79">
        <f t="shared" si="61"/>
        <v>0</v>
      </c>
      <c r="V135" s="79">
        <f t="shared" si="61"/>
        <v>0</v>
      </c>
      <c r="W135" s="79">
        <f t="shared" si="61"/>
        <v>0</v>
      </c>
      <c r="X135" s="63">
        <f t="shared" si="61"/>
        <v>0</v>
      </c>
      <c r="Y135" s="63">
        <f t="shared" si="61"/>
        <v>0</v>
      </c>
      <c r="Z135" s="63">
        <f t="shared" si="61"/>
        <v>0</v>
      </c>
      <c r="AA135" s="63">
        <f>SUM(G135:Z135)</f>
        <v>0</v>
      </c>
      <c r="AB135" s="58" t="str">
        <f>IF(ABS(F135-AA135)&lt;0.01,"ok","err")</f>
        <v>ok</v>
      </c>
    </row>
    <row r="136" spans="1:28" hidden="1">
      <c r="A136" s="68" t="s">
        <v>1364</v>
      </c>
      <c r="C136" s="60" t="s">
        <v>984</v>
      </c>
      <c r="D136" s="60" t="s">
        <v>431</v>
      </c>
      <c r="E136" s="60" t="s">
        <v>191</v>
      </c>
      <c r="F136" s="79">
        <f>VLOOKUP(C136,'Functional Assignment'!$C$2:$AP$780,'Functional Assignment'!$P$2,)</f>
        <v>0</v>
      </c>
      <c r="G136" s="79">
        <f t="shared" si="60"/>
        <v>0</v>
      </c>
      <c r="H136" s="79">
        <f t="shared" si="60"/>
        <v>0</v>
      </c>
      <c r="I136" s="79">
        <f t="shared" si="60"/>
        <v>0</v>
      </c>
      <c r="J136" s="79">
        <f t="shared" si="60"/>
        <v>0</v>
      </c>
      <c r="K136" s="79">
        <f t="shared" si="60"/>
        <v>0</v>
      </c>
      <c r="L136" s="79">
        <f t="shared" si="60"/>
        <v>0</v>
      </c>
      <c r="M136" s="79">
        <f t="shared" si="60"/>
        <v>0</v>
      </c>
      <c r="N136" s="79">
        <f t="shared" si="60"/>
        <v>0</v>
      </c>
      <c r="O136" s="79">
        <f t="shared" si="60"/>
        <v>0</v>
      </c>
      <c r="P136" s="79">
        <f t="shared" si="60"/>
        <v>0</v>
      </c>
      <c r="Q136" s="79">
        <f t="shared" si="61"/>
        <v>0</v>
      </c>
      <c r="R136" s="79">
        <f t="shared" si="61"/>
        <v>0</v>
      </c>
      <c r="S136" s="79">
        <f t="shared" si="61"/>
        <v>0</v>
      </c>
      <c r="T136" s="79">
        <f t="shared" si="61"/>
        <v>0</v>
      </c>
      <c r="U136" s="79">
        <f t="shared" si="61"/>
        <v>0</v>
      </c>
      <c r="V136" s="79">
        <f t="shared" si="61"/>
        <v>0</v>
      </c>
      <c r="W136" s="79">
        <f t="shared" si="61"/>
        <v>0</v>
      </c>
      <c r="X136" s="63">
        <f t="shared" si="61"/>
        <v>0</v>
      </c>
      <c r="Y136" s="63">
        <f t="shared" si="61"/>
        <v>0</v>
      </c>
      <c r="Z136" s="63">
        <f t="shared" si="61"/>
        <v>0</v>
      </c>
      <c r="AA136" s="63">
        <f>SUM(G136:Z136)</f>
        <v>0</v>
      </c>
      <c r="AB136" s="58" t="str">
        <f>IF(ABS(F136-AA136)&lt;0.01,"ok","err")</f>
        <v>ok</v>
      </c>
    </row>
    <row r="137" spans="1:28" hidden="1">
      <c r="A137" s="60" t="s">
        <v>1133</v>
      </c>
      <c r="D137" s="60" t="s">
        <v>432</v>
      </c>
      <c r="F137" s="76">
        <f>SUM(F134:F136)</f>
        <v>251904274.24505213</v>
      </c>
      <c r="G137" s="76">
        <f t="shared" ref="G137:W137" si="62">SUM(G134:G136)</f>
        <v>111943212.22982559</v>
      </c>
      <c r="H137" s="76">
        <f t="shared" si="62"/>
        <v>32222542.034128826</v>
      </c>
      <c r="I137" s="76">
        <f t="shared" si="62"/>
        <v>0</v>
      </c>
      <c r="J137" s="76">
        <f t="shared" si="62"/>
        <v>2863001.0756241339</v>
      </c>
      <c r="K137" s="76">
        <f t="shared" si="62"/>
        <v>33229731.704195406</v>
      </c>
      <c r="L137" s="76">
        <f t="shared" si="62"/>
        <v>0</v>
      </c>
      <c r="M137" s="76">
        <f t="shared" si="62"/>
        <v>0</v>
      </c>
      <c r="N137" s="76">
        <f t="shared" si="62"/>
        <v>30228915.843000002</v>
      </c>
      <c r="O137" s="76">
        <f>SUM(O134:O136)</f>
        <v>17948343.735034235</v>
      </c>
      <c r="P137" s="76">
        <f t="shared" si="62"/>
        <v>18591211.522047866</v>
      </c>
      <c r="Q137" s="76">
        <f t="shared" si="62"/>
        <v>1874075.977175229</v>
      </c>
      <c r="R137" s="76">
        <f t="shared" si="62"/>
        <v>980918.32907761366</v>
      </c>
      <c r="S137" s="76">
        <f t="shared" si="62"/>
        <v>1932365.9862226765</v>
      </c>
      <c r="T137" s="76">
        <f t="shared" si="62"/>
        <v>61802.642298603241</v>
      </c>
      <c r="U137" s="76">
        <f t="shared" si="62"/>
        <v>28153.166421993097</v>
      </c>
      <c r="V137" s="76">
        <f t="shared" si="62"/>
        <v>0</v>
      </c>
      <c r="W137" s="76">
        <f t="shared" si="62"/>
        <v>0</v>
      </c>
      <c r="X137" s="62">
        <f>SUM(X134:X136)</f>
        <v>0</v>
      </c>
      <c r="Y137" s="62">
        <f>SUM(Y134:Y136)</f>
        <v>0</v>
      </c>
      <c r="Z137" s="62">
        <f>SUM(Z134:Z136)</f>
        <v>0</v>
      </c>
      <c r="AA137" s="64">
        <f>SUM(G137:Z137)</f>
        <v>251904274.24505216</v>
      </c>
      <c r="AB137" s="58" t="str">
        <f>IF(ABS(F137-AA137)&lt;0.01,"ok","err")</f>
        <v>ok</v>
      </c>
    </row>
    <row r="138" spans="1:28">
      <c r="F138" s="79"/>
      <c r="G138" s="79"/>
    </row>
    <row r="139" spans="1:28" ht="15">
      <c r="A139" s="65" t="s">
        <v>348</v>
      </c>
      <c r="F139" s="79"/>
      <c r="G139" s="79"/>
    </row>
    <row r="140" spans="1:28">
      <c r="A140" s="68" t="s">
        <v>372</v>
      </c>
      <c r="C140" s="60" t="s">
        <v>984</v>
      </c>
      <c r="D140" s="60" t="s">
        <v>433</v>
      </c>
      <c r="E140" s="60" t="s">
        <v>1368</v>
      </c>
      <c r="F140" s="76">
        <f>VLOOKUP(C140,'Functional Assignment'!$C$2:$AP$780,'Functional Assignment'!$Q$2,)</f>
        <v>0</v>
      </c>
      <c r="G140" s="76">
        <f t="shared" ref="G140:Z140" si="63">IF(VLOOKUP($E140,$D$6:$AN$1131,3,)=0,0,(VLOOKUP($E140,$D$6:$AN$1131,G$2,)/VLOOKUP($E140,$D$6:$AN$1131,3,))*$F140)</f>
        <v>0</v>
      </c>
      <c r="H140" s="76">
        <f t="shared" si="63"/>
        <v>0</v>
      </c>
      <c r="I140" s="76">
        <f t="shared" si="63"/>
        <v>0</v>
      </c>
      <c r="J140" s="76">
        <f t="shared" si="63"/>
        <v>0</v>
      </c>
      <c r="K140" s="76">
        <f t="shared" si="63"/>
        <v>0</v>
      </c>
      <c r="L140" s="76">
        <f t="shared" si="63"/>
        <v>0</v>
      </c>
      <c r="M140" s="76">
        <f t="shared" si="63"/>
        <v>0</v>
      </c>
      <c r="N140" s="76">
        <f t="shared" si="63"/>
        <v>0</v>
      </c>
      <c r="O140" s="76">
        <f t="shared" si="63"/>
        <v>0</v>
      </c>
      <c r="P140" s="76">
        <f t="shared" si="63"/>
        <v>0</v>
      </c>
      <c r="Q140" s="76">
        <f t="shared" si="63"/>
        <v>0</v>
      </c>
      <c r="R140" s="76">
        <f t="shared" si="63"/>
        <v>0</v>
      </c>
      <c r="S140" s="76">
        <f t="shared" si="63"/>
        <v>0</v>
      </c>
      <c r="T140" s="76">
        <f t="shared" si="63"/>
        <v>0</v>
      </c>
      <c r="U140" s="76">
        <f t="shared" si="63"/>
        <v>0</v>
      </c>
      <c r="V140" s="76">
        <f t="shared" si="63"/>
        <v>0</v>
      </c>
      <c r="W140" s="76">
        <f t="shared" si="63"/>
        <v>0</v>
      </c>
      <c r="X140" s="62">
        <f t="shared" si="63"/>
        <v>0</v>
      </c>
      <c r="Y140" s="62">
        <f t="shared" si="63"/>
        <v>0</v>
      </c>
      <c r="Z140" s="62">
        <f t="shared" si="63"/>
        <v>0</v>
      </c>
      <c r="AA140" s="64">
        <f>SUM(G140:Z140)</f>
        <v>0</v>
      </c>
      <c r="AB140" s="58" t="str">
        <f>IF(ABS(F140-AA140)&lt;0.01,"ok","err")</f>
        <v>ok</v>
      </c>
    </row>
    <row r="141" spans="1:28">
      <c r="F141" s="79"/>
    </row>
    <row r="142" spans="1:28" ht="15">
      <c r="A142" s="65" t="s">
        <v>349</v>
      </c>
      <c r="F142" s="79"/>
      <c r="G142" s="79"/>
    </row>
    <row r="143" spans="1:28">
      <c r="A143" s="68" t="s">
        <v>374</v>
      </c>
      <c r="C143" s="60" t="s">
        <v>984</v>
      </c>
      <c r="D143" s="60" t="s">
        <v>434</v>
      </c>
      <c r="E143" s="60" t="s">
        <v>1368</v>
      </c>
      <c r="F143" s="76">
        <f>VLOOKUP(C143,'Functional Assignment'!$C$2:$AP$780,'Functional Assignment'!$R$2,)</f>
        <v>86725893.898189053</v>
      </c>
      <c r="G143" s="76">
        <f t="shared" ref="G143:Z143" si="64">IF(VLOOKUP($E143,$D$6:$AN$1131,3,)=0,0,(VLOOKUP($E143,$D$6:$AN$1131,G$2,)/VLOOKUP($E143,$D$6:$AN$1131,3,))*$F143)</f>
        <v>41610936.966664247</v>
      </c>
      <c r="H143" s="76">
        <f t="shared" si="64"/>
        <v>11977592.377240941</v>
      </c>
      <c r="I143" s="76">
        <f t="shared" si="64"/>
        <v>0</v>
      </c>
      <c r="J143" s="76">
        <f t="shared" si="64"/>
        <v>1064219.5709794613</v>
      </c>
      <c r="K143" s="76">
        <f t="shared" si="64"/>
        <v>12351979.578034967</v>
      </c>
      <c r="L143" s="76">
        <f t="shared" si="64"/>
        <v>0</v>
      </c>
      <c r="M143" s="76">
        <f t="shared" si="64"/>
        <v>0</v>
      </c>
      <c r="N143" s="76">
        <f t="shared" si="64"/>
        <v>11236532.226100754</v>
      </c>
      <c r="O143" s="76">
        <f t="shared" si="64"/>
        <v>6671663.1132686604</v>
      </c>
      <c r="P143" s="76">
        <f t="shared" si="64"/>
        <v>0</v>
      </c>
      <c r="Q143" s="76">
        <f t="shared" si="64"/>
        <v>696621.57984958205</v>
      </c>
      <c r="R143" s="76">
        <f t="shared" si="64"/>
        <v>364621.75729685859</v>
      </c>
      <c r="S143" s="76">
        <f t="shared" si="64"/>
        <v>718288.83277135761</v>
      </c>
      <c r="T143" s="76">
        <f t="shared" si="64"/>
        <v>22972.950318601768</v>
      </c>
      <c r="U143" s="76">
        <f t="shared" si="64"/>
        <v>10464.945663632117</v>
      </c>
      <c r="V143" s="76">
        <f t="shared" si="64"/>
        <v>0</v>
      </c>
      <c r="W143" s="76">
        <f t="shared" si="64"/>
        <v>0</v>
      </c>
      <c r="X143" s="62">
        <f t="shared" si="64"/>
        <v>0</v>
      </c>
      <c r="Y143" s="62">
        <f t="shared" si="64"/>
        <v>0</v>
      </c>
      <c r="Z143" s="62">
        <f t="shared" si="64"/>
        <v>0</v>
      </c>
      <c r="AA143" s="64">
        <f>SUM(G143:Z143)</f>
        <v>86725893.898189068</v>
      </c>
      <c r="AB143" s="58" t="str">
        <f>IF(ABS(F143-AA143)&lt;0.01,"ok","err")</f>
        <v>ok</v>
      </c>
    </row>
    <row r="144" spans="1:28">
      <c r="F144" s="79"/>
    </row>
    <row r="145" spans="1:28" ht="15">
      <c r="A145" s="65" t="s">
        <v>373</v>
      </c>
      <c r="F145" s="79"/>
    </row>
    <row r="146" spans="1:28">
      <c r="A146" s="68" t="s">
        <v>623</v>
      </c>
      <c r="C146" s="60" t="s">
        <v>984</v>
      </c>
      <c r="D146" s="60" t="s">
        <v>435</v>
      </c>
      <c r="E146" s="60" t="s">
        <v>1368</v>
      </c>
      <c r="F146" s="76">
        <f>VLOOKUP(C146,'Functional Assignment'!$C$2:$AP$780,'Functional Assignment'!$S$2,)</f>
        <v>0</v>
      </c>
      <c r="G146" s="76">
        <f t="shared" ref="G146:P150" si="65">IF(VLOOKUP($E146,$D$6:$AN$1131,3,)=0,0,(VLOOKUP($E146,$D$6:$AN$1131,G$2,)/VLOOKUP($E146,$D$6:$AN$1131,3,))*$F146)</f>
        <v>0</v>
      </c>
      <c r="H146" s="76">
        <f t="shared" si="65"/>
        <v>0</v>
      </c>
      <c r="I146" s="76">
        <f t="shared" si="65"/>
        <v>0</v>
      </c>
      <c r="J146" s="76">
        <f t="shared" si="65"/>
        <v>0</v>
      </c>
      <c r="K146" s="76">
        <f t="shared" si="65"/>
        <v>0</v>
      </c>
      <c r="L146" s="76">
        <f t="shared" si="65"/>
        <v>0</v>
      </c>
      <c r="M146" s="76">
        <f t="shared" si="65"/>
        <v>0</v>
      </c>
      <c r="N146" s="76">
        <f t="shared" si="65"/>
        <v>0</v>
      </c>
      <c r="O146" s="76">
        <f t="shared" si="65"/>
        <v>0</v>
      </c>
      <c r="P146" s="76">
        <f t="shared" si="65"/>
        <v>0</v>
      </c>
      <c r="Q146" s="76">
        <f t="shared" ref="Q146:Z150" si="66">IF(VLOOKUP($E146,$D$6:$AN$1131,3,)=0,0,(VLOOKUP($E146,$D$6:$AN$1131,Q$2,)/VLOOKUP($E146,$D$6:$AN$1131,3,))*$F146)</f>
        <v>0</v>
      </c>
      <c r="R146" s="76">
        <f t="shared" si="66"/>
        <v>0</v>
      </c>
      <c r="S146" s="76">
        <f t="shared" si="66"/>
        <v>0</v>
      </c>
      <c r="T146" s="76">
        <f t="shared" si="66"/>
        <v>0</v>
      </c>
      <c r="U146" s="76">
        <f t="shared" si="66"/>
        <v>0</v>
      </c>
      <c r="V146" s="76">
        <f t="shared" si="66"/>
        <v>0</v>
      </c>
      <c r="W146" s="76">
        <f t="shared" si="66"/>
        <v>0</v>
      </c>
      <c r="X146" s="62">
        <f t="shared" si="66"/>
        <v>0</v>
      </c>
      <c r="Y146" s="62">
        <f t="shared" si="66"/>
        <v>0</v>
      </c>
      <c r="Z146" s="62">
        <f t="shared" si="66"/>
        <v>0</v>
      </c>
      <c r="AA146" s="64">
        <f t="shared" ref="AA146:AA151" si="67">SUM(G146:Z146)</f>
        <v>0</v>
      </c>
      <c r="AB146" s="58" t="str">
        <f t="shared" ref="AB146:AB151" si="68">IF(ABS(F146-AA146)&lt;0.01,"ok","err")</f>
        <v>ok</v>
      </c>
    </row>
    <row r="147" spans="1:28">
      <c r="A147" s="68" t="s">
        <v>624</v>
      </c>
      <c r="C147" s="60" t="s">
        <v>984</v>
      </c>
      <c r="D147" s="60" t="s">
        <v>436</v>
      </c>
      <c r="E147" s="60" t="s">
        <v>1368</v>
      </c>
      <c r="F147" s="79">
        <f>VLOOKUP(C147,'Functional Assignment'!$C$2:$AP$780,'Functional Assignment'!$T$2,)</f>
        <v>146289689.97734636</v>
      </c>
      <c r="G147" s="79">
        <f t="shared" si="65"/>
        <v>70189545.416116178</v>
      </c>
      <c r="H147" s="79">
        <f t="shared" si="65"/>
        <v>20203865.267720144</v>
      </c>
      <c r="I147" s="79">
        <f t="shared" si="65"/>
        <v>0</v>
      </c>
      <c r="J147" s="79">
        <f t="shared" si="65"/>
        <v>1795131.120691289</v>
      </c>
      <c r="K147" s="79">
        <f t="shared" si="65"/>
        <v>20835383.549906317</v>
      </c>
      <c r="L147" s="79">
        <f t="shared" si="65"/>
        <v>0</v>
      </c>
      <c r="M147" s="79">
        <f t="shared" si="65"/>
        <v>0</v>
      </c>
      <c r="N147" s="79">
        <f t="shared" si="65"/>
        <v>18953841.1412219</v>
      </c>
      <c r="O147" s="79">
        <f t="shared" si="65"/>
        <v>11253796.122518258</v>
      </c>
      <c r="P147" s="79">
        <f t="shared" si="65"/>
        <v>0</v>
      </c>
      <c r="Q147" s="79">
        <f t="shared" si="66"/>
        <v>1175064.9127624913</v>
      </c>
      <c r="R147" s="79">
        <f t="shared" si="66"/>
        <v>615045.88118251134</v>
      </c>
      <c r="S147" s="79">
        <f t="shared" si="66"/>
        <v>1211613.347954273</v>
      </c>
      <c r="T147" s="79">
        <f t="shared" si="66"/>
        <v>38750.892368068278</v>
      </c>
      <c r="U147" s="79">
        <f t="shared" si="66"/>
        <v>17652.324904943816</v>
      </c>
      <c r="V147" s="79">
        <f t="shared" si="66"/>
        <v>0</v>
      </c>
      <c r="W147" s="79">
        <f t="shared" si="66"/>
        <v>0</v>
      </c>
      <c r="X147" s="63">
        <f t="shared" si="66"/>
        <v>0</v>
      </c>
      <c r="Y147" s="63">
        <f t="shared" si="66"/>
        <v>0</v>
      </c>
      <c r="Z147" s="63">
        <f t="shared" si="66"/>
        <v>0</v>
      </c>
      <c r="AA147" s="63">
        <f t="shared" si="67"/>
        <v>146289689.97734639</v>
      </c>
      <c r="AB147" s="58" t="str">
        <f t="shared" si="68"/>
        <v>ok</v>
      </c>
    </row>
    <row r="148" spans="1:28">
      <c r="A148" s="68" t="s">
        <v>625</v>
      </c>
      <c r="C148" s="60" t="s">
        <v>984</v>
      </c>
      <c r="D148" s="60" t="s">
        <v>437</v>
      </c>
      <c r="E148" s="60" t="s">
        <v>698</v>
      </c>
      <c r="F148" s="79">
        <f>VLOOKUP(C148,'Functional Assignment'!$C$2:$AP$780,'Functional Assignment'!$U$2,)</f>
        <v>232639811.01835001</v>
      </c>
      <c r="G148" s="79">
        <f t="shared" si="65"/>
        <v>200561860.24626267</v>
      </c>
      <c r="H148" s="79">
        <f t="shared" si="65"/>
        <v>24917848.004266623</v>
      </c>
      <c r="I148" s="79">
        <f t="shared" si="65"/>
        <v>0</v>
      </c>
      <c r="J148" s="79">
        <f t="shared" si="65"/>
        <v>39659.682479103321</v>
      </c>
      <c r="K148" s="79">
        <f t="shared" si="65"/>
        <v>1555632.684278717</v>
      </c>
      <c r="L148" s="79">
        <f t="shared" si="65"/>
        <v>0</v>
      </c>
      <c r="M148" s="79">
        <f t="shared" si="65"/>
        <v>0</v>
      </c>
      <c r="N148" s="79">
        <f t="shared" si="65"/>
        <v>58112.451410352784</v>
      </c>
      <c r="O148" s="79">
        <f t="shared" si="65"/>
        <v>152028.78283656272</v>
      </c>
      <c r="P148" s="79">
        <f t="shared" si="65"/>
        <v>0</v>
      </c>
      <c r="Q148" s="79">
        <f t="shared" si="66"/>
        <v>550.82892332087943</v>
      </c>
      <c r="R148" s="79">
        <f t="shared" si="66"/>
        <v>550.82892332087943</v>
      </c>
      <c r="S148" s="79">
        <f t="shared" si="66"/>
        <v>5288080.0703078471</v>
      </c>
      <c r="T148" s="79">
        <f t="shared" si="66"/>
        <v>10098.530260882788</v>
      </c>
      <c r="U148" s="79">
        <f t="shared" si="66"/>
        <v>55388.908400599546</v>
      </c>
      <c r="V148" s="79">
        <f t="shared" si="66"/>
        <v>0</v>
      </c>
      <c r="W148" s="79">
        <f t="shared" si="66"/>
        <v>0</v>
      </c>
      <c r="X148" s="63">
        <f t="shared" si="66"/>
        <v>0</v>
      </c>
      <c r="Y148" s="63">
        <f t="shared" si="66"/>
        <v>0</v>
      </c>
      <c r="Z148" s="63">
        <f t="shared" si="66"/>
        <v>0</v>
      </c>
      <c r="AA148" s="63">
        <f t="shared" si="67"/>
        <v>232639811.01835001</v>
      </c>
      <c r="AB148" s="58" t="str">
        <f t="shared" si="68"/>
        <v>ok</v>
      </c>
    </row>
    <row r="149" spans="1:28">
      <c r="A149" s="68" t="s">
        <v>626</v>
      </c>
      <c r="C149" s="60" t="s">
        <v>984</v>
      </c>
      <c r="D149" s="60" t="s">
        <v>438</v>
      </c>
      <c r="E149" s="60" t="s">
        <v>678</v>
      </c>
      <c r="F149" s="79">
        <f>VLOOKUP(C149,'Functional Assignment'!$C$2:$AP$780,'Functional Assignment'!$V$2,)</f>
        <v>40320469.646722771</v>
      </c>
      <c r="G149" s="79">
        <f t="shared" si="65"/>
        <v>33837261.446431741</v>
      </c>
      <c r="H149" s="79">
        <f t="shared" si="65"/>
        <v>6192066.227639894</v>
      </c>
      <c r="I149" s="79">
        <f t="shared" si="65"/>
        <v>0</v>
      </c>
      <c r="J149" s="79">
        <f t="shared" si="65"/>
        <v>0</v>
      </c>
      <c r="K149" s="79">
        <f t="shared" si="65"/>
        <v>0</v>
      </c>
      <c r="L149" s="79">
        <f t="shared" si="65"/>
        <v>0</v>
      </c>
      <c r="M149" s="79">
        <f t="shared" si="65"/>
        <v>0</v>
      </c>
      <c r="N149" s="79">
        <f t="shared" si="65"/>
        <v>0</v>
      </c>
      <c r="O149" s="79">
        <f t="shared" si="65"/>
        <v>0</v>
      </c>
      <c r="P149" s="79">
        <f t="shared" si="65"/>
        <v>0</v>
      </c>
      <c r="Q149" s="79">
        <f t="shared" si="66"/>
        <v>0</v>
      </c>
      <c r="R149" s="79">
        <f t="shared" si="66"/>
        <v>0</v>
      </c>
      <c r="S149" s="79">
        <f t="shared" si="66"/>
        <v>278191.55513211264</v>
      </c>
      <c r="T149" s="79">
        <f t="shared" si="66"/>
        <v>8897.3689740473874</v>
      </c>
      <c r="U149" s="79">
        <f t="shared" si="66"/>
        <v>4053.0485449793646</v>
      </c>
      <c r="V149" s="79">
        <f t="shared" si="66"/>
        <v>0</v>
      </c>
      <c r="W149" s="79">
        <f t="shared" si="66"/>
        <v>0</v>
      </c>
      <c r="X149" s="63">
        <f t="shared" si="66"/>
        <v>0</v>
      </c>
      <c r="Y149" s="63">
        <f t="shared" si="66"/>
        <v>0</v>
      </c>
      <c r="Z149" s="63">
        <f t="shared" si="66"/>
        <v>0</v>
      </c>
      <c r="AA149" s="63">
        <f t="shared" si="67"/>
        <v>40320469.646722771</v>
      </c>
      <c r="AB149" s="58" t="str">
        <f t="shared" si="68"/>
        <v>ok</v>
      </c>
    </row>
    <row r="150" spans="1:28">
      <c r="A150" s="68" t="s">
        <v>627</v>
      </c>
      <c r="C150" s="60" t="s">
        <v>984</v>
      </c>
      <c r="D150" s="60" t="s">
        <v>439</v>
      </c>
      <c r="E150" s="60" t="s">
        <v>697</v>
      </c>
      <c r="F150" s="79">
        <f>VLOOKUP(C150,'Functional Assignment'!$C$2:$AP$780,'Functional Assignment'!$W$2,)</f>
        <v>61244171.692112058</v>
      </c>
      <c r="G150" s="79">
        <f t="shared" si="65"/>
        <v>53212627.007075034</v>
      </c>
      <c r="H150" s="79">
        <f t="shared" si="65"/>
        <v>6611148.0519873016</v>
      </c>
      <c r="I150" s="79">
        <f t="shared" si="65"/>
        <v>0</v>
      </c>
      <c r="J150" s="79">
        <f t="shared" si="65"/>
        <v>0</v>
      </c>
      <c r="K150" s="79">
        <f t="shared" si="65"/>
        <v>0</v>
      </c>
      <c r="L150" s="79">
        <f t="shared" si="65"/>
        <v>0</v>
      </c>
      <c r="M150" s="79">
        <f t="shared" si="65"/>
        <v>0</v>
      </c>
      <c r="N150" s="79">
        <f t="shared" si="65"/>
        <v>0</v>
      </c>
      <c r="O150" s="79">
        <f t="shared" si="65"/>
        <v>0</v>
      </c>
      <c r="P150" s="79">
        <f t="shared" si="65"/>
        <v>0</v>
      </c>
      <c r="Q150" s="79">
        <f t="shared" si="66"/>
        <v>0</v>
      </c>
      <c r="R150" s="79">
        <f t="shared" si="66"/>
        <v>0</v>
      </c>
      <c r="S150" s="79">
        <f t="shared" si="66"/>
        <v>1403021.651371436</v>
      </c>
      <c r="T150" s="79">
        <f t="shared" si="66"/>
        <v>2679.319604595807</v>
      </c>
      <c r="U150" s="79">
        <f t="shared" si="66"/>
        <v>14695.662073692154</v>
      </c>
      <c r="V150" s="79">
        <f t="shared" si="66"/>
        <v>0</v>
      </c>
      <c r="W150" s="79">
        <f t="shared" si="66"/>
        <v>0</v>
      </c>
      <c r="X150" s="63">
        <f t="shared" si="66"/>
        <v>0</v>
      </c>
      <c r="Y150" s="63">
        <f t="shared" si="66"/>
        <v>0</v>
      </c>
      <c r="Z150" s="63">
        <f t="shared" si="66"/>
        <v>0</v>
      </c>
      <c r="AA150" s="63">
        <f t="shared" si="67"/>
        <v>61244171.692112058</v>
      </c>
      <c r="AB150" s="58" t="str">
        <f t="shared" si="68"/>
        <v>ok</v>
      </c>
    </row>
    <row r="151" spans="1:28">
      <c r="A151" s="60" t="s">
        <v>378</v>
      </c>
      <c r="D151" s="60" t="s">
        <v>440</v>
      </c>
      <c r="F151" s="76">
        <f>SUM(F146:F150)</f>
        <v>480494142.33453119</v>
      </c>
      <c r="G151" s="76">
        <f t="shared" ref="G151:W151" si="69">SUM(G146:G150)</f>
        <v>357801294.11588562</v>
      </c>
      <c r="H151" s="76">
        <f t="shared" si="69"/>
        <v>57924927.551613957</v>
      </c>
      <c r="I151" s="76">
        <f t="shared" si="69"/>
        <v>0</v>
      </c>
      <c r="J151" s="76">
        <f t="shared" si="69"/>
        <v>1834790.8031703923</v>
      </c>
      <c r="K151" s="76">
        <f t="shared" si="69"/>
        <v>22391016.234185033</v>
      </c>
      <c r="L151" s="76">
        <f t="shared" si="69"/>
        <v>0</v>
      </c>
      <c r="M151" s="76">
        <f t="shared" si="69"/>
        <v>0</v>
      </c>
      <c r="N151" s="76">
        <f t="shared" si="69"/>
        <v>19011953.592632253</v>
      </c>
      <c r="O151" s="76">
        <f>SUM(O146:O150)</f>
        <v>11405824.90535482</v>
      </c>
      <c r="P151" s="76">
        <f t="shared" si="69"/>
        <v>0</v>
      </c>
      <c r="Q151" s="76">
        <f t="shared" si="69"/>
        <v>1175615.7416858121</v>
      </c>
      <c r="R151" s="76">
        <f t="shared" si="69"/>
        <v>615596.7101058322</v>
      </c>
      <c r="S151" s="76">
        <f t="shared" si="69"/>
        <v>8180906.624765669</v>
      </c>
      <c r="T151" s="76">
        <f t="shared" si="69"/>
        <v>60426.111207594266</v>
      </c>
      <c r="U151" s="76">
        <f t="shared" si="69"/>
        <v>91789.943924214895</v>
      </c>
      <c r="V151" s="76">
        <f t="shared" si="69"/>
        <v>0</v>
      </c>
      <c r="W151" s="76">
        <f t="shared" si="69"/>
        <v>0</v>
      </c>
      <c r="X151" s="62">
        <f>SUM(X146:X150)</f>
        <v>0</v>
      </c>
      <c r="Y151" s="62">
        <f>SUM(Y146:Y150)</f>
        <v>0</v>
      </c>
      <c r="Z151" s="62">
        <f>SUM(Z146:Z150)</f>
        <v>0</v>
      </c>
      <c r="AA151" s="64">
        <f t="shared" si="67"/>
        <v>480494142.33453113</v>
      </c>
      <c r="AB151" s="58" t="str">
        <f t="shared" si="68"/>
        <v>ok</v>
      </c>
    </row>
    <row r="152" spans="1:28">
      <c r="F152" s="79"/>
    </row>
    <row r="153" spans="1:28" ht="15">
      <c r="A153" s="65" t="s">
        <v>634</v>
      </c>
      <c r="F153" s="79"/>
    </row>
    <row r="154" spans="1:28">
      <c r="A154" s="68" t="s">
        <v>1090</v>
      </c>
      <c r="C154" s="60" t="s">
        <v>984</v>
      </c>
      <c r="D154" s="60" t="s">
        <v>441</v>
      </c>
      <c r="E154" s="60" t="s">
        <v>1336</v>
      </c>
      <c r="F154" s="76">
        <f>VLOOKUP(C154,'Functional Assignment'!$C$2:$AP$780,'Functional Assignment'!$X$2,)</f>
        <v>55853390.849211715</v>
      </c>
      <c r="G154" s="76">
        <f t="shared" ref="G154:P155" si="70">IF(VLOOKUP($E154,$D$6:$AN$1131,3,)=0,0,(VLOOKUP($E154,$D$6:$AN$1131,G$2,)/VLOOKUP($E154,$D$6:$AN$1131,3,))*$F154)</f>
        <v>38751123.423410982</v>
      </c>
      <c r="H154" s="76">
        <f t="shared" si="70"/>
        <v>7091280.8063109927</v>
      </c>
      <c r="I154" s="76">
        <f t="shared" si="70"/>
        <v>0</v>
      </c>
      <c r="J154" s="76">
        <f t="shared" si="70"/>
        <v>0</v>
      </c>
      <c r="K154" s="76">
        <f t="shared" si="70"/>
        <v>6245341.2287738631</v>
      </c>
      <c r="L154" s="76">
        <f t="shared" si="70"/>
        <v>0</v>
      </c>
      <c r="M154" s="76">
        <f t="shared" si="70"/>
        <v>0</v>
      </c>
      <c r="N154" s="76">
        <f t="shared" si="70"/>
        <v>0</v>
      </c>
      <c r="O154" s="76">
        <f t="shared" si="70"/>
        <v>3432223.652854492</v>
      </c>
      <c r="P154" s="76">
        <f t="shared" si="70"/>
        <v>0</v>
      </c>
      <c r="Q154" s="76">
        <f t="shared" ref="Q154:Z155" si="71">IF(VLOOKUP($E154,$D$6:$AN$1131,3,)=0,0,(VLOOKUP($E154,$D$6:$AN$1131,Q$2,)/VLOOKUP($E154,$D$6:$AN$1131,3,))*$F154)</f>
        <v>0</v>
      </c>
      <c r="R154" s="76">
        <f t="shared" si="71"/>
        <v>0</v>
      </c>
      <c r="S154" s="76">
        <f t="shared" si="71"/>
        <v>318590.65501921554</v>
      </c>
      <c r="T154" s="76">
        <f t="shared" si="71"/>
        <v>10189.448806392586</v>
      </c>
      <c r="U154" s="76">
        <f t="shared" si="71"/>
        <v>4641.6340357867293</v>
      </c>
      <c r="V154" s="76">
        <f t="shared" si="71"/>
        <v>0</v>
      </c>
      <c r="W154" s="76">
        <f t="shared" si="71"/>
        <v>0</v>
      </c>
      <c r="X154" s="62">
        <f t="shared" si="71"/>
        <v>0</v>
      </c>
      <c r="Y154" s="62">
        <f t="shared" si="71"/>
        <v>0</v>
      </c>
      <c r="Z154" s="62">
        <f t="shared" si="71"/>
        <v>0</v>
      </c>
      <c r="AA154" s="64">
        <f>SUM(G154:Z154)</f>
        <v>55853390.84921173</v>
      </c>
      <c r="AB154" s="58" t="str">
        <f>IF(ABS(F154-AA154)&lt;0.01,"ok","err")</f>
        <v>ok</v>
      </c>
    </row>
    <row r="155" spans="1:28">
      <c r="A155" s="68" t="s">
        <v>1093</v>
      </c>
      <c r="C155" s="60" t="s">
        <v>984</v>
      </c>
      <c r="D155" s="60" t="s">
        <v>442</v>
      </c>
      <c r="E155" s="60" t="s">
        <v>1334</v>
      </c>
      <c r="F155" s="79">
        <f>VLOOKUP(C155,'Functional Assignment'!$C$2:$AP$780,'Functional Assignment'!$Y$2,)</f>
        <v>39061200.374199145</v>
      </c>
      <c r="G155" s="79">
        <f t="shared" si="70"/>
        <v>33689496.154678702</v>
      </c>
      <c r="H155" s="79">
        <f t="shared" si="70"/>
        <v>4185590.1390815498</v>
      </c>
      <c r="I155" s="79">
        <f t="shared" si="70"/>
        <v>0</v>
      </c>
      <c r="J155" s="79">
        <f t="shared" si="70"/>
        <v>0</v>
      </c>
      <c r="K155" s="79">
        <f t="shared" si="70"/>
        <v>261308.31291029046</v>
      </c>
      <c r="L155" s="79">
        <f t="shared" si="70"/>
        <v>0</v>
      </c>
      <c r="M155" s="79">
        <f t="shared" si="70"/>
        <v>0</v>
      </c>
      <c r="N155" s="79">
        <f t="shared" si="70"/>
        <v>0</v>
      </c>
      <c r="O155" s="79">
        <f t="shared" si="70"/>
        <v>25537.123999967014</v>
      </c>
      <c r="P155" s="79">
        <f t="shared" si="70"/>
        <v>0</v>
      </c>
      <c r="Q155" s="79">
        <f t="shared" si="71"/>
        <v>0</v>
      </c>
      <c r="R155" s="79">
        <f t="shared" si="71"/>
        <v>0</v>
      </c>
      <c r="S155" s="79">
        <f t="shared" si="71"/>
        <v>888268.35259466583</v>
      </c>
      <c r="T155" s="79">
        <f t="shared" si="71"/>
        <v>1696.3065458915285</v>
      </c>
      <c r="U155" s="79">
        <f t="shared" si="71"/>
        <v>9303.9843880717181</v>
      </c>
      <c r="V155" s="79">
        <f t="shared" si="71"/>
        <v>0</v>
      </c>
      <c r="W155" s="79">
        <f t="shared" si="71"/>
        <v>0</v>
      </c>
      <c r="X155" s="63">
        <f t="shared" si="71"/>
        <v>0</v>
      </c>
      <c r="Y155" s="63">
        <f t="shared" si="71"/>
        <v>0</v>
      </c>
      <c r="Z155" s="63">
        <f t="shared" si="71"/>
        <v>0</v>
      </c>
      <c r="AA155" s="63">
        <f>SUM(G155:Z155)</f>
        <v>39061200.374199137</v>
      </c>
      <c r="AB155" s="58" t="str">
        <f>IF(ABS(F155-AA155)&lt;0.01,"ok","err")</f>
        <v>ok</v>
      </c>
    </row>
    <row r="156" spans="1:28">
      <c r="A156" s="60" t="s">
        <v>712</v>
      </c>
      <c r="D156" s="60" t="s">
        <v>443</v>
      </c>
      <c r="F156" s="76">
        <f>F154+F155</f>
        <v>94914591.22341086</v>
      </c>
      <c r="G156" s="76">
        <f t="shared" ref="G156:W156" si="72">G154+G155</f>
        <v>72440619.578089684</v>
      </c>
      <c r="H156" s="76">
        <f t="shared" si="72"/>
        <v>11276870.945392542</v>
      </c>
      <c r="I156" s="76">
        <f t="shared" si="72"/>
        <v>0</v>
      </c>
      <c r="J156" s="76">
        <f t="shared" si="72"/>
        <v>0</v>
      </c>
      <c r="K156" s="76">
        <f t="shared" si="72"/>
        <v>6506649.5416841535</v>
      </c>
      <c r="L156" s="76">
        <f t="shared" si="72"/>
        <v>0</v>
      </c>
      <c r="M156" s="76">
        <f t="shared" si="72"/>
        <v>0</v>
      </c>
      <c r="N156" s="76">
        <f t="shared" si="72"/>
        <v>0</v>
      </c>
      <c r="O156" s="76">
        <f>O154+O155</f>
        <v>3457760.7768544592</v>
      </c>
      <c r="P156" s="76">
        <f t="shared" si="72"/>
        <v>0</v>
      </c>
      <c r="Q156" s="76">
        <f t="shared" si="72"/>
        <v>0</v>
      </c>
      <c r="R156" s="76">
        <f t="shared" si="72"/>
        <v>0</v>
      </c>
      <c r="S156" s="76">
        <f t="shared" si="72"/>
        <v>1206859.0076138815</v>
      </c>
      <c r="T156" s="76">
        <f t="shared" si="72"/>
        <v>11885.755352284114</v>
      </c>
      <c r="U156" s="76">
        <f t="shared" si="72"/>
        <v>13945.618423858446</v>
      </c>
      <c r="V156" s="76">
        <f t="shared" si="72"/>
        <v>0</v>
      </c>
      <c r="W156" s="76">
        <f t="shared" si="72"/>
        <v>0</v>
      </c>
      <c r="X156" s="62">
        <f>X154+X155</f>
        <v>0</v>
      </c>
      <c r="Y156" s="62">
        <f>Y154+Y155</f>
        <v>0</v>
      </c>
      <c r="Z156" s="62">
        <f>Z154+Z155</f>
        <v>0</v>
      </c>
      <c r="AA156" s="64">
        <f>SUM(G156:Z156)</f>
        <v>94914591.223410875</v>
      </c>
      <c r="AB156" s="58" t="str">
        <f>IF(ABS(F156-AA156)&lt;0.01,"ok","err")</f>
        <v>ok</v>
      </c>
    </row>
    <row r="157" spans="1:28">
      <c r="F157" s="79"/>
    </row>
    <row r="158" spans="1:28" ht="15">
      <c r="A158" s="65" t="s">
        <v>354</v>
      </c>
      <c r="F158" s="79"/>
    </row>
    <row r="159" spans="1:28">
      <c r="A159" s="68" t="s">
        <v>1093</v>
      </c>
      <c r="C159" s="60" t="s">
        <v>984</v>
      </c>
      <c r="D159" s="60" t="s">
        <v>444</v>
      </c>
      <c r="E159" s="60" t="s">
        <v>1095</v>
      </c>
      <c r="F159" s="76">
        <f>VLOOKUP(C159,'Functional Assignment'!$C$2:$AP$780,'Functional Assignment'!$Z$2,)</f>
        <v>19387335.002084535</v>
      </c>
      <c r="G159" s="76">
        <f t="shared" ref="G159:Z159" si="73">IF(VLOOKUP($E159,$D$6:$AN$1131,3,)=0,0,(VLOOKUP($E159,$D$6:$AN$1131,G$2,)/VLOOKUP($E159,$D$6:$AN$1131,3,))*$F159)</f>
        <v>14901423.647408795</v>
      </c>
      <c r="H159" s="76">
        <f t="shared" si="73"/>
        <v>3750215.3937779232</v>
      </c>
      <c r="I159" s="76">
        <f t="shared" si="73"/>
        <v>0</v>
      </c>
      <c r="J159" s="76">
        <f t="shared" si="73"/>
        <v>0</v>
      </c>
      <c r="K159" s="76">
        <f t="shared" si="73"/>
        <v>654249.10433076613</v>
      </c>
      <c r="L159" s="76">
        <f t="shared" si="73"/>
        <v>0</v>
      </c>
      <c r="M159" s="76">
        <f t="shared" si="73"/>
        <v>0</v>
      </c>
      <c r="N159" s="76">
        <f t="shared" si="73"/>
        <v>0</v>
      </c>
      <c r="O159" s="76">
        <f t="shared" si="73"/>
        <v>81446.856567048366</v>
      </c>
      <c r="P159" s="76">
        <f t="shared" si="73"/>
        <v>0</v>
      </c>
      <c r="Q159" s="76">
        <f t="shared" si="73"/>
        <v>0</v>
      </c>
      <c r="R159" s="76">
        <f t="shared" si="73"/>
        <v>0</v>
      </c>
      <c r="S159" s="76">
        <f t="shared" si="73"/>
        <v>0</v>
      </c>
      <c r="T159" s="76">
        <f t="shared" si="73"/>
        <v>0</v>
      </c>
      <c r="U159" s="76">
        <f t="shared" si="73"/>
        <v>0</v>
      </c>
      <c r="V159" s="76">
        <f t="shared" si="73"/>
        <v>0</v>
      </c>
      <c r="W159" s="76">
        <f t="shared" si="73"/>
        <v>0</v>
      </c>
      <c r="X159" s="62">
        <f t="shared" si="73"/>
        <v>0</v>
      </c>
      <c r="Y159" s="62">
        <f t="shared" si="73"/>
        <v>0</v>
      </c>
      <c r="Z159" s="62">
        <f t="shared" si="73"/>
        <v>0</v>
      </c>
      <c r="AA159" s="64">
        <f>SUM(G159:Z159)</f>
        <v>19387335.002084531</v>
      </c>
      <c r="AB159" s="58" t="str">
        <f>IF(ABS(F159-AA159)&lt;0.01,"ok","err")</f>
        <v>ok</v>
      </c>
    </row>
    <row r="160" spans="1:28">
      <c r="F160" s="79"/>
    </row>
    <row r="161" spans="1:28" ht="15">
      <c r="A161" s="65" t="s">
        <v>353</v>
      </c>
      <c r="F161" s="79"/>
    </row>
    <row r="162" spans="1:28">
      <c r="A162" s="68" t="s">
        <v>1093</v>
      </c>
      <c r="C162" s="60" t="s">
        <v>984</v>
      </c>
      <c r="D162" s="60" t="s">
        <v>445</v>
      </c>
      <c r="E162" s="60" t="s">
        <v>1096</v>
      </c>
      <c r="F162" s="76">
        <f>VLOOKUP(C162,'Functional Assignment'!$C$2:$AP$780,'Functional Assignment'!$AA$2,)</f>
        <v>24509218.578202888</v>
      </c>
      <c r="G162" s="76">
        <f t="shared" ref="G162:Z162" si="74">IF(VLOOKUP($E162,$D$6:$AN$1131,3,)=0,0,(VLOOKUP($E162,$D$6:$AN$1131,G$2,)/VLOOKUP($E162,$D$6:$AN$1131,3,))*$F162)</f>
        <v>17154491.341496624</v>
      </c>
      <c r="H162" s="76">
        <f t="shared" si="74"/>
        <v>5043518.9212845676</v>
      </c>
      <c r="I162" s="76">
        <f t="shared" si="74"/>
        <v>0</v>
      </c>
      <c r="J162" s="76">
        <f t="shared" si="74"/>
        <v>196335.97656936073</v>
      </c>
      <c r="K162" s="76">
        <f t="shared" si="74"/>
        <v>1356754.6720947451</v>
      </c>
      <c r="L162" s="76">
        <f t="shared" si="74"/>
        <v>0</v>
      </c>
      <c r="M162" s="76">
        <f t="shared" si="74"/>
        <v>0</v>
      </c>
      <c r="N162" s="76">
        <f t="shared" si="74"/>
        <v>307443.49977290403</v>
      </c>
      <c r="O162" s="76">
        <f t="shared" si="74"/>
        <v>142933.11689720504</v>
      </c>
      <c r="P162" s="76">
        <f t="shared" si="74"/>
        <v>251501.1920344735</v>
      </c>
      <c r="Q162" s="76">
        <f t="shared" si="74"/>
        <v>2914.156395951697</v>
      </c>
      <c r="R162" s="76">
        <f t="shared" si="74"/>
        <v>2914.156395951697</v>
      </c>
      <c r="S162" s="76">
        <f t="shared" si="74"/>
        <v>0</v>
      </c>
      <c r="T162" s="76">
        <f t="shared" si="74"/>
        <v>7773.742960825236</v>
      </c>
      <c r="U162" s="76">
        <f t="shared" si="74"/>
        <v>42637.802300283875</v>
      </c>
      <c r="V162" s="76">
        <f t="shared" si="74"/>
        <v>0</v>
      </c>
      <c r="W162" s="76">
        <f t="shared" si="74"/>
        <v>0</v>
      </c>
      <c r="X162" s="62">
        <f t="shared" si="74"/>
        <v>0</v>
      </c>
      <c r="Y162" s="62">
        <f t="shared" si="74"/>
        <v>0</v>
      </c>
      <c r="Z162" s="62">
        <f t="shared" si="74"/>
        <v>0</v>
      </c>
      <c r="AA162" s="64">
        <f>SUM(G162:Z162)</f>
        <v>24509218.578202896</v>
      </c>
      <c r="AB162" s="58" t="str">
        <f>IF(ABS(F162-AA162)&lt;0.01,"ok","err")</f>
        <v>ok</v>
      </c>
    </row>
    <row r="163" spans="1:28">
      <c r="F163" s="79"/>
    </row>
    <row r="164" spans="1:28" ht="15">
      <c r="A164" s="65" t="s">
        <v>371</v>
      </c>
      <c r="F164" s="79"/>
    </row>
    <row r="165" spans="1:28">
      <c r="A165" s="68" t="s">
        <v>1093</v>
      </c>
      <c r="C165" s="60" t="s">
        <v>984</v>
      </c>
      <c r="D165" s="60" t="s">
        <v>446</v>
      </c>
      <c r="E165" s="60" t="s">
        <v>1097</v>
      </c>
      <c r="F165" s="76">
        <f>VLOOKUP(C165,'Functional Assignment'!$C$2:$AP$780,'Functional Assignment'!$AB$2,)</f>
        <v>61664819.905362248</v>
      </c>
      <c r="G165" s="76">
        <f t="shared" ref="G165:Z165" si="75">IF(VLOOKUP($E165,$D$6:$AN$1131,3,)=0,0,(VLOOKUP($E165,$D$6:$AN$1131,G$2,)/VLOOKUP($E165,$D$6:$AN$1131,3,))*$F165)</f>
        <v>0</v>
      </c>
      <c r="H165" s="76">
        <f t="shared" si="75"/>
        <v>0</v>
      </c>
      <c r="I165" s="76">
        <f t="shared" si="75"/>
        <v>0</v>
      </c>
      <c r="J165" s="76">
        <f t="shared" si="75"/>
        <v>0</v>
      </c>
      <c r="K165" s="76">
        <f t="shared" si="75"/>
        <v>0</v>
      </c>
      <c r="L165" s="76">
        <f t="shared" si="75"/>
        <v>0</v>
      </c>
      <c r="M165" s="76">
        <f t="shared" si="75"/>
        <v>0</v>
      </c>
      <c r="N165" s="76">
        <f t="shared" si="75"/>
        <v>0</v>
      </c>
      <c r="O165" s="76">
        <f t="shared" si="75"/>
        <v>0</v>
      </c>
      <c r="P165" s="76">
        <f t="shared" si="75"/>
        <v>0</v>
      </c>
      <c r="Q165" s="76">
        <f t="shared" si="75"/>
        <v>0</v>
      </c>
      <c r="R165" s="76">
        <f t="shared" si="75"/>
        <v>0</v>
      </c>
      <c r="S165" s="76">
        <f t="shared" si="75"/>
        <v>61664819.905362248</v>
      </c>
      <c r="T165" s="76">
        <f t="shared" si="75"/>
        <v>0</v>
      </c>
      <c r="U165" s="76">
        <f t="shared" si="75"/>
        <v>0</v>
      </c>
      <c r="V165" s="76">
        <f t="shared" si="75"/>
        <v>0</v>
      </c>
      <c r="W165" s="76">
        <f t="shared" si="75"/>
        <v>0</v>
      </c>
      <c r="X165" s="62">
        <f t="shared" si="75"/>
        <v>0</v>
      </c>
      <c r="Y165" s="62">
        <f t="shared" si="75"/>
        <v>0</v>
      </c>
      <c r="Z165" s="62">
        <f t="shared" si="75"/>
        <v>0</v>
      </c>
      <c r="AA165" s="64">
        <f>SUM(G165:Z165)</f>
        <v>61664819.905362248</v>
      </c>
      <c r="AB165" s="58" t="str">
        <f>IF(ABS(F165-AA165)&lt;0.01,"ok","err")</f>
        <v>ok</v>
      </c>
    </row>
    <row r="166" spans="1:28">
      <c r="F166" s="79"/>
    </row>
    <row r="167" spans="1:28" ht="15">
      <c r="A167" s="65" t="s">
        <v>1025</v>
      </c>
      <c r="F167" s="79"/>
    </row>
    <row r="168" spans="1:28">
      <c r="A168" s="68" t="s">
        <v>1093</v>
      </c>
      <c r="C168" s="60" t="s">
        <v>984</v>
      </c>
      <c r="D168" s="60" t="s">
        <v>447</v>
      </c>
      <c r="E168" s="60" t="s">
        <v>1098</v>
      </c>
      <c r="F168" s="76">
        <f>VLOOKUP(C168,'Functional Assignment'!$C$2:$AP$780,'Functional Assignment'!$AC$2,)</f>
        <v>2471535.7794325519</v>
      </c>
      <c r="G168" s="76">
        <f t="shared" ref="G168:Z168" si="76">IF(VLOOKUP($E168,$D$6:$AN$1131,3,)=0,0,(VLOOKUP($E168,$D$6:$AN$1131,G$2,)/VLOOKUP($E168,$D$6:$AN$1131,3,))*$F168)</f>
        <v>1841601.3498541708</v>
      </c>
      <c r="H168" s="76">
        <f t="shared" si="76"/>
        <v>457601.88366595068</v>
      </c>
      <c r="I168" s="76">
        <f t="shared" si="76"/>
        <v>0</v>
      </c>
      <c r="J168" s="76">
        <f t="shared" si="76"/>
        <v>1820.8178937566843</v>
      </c>
      <c r="K168" s="76">
        <f t="shared" si="76"/>
        <v>71420.738911358829</v>
      </c>
      <c r="L168" s="76">
        <f t="shared" si="76"/>
        <v>0</v>
      </c>
      <c r="M168" s="76">
        <f t="shared" si="76"/>
        <v>0</v>
      </c>
      <c r="N168" s="76">
        <f t="shared" si="76"/>
        <v>13340.01998550904</v>
      </c>
      <c r="O168" s="76">
        <f t="shared" si="76"/>
        <v>34899.009630336448</v>
      </c>
      <c r="P168" s="76">
        <f t="shared" si="76"/>
        <v>1643.7939318636732</v>
      </c>
      <c r="Q168" s="76">
        <f t="shared" si="76"/>
        <v>25.289137413287282</v>
      </c>
      <c r="R168" s="76">
        <f t="shared" si="76"/>
        <v>25.289137413287282</v>
      </c>
      <c r="S168" s="76">
        <f t="shared" si="76"/>
        <v>48556.267795174375</v>
      </c>
      <c r="T168" s="76">
        <f t="shared" si="76"/>
        <v>92.726837182053359</v>
      </c>
      <c r="U168" s="76">
        <f t="shared" si="76"/>
        <v>508.59265242277746</v>
      </c>
      <c r="V168" s="76">
        <f t="shared" si="76"/>
        <v>0</v>
      </c>
      <c r="W168" s="76">
        <f t="shared" si="76"/>
        <v>0</v>
      </c>
      <c r="X168" s="62">
        <f t="shared" si="76"/>
        <v>0</v>
      </c>
      <c r="Y168" s="62">
        <f t="shared" si="76"/>
        <v>0</v>
      </c>
      <c r="Z168" s="62">
        <f t="shared" si="76"/>
        <v>0</v>
      </c>
      <c r="AA168" s="64">
        <f>SUM(G168:Z168)</f>
        <v>2471535.7794325515</v>
      </c>
      <c r="AB168" s="58" t="str">
        <f>IF(ABS(F168-AA168)&lt;0.01,"ok","err")</f>
        <v>ok</v>
      </c>
    </row>
    <row r="169" spans="1:28">
      <c r="F169" s="79"/>
    </row>
    <row r="170" spans="1:28" ht="15">
      <c r="A170" s="65" t="s">
        <v>351</v>
      </c>
      <c r="F170" s="79"/>
    </row>
    <row r="171" spans="1:28">
      <c r="A171" s="68" t="s">
        <v>1093</v>
      </c>
      <c r="C171" s="60" t="s">
        <v>984</v>
      </c>
      <c r="D171" s="60" t="s">
        <v>448</v>
      </c>
      <c r="E171" s="60" t="s">
        <v>1099</v>
      </c>
      <c r="F171" s="76">
        <f>VLOOKUP(C171,'Functional Assignment'!$C$2:$AP$780,'Functional Assignment'!$AD$2,)</f>
        <v>539863.39561039058</v>
      </c>
      <c r="G171" s="76">
        <f t="shared" ref="G171:Z171" si="77">IF(VLOOKUP($E171,$D$6:$AN$1131,3,)=0,0,(VLOOKUP($E171,$D$6:$AN$1131,G$2,)/VLOOKUP($E171,$D$6:$AN$1131,3,))*$F171)</f>
        <v>465409.05332820688</v>
      </c>
      <c r="H171" s="76">
        <f t="shared" si="77"/>
        <v>57822.519378322235</v>
      </c>
      <c r="I171" s="76">
        <f t="shared" si="77"/>
        <v>0</v>
      </c>
      <c r="J171" s="76">
        <f t="shared" si="77"/>
        <v>92.031332653341309</v>
      </c>
      <c r="K171" s="76">
        <f t="shared" si="77"/>
        <v>3609.8864162288623</v>
      </c>
      <c r="L171" s="76">
        <f t="shared" si="77"/>
        <v>0</v>
      </c>
      <c r="M171" s="76">
        <f t="shared" si="77"/>
        <v>0</v>
      </c>
      <c r="N171" s="76">
        <f t="shared" si="77"/>
        <v>134.8514665962154</v>
      </c>
      <c r="O171" s="76">
        <f t="shared" si="77"/>
        <v>352.7867751711417</v>
      </c>
      <c r="P171" s="76">
        <f t="shared" si="77"/>
        <v>16.616768395742181</v>
      </c>
      <c r="Q171" s="76">
        <f t="shared" si="77"/>
        <v>1.2782129535186293</v>
      </c>
      <c r="R171" s="76">
        <f t="shared" si="77"/>
        <v>1.2782129535186293</v>
      </c>
      <c r="S171" s="76">
        <f t="shared" si="77"/>
        <v>12271.128401101845</v>
      </c>
      <c r="T171" s="76">
        <f t="shared" si="77"/>
        <v>23.433904147841535</v>
      </c>
      <c r="U171" s="76">
        <f t="shared" si="77"/>
        <v>128.5314136593733</v>
      </c>
      <c r="V171" s="76">
        <f t="shared" si="77"/>
        <v>0</v>
      </c>
      <c r="W171" s="76">
        <f t="shared" si="77"/>
        <v>0</v>
      </c>
      <c r="X171" s="62">
        <f t="shared" si="77"/>
        <v>0</v>
      </c>
      <c r="Y171" s="62">
        <f t="shared" si="77"/>
        <v>0</v>
      </c>
      <c r="Z171" s="62">
        <f t="shared" si="77"/>
        <v>0</v>
      </c>
      <c r="AA171" s="64">
        <f>SUM(G171:Z171)</f>
        <v>539863.39561039046</v>
      </c>
      <c r="AB171" s="58" t="str">
        <f>IF(ABS(F171-AA171)&lt;0.01,"ok","err")</f>
        <v>ok</v>
      </c>
    </row>
    <row r="172" spans="1:28">
      <c r="F172" s="79"/>
    </row>
    <row r="173" spans="1:28" ht="15">
      <c r="A173" s="65" t="s">
        <v>350</v>
      </c>
      <c r="F173" s="79"/>
    </row>
    <row r="174" spans="1:28">
      <c r="A174" s="68" t="s">
        <v>1093</v>
      </c>
      <c r="C174" s="60" t="s">
        <v>984</v>
      </c>
      <c r="D174" s="60" t="s">
        <v>449</v>
      </c>
      <c r="E174" s="60" t="s">
        <v>1099</v>
      </c>
      <c r="F174" s="76">
        <f>VLOOKUP(C174,'Functional Assignment'!$C$2:$AP$780,'Functional Assignment'!$AE$2,)</f>
        <v>0</v>
      </c>
      <c r="G174" s="76">
        <f t="shared" ref="G174:Z174" si="78">IF(VLOOKUP($E174,$D$6:$AN$1131,3,)=0,0,(VLOOKUP($E174,$D$6:$AN$1131,G$2,)/VLOOKUP($E174,$D$6:$AN$1131,3,))*$F174)</f>
        <v>0</v>
      </c>
      <c r="H174" s="76">
        <f t="shared" si="78"/>
        <v>0</v>
      </c>
      <c r="I174" s="76">
        <f t="shared" si="78"/>
        <v>0</v>
      </c>
      <c r="J174" s="76">
        <f t="shared" si="78"/>
        <v>0</v>
      </c>
      <c r="K174" s="76">
        <f t="shared" si="78"/>
        <v>0</v>
      </c>
      <c r="L174" s="76">
        <f t="shared" si="78"/>
        <v>0</v>
      </c>
      <c r="M174" s="76">
        <f t="shared" si="78"/>
        <v>0</v>
      </c>
      <c r="N174" s="76">
        <f t="shared" si="78"/>
        <v>0</v>
      </c>
      <c r="O174" s="76">
        <f t="shared" si="78"/>
        <v>0</v>
      </c>
      <c r="P174" s="76">
        <f t="shared" si="78"/>
        <v>0</v>
      </c>
      <c r="Q174" s="76">
        <f t="shared" si="78"/>
        <v>0</v>
      </c>
      <c r="R174" s="76">
        <f t="shared" si="78"/>
        <v>0</v>
      </c>
      <c r="S174" s="76">
        <f t="shared" si="78"/>
        <v>0</v>
      </c>
      <c r="T174" s="76">
        <f t="shared" si="78"/>
        <v>0</v>
      </c>
      <c r="U174" s="76">
        <f t="shared" si="78"/>
        <v>0</v>
      </c>
      <c r="V174" s="76">
        <f t="shared" si="78"/>
        <v>0</v>
      </c>
      <c r="W174" s="76">
        <f t="shared" si="78"/>
        <v>0</v>
      </c>
      <c r="X174" s="62">
        <f t="shared" si="78"/>
        <v>0</v>
      </c>
      <c r="Y174" s="62">
        <f t="shared" si="78"/>
        <v>0</v>
      </c>
      <c r="Z174" s="62">
        <f t="shared" si="78"/>
        <v>0</v>
      </c>
      <c r="AA174" s="64">
        <f>SUM(G174:Z174)</f>
        <v>0</v>
      </c>
      <c r="AB174" s="58" t="str">
        <f>IF(ABS(F174-AA174)&lt;0.01,"ok","err")</f>
        <v>ok</v>
      </c>
    </row>
    <row r="175" spans="1:28">
      <c r="F175" s="79"/>
    </row>
    <row r="176" spans="1:28">
      <c r="A176" s="60" t="s">
        <v>922</v>
      </c>
      <c r="D176" s="60" t="s">
        <v>1104</v>
      </c>
      <c r="F176" s="76">
        <f>F131+F137+F140+F143+F151+F156+F159+F162+F165+F168+F171+F174</f>
        <v>2380933927.241509</v>
      </c>
      <c r="G176" s="76">
        <f t="shared" ref="G176:Z176" si="79">G131+G137+G140+G143+G151+G156+G159+G162+G165+G168+G171+G174</f>
        <v>1151746077.2153518</v>
      </c>
      <c r="H176" s="76">
        <f t="shared" si="79"/>
        <v>302071164.72748941</v>
      </c>
      <c r="I176" s="76">
        <f t="shared" si="79"/>
        <v>0</v>
      </c>
      <c r="J176" s="76">
        <f t="shared" si="79"/>
        <v>22598765.024464671</v>
      </c>
      <c r="K176" s="76">
        <f t="shared" si="79"/>
        <v>290318355.05589318</v>
      </c>
      <c r="L176" s="76">
        <f t="shared" si="79"/>
        <v>0</v>
      </c>
      <c r="M176" s="76">
        <f t="shared" si="79"/>
        <v>0</v>
      </c>
      <c r="N176" s="76">
        <f t="shared" si="79"/>
        <v>242194583.63978818</v>
      </c>
      <c r="O176" s="76">
        <f>O131+O137+O140+O143+O151+O156+O159+O162+O165+O168+O171+O174</f>
        <v>143524479.34195939</v>
      </c>
      <c r="P176" s="76">
        <f t="shared" si="79"/>
        <v>127237257.44781397</v>
      </c>
      <c r="Q176" s="76">
        <f t="shared" si="79"/>
        <v>15203335.994018935</v>
      </c>
      <c r="R176" s="76">
        <f t="shared" si="79"/>
        <v>7082689.0574253704</v>
      </c>
      <c r="S176" s="76">
        <f t="shared" si="79"/>
        <v>78174244.52773416</v>
      </c>
      <c r="T176" s="76">
        <f t="shared" si="79"/>
        <v>308732.70736411982</v>
      </c>
      <c r="U176" s="76">
        <f t="shared" si="79"/>
        <v>474242.50220579916</v>
      </c>
      <c r="V176" s="76">
        <f t="shared" si="79"/>
        <v>0</v>
      </c>
      <c r="W176" s="76">
        <f t="shared" si="79"/>
        <v>0</v>
      </c>
      <c r="X176" s="62">
        <f t="shared" si="79"/>
        <v>0</v>
      </c>
      <c r="Y176" s="62">
        <f t="shared" si="79"/>
        <v>0</v>
      </c>
      <c r="Z176" s="62">
        <f t="shared" si="79"/>
        <v>0</v>
      </c>
      <c r="AA176" s="64">
        <f>SUM(G176:Z176)</f>
        <v>2380933927.2415094</v>
      </c>
      <c r="AB176" s="58" t="str">
        <f>IF(ABS(F176-AA176)&lt;0.01,"ok","err")</f>
        <v>ok</v>
      </c>
    </row>
    <row r="179" spans="1:28" ht="15">
      <c r="A179" s="65" t="s">
        <v>975</v>
      </c>
    </row>
    <row r="181" spans="1:28" ht="15">
      <c r="A181" s="65" t="s">
        <v>364</v>
      </c>
    </row>
    <row r="182" spans="1:28">
      <c r="A182" s="68" t="s">
        <v>359</v>
      </c>
      <c r="C182" s="60" t="s">
        <v>1068</v>
      </c>
      <c r="D182" s="60" t="s">
        <v>450</v>
      </c>
      <c r="E182" s="60" t="s">
        <v>869</v>
      </c>
      <c r="F182" s="76">
        <f>VLOOKUP(C182,'Functional Assignment'!$C$2:$AP$780,'Functional Assignment'!$H$2,)</f>
        <v>33223399.69324439</v>
      </c>
      <c r="G182" s="76">
        <f t="shared" ref="G182:P187" si="80">IF(VLOOKUP($E182,$D$6:$AN$1131,3,)=0,0,(VLOOKUP($E182,$D$6:$AN$1131,G$2,)/VLOOKUP($E182,$D$6:$AN$1131,3,))*$F182)</f>
        <v>12019496.181291036</v>
      </c>
      <c r="H182" s="76">
        <f t="shared" si="80"/>
        <v>3905905.9991543591</v>
      </c>
      <c r="I182" s="76">
        <f t="shared" si="80"/>
        <v>0</v>
      </c>
      <c r="J182" s="76">
        <f t="shared" si="80"/>
        <v>465200.04562355008</v>
      </c>
      <c r="K182" s="76">
        <f t="shared" si="80"/>
        <v>5389945.8463299237</v>
      </c>
      <c r="L182" s="76">
        <f t="shared" si="80"/>
        <v>0</v>
      </c>
      <c r="M182" s="76">
        <f t="shared" si="80"/>
        <v>0</v>
      </c>
      <c r="N182" s="76">
        <f t="shared" si="80"/>
        <v>5202794.1984608015</v>
      </c>
      <c r="O182" s="76">
        <f t="shared" si="80"/>
        <v>2288259.5704960665</v>
      </c>
      <c r="P182" s="76">
        <f t="shared" si="80"/>
        <v>3168103.1934952135</v>
      </c>
      <c r="Q182" s="76">
        <f t="shared" ref="Q182:Z187" si="81">IF(VLOOKUP($E182,$D$6:$AN$1131,3,)=0,0,(VLOOKUP($E182,$D$6:$AN$1131,Q$2,)/VLOOKUP($E182,$D$6:$AN$1131,3,))*$F182)</f>
        <v>309222.84114188404</v>
      </c>
      <c r="R182" s="76">
        <f t="shared" si="81"/>
        <v>163361.32843666791</v>
      </c>
      <c r="S182" s="76">
        <f t="shared" si="81"/>
        <v>292632.91746175947</v>
      </c>
      <c r="T182" s="76">
        <f t="shared" si="81"/>
        <v>9538.7331992050331</v>
      </c>
      <c r="U182" s="76">
        <f t="shared" si="81"/>
        <v>8938.8381539302882</v>
      </c>
      <c r="V182" s="76">
        <f t="shared" si="81"/>
        <v>0</v>
      </c>
      <c r="W182" s="76">
        <f t="shared" si="81"/>
        <v>0</v>
      </c>
      <c r="X182" s="62">
        <f t="shared" si="81"/>
        <v>0</v>
      </c>
      <c r="Y182" s="62">
        <f t="shared" si="81"/>
        <v>0</v>
      </c>
      <c r="Z182" s="62">
        <f t="shared" si="81"/>
        <v>0</v>
      </c>
      <c r="AA182" s="64">
        <f t="shared" ref="AA182:AA188" si="82">SUM(G182:Z182)</f>
        <v>33223399.693244401</v>
      </c>
      <c r="AB182" s="58" t="str">
        <f t="shared" ref="AB182:AB188" si="83">IF(ABS(F182-AA182)&lt;0.01,"ok","err")</f>
        <v>ok</v>
      </c>
    </row>
    <row r="183" spans="1:28">
      <c r="A183" s="68" t="s">
        <v>1255</v>
      </c>
      <c r="C183" s="60" t="s">
        <v>1068</v>
      </c>
      <c r="D183" s="60" t="s">
        <v>451</v>
      </c>
      <c r="E183" s="60" t="s">
        <v>188</v>
      </c>
      <c r="F183" s="79">
        <f>VLOOKUP(C183,'Functional Assignment'!$C$2:$AP$780,'Functional Assignment'!$I$2,)</f>
        <v>34803614.031254336</v>
      </c>
      <c r="G183" s="79">
        <f t="shared" si="80"/>
        <v>14872217.142079901</v>
      </c>
      <c r="H183" s="79">
        <f t="shared" si="80"/>
        <v>4866523.3276489591</v>
      </c>
      <c r="I183" s="79">
        <f t="shared" si="80"/>
        <v>0</v>
      </c>
      <c r="J183" s="79">
        <f t="shared" si="80"/>
        <v>378440.79919657263</v>
      </c>
      <c r="K183" s="79">
        <f t="shared" si="80"/>
        <v>5092353.3553589312</v>
      </c>
      <c r="L183" s="79">
        <f t="shared" si="80"/>
        <v>0</v>
      </c>
      <c r="M183" s="79">
        <f t="shared" si="80"/>
        <v>0</v>
      </c>
      <c r="N183" s="79">
        <f t="shared" si="80"/>
        <v>4055270.2157698162</v>
      </c>
      <c r="O183" s="79">
        <f t="shared" si="80"/>
        <v>2719521.3663207921</v>
      </c>
      <c r="P183" s="79">
        <f t="shared" si="80"/>
        <v>2425592.1998527898</v>
      </c>
      <c r="Q183" s="79">
        <f t="shared" si="81"/>
        <v>280050.00293131813</v>
      </c>
      <c r="R183" s="79">
        <f t="shared" si="81"/>
        <v>106448.0941224047</v>
      </c>
      <c r="S183" s="79">
        <f t="shared" si="81"/>
        <v>0</v>
      </c>
      <c r="T183" s="79">
        <f t="shared" si="81"/>
        <v>0</v>
      </c>
      <c r="U183" s="79">
        <f t="shared" si="81"/>
        <v>7197.5279728527403</v>
      </c>
      <c r="V183" s="79">
        <f t="shared" si="81"/>
        <v>0</v>
      </c>
      <c r="W183" s="79">
        <f t="shared" si="81"/>
        <v>0</v>
      </c>
      <c r="X183" s="63">
        <f t="shared" si="81"/>
        <v>0</v>
      </c>
      <c r="Y183" s="63">
        <f t="shared" si="81"/>
        <v>0</v>
      </c>
      <c r="Z183" s="63">
        <f t="shared" si="81"/>
        <v>0</v>
      </c>
      <c r="AA183" s="63">
        <f t="shared" si="82"/>
        <v>34803614.031254336</v>
      </c>
      <c r="AB183" s="58" t="str">
        <f t="shared" si="83"/>
        <v>ok</v>
      </c>
    </row>
    <row r="184" spans="1:28">
      <c r="A184" s="68" t="s">
        <v>1256</v>
      </c>
      <c r="C184" s="60" t="s">
        <v>1068</v>
      </c>
      <c r="D184" s="60" t="s">
        <v>452</v>
      </c>
      <c r="E184" s="60" t="s">
        <v>191</v>
      </c>
      <c r="F184" s="79">
        <f>VLOOKUP(C184,'Functional Assignment'!$C$2:$AP$780,'Functional Assignment'!$J$2,)</f>
        <v>28608453.375186369</v>
      </c>
      <c r="G184" s="79">
        <f t="shared" si="80"/>
        <v>11187336.071748765</v>
      </c>
      <c r="H184" s="79">
        <f t="shared" si="80"/>
        <v>4042826.1604645131</v>
      </c>
      <c r="I184" s="79">
        <f t="shared" si="80"/>
        <v>0</v>
      </c>
      <c r="J184" s="79">
        <f t="shared" si="80"/>
        <v>333419.21088114928</v>
      </c>
      <c r="K184" s="79">
        <f t="shared" si="80"/>
        <v>4706292.5648082271</v>
      </c>
      <c r="L184" s="79">
        <f t="shared" si="80"/>
        <v>0</v>
      </c>
      <c r="M184" s="79">
        <f t="shared" si="80"/>
        <v>0</v>
      </c>
      <c r="N184" s="79">
        <f t="shared" si="80"/>
        <v>3559490.7401403729</v>
      </c>
      <c r="O184" s="79">
        <f t="shared" si="80"/>
        <v>2404150.4907768816</v>
      </c>
      <c r="P184" s="79">
        <f t="shared" si="80"/>
        <v>2058636.7129335681</v>
      </c>
      <c r="Q184" s="79">
        <f t="shared" si="81"/>
        <v>222285.14197147096</v>
      </c>
      <c r="R184" s="79">
        <f t="shared" si="81"/>
        <v>89982.461271263528</v>
      </c>
      <c r="S184" s="79">
        <f t="shared" si="81"/>
        <v>0</v>
      </c>
      <c r="T184" s="79">
        <f t="shared" si="81"/>
        <v>0</v>
      </c>
      <c r="U184" s="79">
        <f t="shared" si="81"/>
        <v>4033.8201901539669</v>
      </c>
      <c r="V184" s="79">
        <f t="shared" si="81"/>
        <v>0</v>
      </c>
      <c r="W184" s="79">
        <f t="shared" si="81"/>
        <v>0</v>
      </c>
      <c r="X184" s="63">
        <f t="shared" si="81"/>
        <v>0</v>
      </c>
      <c r="Y184" s="63">
        <f t="shared" si="81"/>
        <v>0</v>
      </c>
      <c r="Z184" s="63">
        <f t="shared" si="81"/>
        <v>0</v>
      </c>
      <c r="AA184" s="63">
        <f t="shared" si="82"/>
        <v>28608453.375186361</v>
      </c>
      <c r="AB184" s="58" t="str">
        <f t="shared" si="83"/>
        <v>ok</v>
      </c>
    </row>
    <row r="185" spans="1:28">
      <c r="A185" s="68" t="s">
        <v>1257</v>
      </c>
      <c r="C185" s="60" t="s">
        <v>1068</v>
      </c>
      <c r="D185" s="60" t="s">
        <v>453</v>
      </c>
      <c r="E185" s="60" t="s">
        <v>1091</v>
      </c>
      <c r="F185" s="79">
        <f>VLOOKUP(C185,'Functional Assignment'!$C$2:$AP$780,'Functional Assignment'!$K$2,)</f>
        <v>465540988.35893065</v>
      </c>
      <c r="G185" s="79">
        <f t="shared" si="80"/>
        <v>168422502.43944997</v>
      </c>
      <c r="H185" s="79">
        <f t="shared" si="80"/>
        <v>54731283.690887347</v>
      </c>
      <c r="I185" s="79">
        <f t="shared" si="80"/>
        <v>0</v>
      </c>
      <c r="J185" s="79">
        <f t="shared" si="80"/>
        <v>6518587.5688679339</v>
      </c>
      <c r="K185" s="79">
        <f t="shared" si="80"/>
        <v>75526308.694867209</v>
      </c>
      <c r="L185" s="79">
        <f t="shared" si="80"/>
        <v>0</v>
      </c>
      <c r="M185" s="79">
        <f t="shared" si="80"/>
        <v>0</v>
      </c>
      <c r="N185" s="79">
        <f t="shared" si="80"/>
        <v>72903854.868150339</v>
      </c>
      <c r="O185" s="79">
        <f t="shared" si="80"/>
        <v>32064107.730646107</v>
      </c>
      <c r="P185" s="79">
        <f t="shared" si="80"/>
        <v>44392865.316353843</v>
      </c>
      <c r="Q185" s="79">
        <f t="shared" si="81"/>
        <v>4332968.9052965427</v>
      </c>
      <c r="R185" s="79">
        <f t="shared" si="81"/>
        <v>2289091.3171369969</v>
      </c>
      <c r="S185" s="79">
        <f t="shared" si="81"/>
        <v>4100500.4460437791</v>
      </c>
      <c r="T185" s="79">
        <f t="shared" si="81"/>
        <v>133662.33427003646</v>
      </c>
      <c r="U185" s="79">
        <f t="shared" si="81"/>
        <v>125255.04696051993</v>
      </c>
      <c r="V185" s="79">
        <f t="shared" si="81"/>
        <v>0</v>
      </c>
      <c r="W185" s="79">
        <f t="shared" si="81"/>
        <v>0</v>
      </c>
      <c r="X185" s="63">
        <f t="shared" si="81"/>
        <v>0</v>
      </c>
      <c r="Y185" s="63">
        <f t="shared" si="81"/>
        <v>0</v>
      </c>
      <c r="Z185" s="63">
        <f t="shared" si="81"/>
        <v>0</v>
      </c>
      <c r="AA185" s="63">
        <f t="shared" si="82"/>
        <v>465540988.35893071</v>
      </c>
      <c r="AB185" s="58" t="str">
        <f t="shared" si="83"/>
        <v>ok</v>
      </c>
    </row>
    <row r="186" spans="1:28" hidden="1">
      <c r="A186" s="68" t="s">
        <v>1258</v>
      </c>
      <c r="C186" s="60" t="s">
        <v>1068</v>
      </c>
      <c r="D186" s="60" t="s">
        <v>454</v>
      </c>
      <c r="E186" s="60" t="s">
        <v>1091</v>
      </c>
      <c r="F186" s="79">
        <f>VLOOKUP(C186,'Functional Assignment'!$C$2:$AP$780,'Functional Assignment'!$L$2,)</f>
        <v>0</v>
      </c>
      <c r="G186" s="79">
        <f t="shared" si="80"/>
        <v>0</v>
      </c>
      <c r="H186" s="79">
        <f t="shared" si="80"/>
        <v>0</v>
      </c>
      <c r="I186" s="79">
        <f t="shared" si="80"/>
        <v>0</v>
      </c>
      <c r="J186" s="79">
        <f t="shared" si="80"/>
        <v>0</v>
      </c>
      <c r="K186" s="79">
        <f t="shared" si="80"/>
        <v>0</v>
      </c>
      <c r="L186" s="79">
        <f t="shared" si="80"/>
        <v>0</v>
      </c>
      <c r="M186" s="79">
        <f t="shared" si="80"/>
        <v>0</v>
      </c>
      <c r="N186" s="79">
        <f t="shared" si="80"/>
        <v>0</v>
      </c>
      <c r="O186" s="79">
        <f t="shared" si="80"/>
        <v>0</v>
      </c>
      <c r="P186" s="79">
        <f t="shared" si="80"/>
        <v>0</v>
      </c>
      <c r="Q186" s="79">
        <f t="shared" si="81"/>
        <v>0</v>
      </c>
      <c r="R186" s="79">
        <f t="shared" si="81"/>
        <v>0</v>
      </c>
      <c r="S186" s="79">
        <f t="shared" si="81"/>
        <v>0</v>
      </c>
      <c r="T186" s="79">
        <f t="shared" si="81"/>
        <v>0</v>
      </c>
      <c r="U186" s="79">
        <f t="shared" si="81"/>
        <v>0</v>
      </c>
      <c r="V186" s="79">
        <f t="shared" si="81"/>
        <v>0</v>
      </c>
      <c r="W186" s="79">
        <f t="shared" si="81"/>
        <v>0</v>
      </c>
      <c r="X186" s="63">
        <f t="shared" si="81"/>
        <v>0</v>
      </c>
      <c r="Y186" s="63">
        <f t="shared" si="81"/>
        <v>0</v>
      </c>
      <c r="Z186" s="63">
        <f t="shared" si="81"/>
        <v>0</v>
      </c>
      <c r="AA186" s="63">
        <f t="shared" si="82"/>
        <v>0</v>
      </c>
      <c r="AB186" s="58" t="str">
        <f t="shared" si="83"/>
        <v>ok</v>
      </c>
    </row>
    <row r="187" spans="1:28" hidden="1">
      <c r="A187" s="68" t="s">
        <v>1258</v>
      </c>
      <c r="C187" s="60" t="s">
        <v>1068</v>
      </c>
      <c r="D187" s="60" t="s">
        <v>455</v>
      </c>
      <c r="E187" s="60" t="s">
        <v>1091</v>
      </c>
      <c r="F187" s="79">
        <f>VLOOKUP(C187,'Functional Assignment'!$C$2:$AP$780,'Functional Assignment'!$M$2,)</f>
        <v>0</v>
      </c>
      <c r="G187" s="79">
        <f t="shared" si="80"/>
        <v>0</v>
      </c>
      <c r="H187" s="79">
        <f t="shared" si="80"/>
        <v>0</v>
      </c>
      <c r="I187" s="79">
        <f t="shared" si="80"/>
        <v>0</v>
      </c>
      <c r="J187" s="79">
        <f t="shared" si="80"/>
        <v>0</v>
      </c>
      <c r="K187" s="79">
        <f t="shared" si="80"/>
        <v>0</v>
      </c>
      <c r="L187" s="79">
        <f t="shared" si="80"/>
        <v>0</v>
      </c>
      <c r="M187" s="79">
        <f t="shared" si="80"/>
        <v>0</v>
      </c>
      <c r="N187" s="79">
        <f t="shared" si="80"/>
        <v>0</v>
      </c>
      <c r="O187" s="79">
        <f t="shared" si="80"/>
        <v>0</v>
      </c>
      <c r="P187" s="79">
        <f t="shared" si="80"/>
        <v>0</v>
      </c>
      <c r="Q187" s="79">
        <f t="shared" si="81"/>
        <v>0</v>
      </c>
      <c r="R187" s="79">
        <f t="shared" si="81"/>
        <v>0</v>
      </c>
      <c r="S187" s="79">
        <f t="shared" si="81"/>
        <v>0</v>
      </c>
      <c r="T187" s="79">
        <f t="shared" si="81"/>
        <v>0</v>
      </c>
      <c r="U187" s="79">
        <f t="shared" si="81"/>
        <v>0</v>
      </c>
      <c r="V187" s="79">
        <f t="shared" si="81"/>
        <v>0</v>
      </c>
      <c r="W187" s="79">
        <f t="shared" si="81"/>
        <v>0</v>
      </c>
      <c r="X187" s="63">
        <f t="shared" si="81"/>
        <v>0</v>
      </c>
      <c r="Y187" s="63">
        <f t="shared" si="81"/>
        <v>0</v>
      </c>
      <c r="Z187" s="63">
        <f t="shared" si="81"/>
        <v>0</v>
      </c>
      <c r="AA187" s="63">
        <f t="shared" si="82"/>
        <v>0</v>
      </c>
      <c r="AB187" s="58" t="str">
        <f t="shared" si="83"/>
        <v>ok</v>
      </c>
    </row>
    <row r="188" spans="1:28">
      <c r="A188" s="60" t="s">
        <v>387</v>
      </c>
      <c r="D188" s="60" t="s">
        <v>1105</v>
      </c>
      <c r="F188" s="76">
        <f>SUM(F182:F187)</f>
        <v>562176455.45861578</v>
      </c>
      <c r="G188" s="76">
        <f t="shared" ref="G188:P188" si="84">SUM(G182:G187)</f>
        <v>206501551.83456966</v>
      </c>
      <c r="H188" s="76">
        <f t="shared" si="84"/>
        <v>67546539.178155184</v>
      </c>
      <c r="I188" s="76">
        <f t="shared" si="84"/>
        <v>0</v>
      </c>
      <c r="J188" s="76">
        <f t="shared" si="84"/>
        <v>7695647.6245692056</v>
      </c>
      <c r="K188" s="76">
        <f t="shared" si="84"/>
        <v>90714900.461364299</v>
      </c>
      <c r="L188" s="76">
        <f t="shared" si="84"/>
        <v>0</v>
      </c>
      <c r="M188" s="76">
        <f t="shared" si="84"/>
        <v>0</v>
      </c>
      <c r="N188" s="76">
        <f t="shared" si="84"/>
        <v>85721410.022521332</v>
      </c>
      <c r="O188" s="76">
        <f>SUM(O182:O187)</f>
        <v>39476039.158239849</v>
      </c>
      <c r="P188" s="76">
        <f t="shared" si="84"/>
        <v>52045197.422635414</v>
      </c>
      <c r="Q188" s="76">
        <f t="shared" ref="Q188:W188" si="85">SUM(Q182:Q187)</f>
        <v>5144526.8913412159</v>
      </c>
      <c r="R188" s="76">
        <f t="shared" si="85"/>
        <v>2648883.2009673333</v>
      </c>
      <c r="S188" s="76">
        <f t="shared" si="85"/>
        <v>4393133.3635055386</v>
      </c>
      <c r="T188" s="76">
        <f t="shared" si="85"/>
        <v>143201.06746924151</v>
      </c>
      <c r="U188" s="76">
        <f t="shared" si="85"/>
        <v>145425.23327745692</v>
      </c>
      <c r="V188" s="76">
        <f t="shared" si="85"/>
        <v>0</v>
      </c>
      <c r="W188" s="76">
        <f t="shared" si="85"/>
        <v>0</v>
      </c>
      <c r="X188" s="62">
        <f>SUM(X182:X187)</f>
        <v>0</v>
      </c>
      <c r="Y188" s="62">
        <f>SUM(Y182:Y187)</f>
        <v>0</v>
      </c>
      <c r="Z188" s="62">
        <f>SUM(Z182:Z187)</f>
        <v>0</v>
      </c>
      <c r="AA188" s="64">
        <f t="shared" si="82"/>
        <v>562176455.45861554</v>
      </c>
      <c r="AB188" s="58" t="str">
        <f t="shared" si="83"/>
        <v>ok</v>
      </c>
    </row>
    <row r="189" spans="1:28">
      <c r="F189" s="79"/>
      <c r="G189" s="79"/>
    </row>
    <row r="190" spans="1:28" ht="15">
      <c r="A190" s="65" t="s">
        <v>1131</v>
      </c>
      <c r="F190" s="79"/>
      <c r="G190" s="79"/>
    </row>
    <row r="191" spans="1:28">
      <c r="A191" s="68" t="s">
        <v>1363</v>
      </c>
      <c r="C191" s="60" t="s">
        <v>1068</v>
      </c>
      <c r="D191" s="60" t="s">
        <v>456</v>
      </c>
      <c r="E191" s="60" t="s">
        <v>1367</v>
      </c>
      <c r="F191" s="76">
        <f>VLOOKUP(C191,'Functional Assignment'!$C$2:$AP$780,'Functional Assignment'!$N$2,)</f>
        <v>22151694.551854581</v>
      </c>
      <c r="G191" s="76">
        <f t="shared" ref="G191:P193" si="86">IF(VLOOKUP($E191,$D$6:$AN$1131,3,)=0,0,(VLOOKUP($E191,$D$6:$AN$1131,G$2,)/VLOOKUP($E191,$D$6:$AN$1131,3,))*$F191)</f>
        <v>9843945.0934296139</v>
      </c>
      <c r="H191" s="76">
        <f t="shared" si="86"/>
        <v>2833552.1934413416</v>
      </c>
      <c r="I191" s="76">
        <f t="shared" si="86"/>
        <v>0</v>
      </c>
      <c r="J191" s="76">
        <f t="shared" si="86"/>
        <v>251763.59360683861</v>
      </c>
      <c r="K191" s="76">
        <f t="shared" si="86"/>
        <v>2922121.3850279599</v>
      </c>
      <c r="L191" s="76">
        <f t="shared" si="86"/>
        <v>0</v>
      </c>
      <c r="M191" s="76">
        <f t="shared" si="86"/>
        <v>0</v>
      </c>
      <c r="N191" s="76">
        <f t="shared" si="86"/>
        <v>2658238.7789754085</v>
      </c>
      <c r="O191" s="76">
        <f t="shared" si="86"/>
        <v>1578322.6756343157</v>
      </c>
      <c r="P191" s="76">
        <f t="shared" si="86"/>
        <v>1634854.5105856331</v>
      </c>
      <c r="Q191" s="76">
        <f t="shared" ref="Q191:Z193" si="87">IF(VLOOKUP($E191,$D$6:$AN$1131,3,)=0,0,(VLOOKUP($E191,$D$6:$AN$1131,Q$2,)/VLOOKUP($E191,$D$6:$AN$1131,3,))*$F191)</f>
        <v>164800.53281259272</v>
      </c>
      <c r="R191" s="76">
        <f t="shared" si="87"/>
        <v>86258.969885143466</v>
      </c>
      <c r="S191" s="76">
        <f t="shared" si="87"/>
        <v>169926.37865111072</v>
      </c>
      <c r="T191" s="76">
        <f t="shared" si="87"/>
        <v>5434.7361067974307</v>
      </c>
      <c r="U191" s="76">
        <f t="shared" si="87"/>
        <v>2475.7036978294514</v>
      </c>
      <c r="V191" s="76">
        <f t="shared" si="87"/>
        <v>0</v>
      </c>
      <c r="W191" s="76">
        <f t="shared" si="87"/>
        <v>0</v>
      </c>
      <c r="X191" s="62">
        <f t="shared" si="87"/>
        <v>0</v>
      </c>
      <c r="Y191" s="62">
        <f t="shared" si="87"/>
        <v>0</v>
      </c>
      <c r="Z191" s="62">
        <f t="shared" si="87"/>
        <v>0</v>
      </c>
      <c r="AA191" s="64">
        <f>SUM(G191:Z191)</f>
        <v>22151694.551854592</v>
      </c>
      <c r="AB191" s="58" t="str">
        <f>IF(ABS(F191-AA191)&lt;0.01,"ok","err")</f>
        <v>ok</v>
      </c>
    </row>
    <row r="192" spans="1:28" hidden="1">
      <c r="A192" s="68" t="s">
        <v>1364</v>
      </c>
      <c r="C192" s="60" t="s">
        <v>1068</v>
      </c>
      <c r="D192" s="60" t="s">
        <v>457</v>
      </c>
      <c r="E192" s="60" t="s">
        <v>188</v>
      </c>
      <c r="F192" s="79">
        <f>VLOOKUP(C192,'Functional Assignment'!$C$2:$AP$780,'Functional Assignment'!$O$2,)</f>
        <v>0</v>
      </c>
      <c r="G192" s="79">
        <f t="shared" si="86"/>
        <v>0</v>
      </c>
      <c r="H192" s="79">
        <f t="shared" si="86"/>
        <v>0</v>
      </c>
      <c r="I192" s="79">
        <f t="shared" si="86"/>
        <v>0</v>
      </c>
      <c r="J192" s="79">
        <f t="shared" si="86"/>
        <v>0</v>
      </c>
      <c r="K192" s="79">
        <f t="shared" si="86"/>
        <v>0</v>
      </c>
      <c r="L192" s="79">
        <f t="shared" si="86"/>
        <v>0</v>
      </c>
      <c r="M192" s="79">
        <f t="shared" si="86"/>
        <v>0</v>
      </c>
      <c r="N192" s="79">
        <f t="shared" si="86"/>
        <v>0</v>
      </c>
      <c r="O192" s="79">
        <f t="shared" si="86"/>
        <v>0</v>
      </c>
      <c r="P192" s="79">
        <f t="shared" si="86"/>
        <v>0</v>
      </c>
      <c r="Q192" s="79">
        <f t="shared" si="87"/>
        <v>0</v>
      </c>
      <c r="R192" s="79">
        <f t="shared" si="87"/>
        <v>0</v>
      </c>
      <c r="S192" s="79">
        <f t="shared" si="87"/>
        <v>0</v>
      </c>
      <c r="T192" s="79">
        <f t="shared" si="87"/>
        <v>0</v>
      </c>
      <c r="U192" s="79">
        <f t="shared" si="87"/>
        <v>0</v>
      </c>
      <c r="V192" s="79">
        <f t="shared" si="87"/>
        <v>0</v>
      </c>
      <c r="W192" s="79">
        <f t="shared" si="87"/>
        <v>0</v>
      </c>
      <c r="X192" s="63">
        <f t="shared" si="87"/>
        <v>0</v>
      </c>
      <c r="Y192" s="63">
        <f t="shared" si="87"/>
        <v>0</v>
      </c>
      <c r="Z192" s="63">
        <f t="shared" si="87"/>
        <v>0</v>
      </c>
      <c r="AA192" s="63">
        <f>SUM(G192:Z192)</f>
        <v>0</v>
      </c>
      <c r="AB192" s="58" t="str">
        <f>IF(ABS(F192-AA192)&lt;0.01,"ok","err")</f>
        <v>ok</v>
      </c>
    </row>
    <row r="193" spans="1:28" hidden="1">
      <c r="A193" s="68" t="s">
        <v>1364</v>
      </c>
      <c r="C193" s="60" t="s">
        <v>1068</v>
      </c>
      <c r="D193" s="60" t="s">
        <v>458</v>
      </c>
      <c r="E193" s="60" t="s">
        <v>191</v>
      </c>
      <c r="F193" s="79">
        <f>VLOOKUP(C193,'Functional Assignment'!$C$2:$AP$780,'Functional Assignment'!$P$2,)</f>
        <v>0</v>
      </c>
      <c r="G193" s="79">
        <f t="shared" si="86"/>
        <v>0</v>
      </c>
      <c r="H193" s="79">
        <f t="shared" si="86"/>
        <v>0</v>
      </c>
      <c r="I193" s="79">
        <f t="shared" si="86"/>
        <v>0</v>
      </c>
      <c r="J193" s="79">
        <f t="shared" si="86"/>
        <v>0</v>
      </c>
      <c r="K193" s="79">
        <f t="shared" si="86"/>
        <v>0</v>
      </c>
      <c r="L193" s="79">
        <f t="shared" si="86"/>
        <v>0</v>
      </c>
      <c r="M193" s="79">
        <f t="shared" si="86"/>
        <v>0</v>
      </c>
      <c r="N193" s="79">
        <f t="shared" si="86"/>
        <v>0</v>
      </c>
      <c r="O193" s="79">
        <f t="shared" si="86"/>
        <v>0</v>
      </c>
      <c r="P193" s="79">
        <f t="shared" si="86"/>
        <v>0</v>
      </c>
      <c r="Q193" s="79">
        <f t="shared" si="87"/>
        <v>0</v>
      </c>
      <c r="R193" s="79">
        <f t="shared" si="87"/>
        <v>0</v>
      </c>
      <c r="S193" s="79">
        <f t="shared" si="87"/>
        <v>0</v>
      </c>
      <c r="T193" s="79">
        <f t="shared" si="87"/>
        <v>0</v>
      </c>
      <c r="U193" s="79">
        <f t="shared" si="87"/>
        <v>0</v>
      </c>
      <c r="V193" s="79">
        <f t="shared" si="87"/>
        <v>0</v>
      </c>
      <c r="W193" s="79">
        <f t="shared" si="87"/>
        <v>0</v>
      </c>
      <c r="X193" s="63">
        <f t="shared" si="87"/>
        <v>0</v>
      </c>
      <c r="Y193" s="63">
        <f t="shared" si="87"/>
        <v>0</v>
      </c>
      <c r="Z193" s="63">
        <f t="shared" si="87"/>
        <v>0</v>
      </c>
      <c r="AA193" s="63">
        <f>SUM(G193:Z193)</f>
        <v>0</v>
      </c>
      <c r="AB193" s="58" t="str">
        <f>IF(ABS(F193-AA193)&lt;0.01,"ok","err")</f>
        <v>ok</v>
      </c>
    </row>
    <row r="194" spans="1:28" hidden="1">
      <c r="A194" s="60" t="s">
        <v>1133</v>
      </c>
      <c r="D194" s="60" t="s">
        <v>459</v>
      </c>
      <c r="F194" s="76">
        <f>SUM(F191:F193)</f>
        <v>22151694.551854581</v>
      </c>
      <c r="G194" s="76">
        <f t="shared" ref="G194:W194" si="88">SUM(G191:G193)</f>
        <v>9843945.0934296139</v>
      </c>
      <c r="H194" s="76">
        <f t="shared" si="88"/>
        <v>2833552.1934413416</v>
      </c>
      <c r="I194" s="76">
        <f t="shared" si="88"/>
        <v>0</v>
      </c>
      <c r="J194" s="76">
        <f t="shared" si="88"/>
        <v>251763.59360683861</v>
      </c>
      <c r="K194" s="76">
        <f t="shared" si="88"/>
        <v>2922121.3850279599</v>
      </c>
      <c r="L194" s="76">
        <f t="shared" si="88"/>
        <v>0</v>
      </c>
      <c r="M194" s="76">
        <f t="shared" si="88"/>
        <v>0</v>
      </c>
      <c r="N194" s="76">
        <f t="shared" si="88"/>
        <v>2658238.7789754085</v>
      </c>
      <c r="O194" s="76">
        <f>SUM(O191:O193)</f>
        <v>1578322.6756343157</v>
      </c>
      <c r="P194" s="76">
        <f t="shared" si="88"/>
        <v>1634854.5105856331</v>
      </c>
      <c r="Q194" s="76">
        <f t="shared" si="88"/>
        <v>164800.53281259272</v>
      </c>
      <c r="R194" s="76">
        <f t="shared" si="88"/>
        <v>86258.969885143466</v>
      </c>
      <c r="S194" s="76">
        <f t="shared" si="88"/>
        <v>169926.37865111072</v>
      </c>
      <c r="T194" s="76">
        <f t="shared" si="88"/>
        <v>5434.7361067974307</v>
      </c>
      <c r="U194" s="76">
        <f t="shared" si="88"/>
        <v>2475.7036978294514</v>
      </c>
      <c r="V194" s="76">
        <f t="shared" si="88"/>
        <v>0</v>
      </c>
      <c r="W194" s="76">
        <f t="shared" si="88"/>
        <v>0</v>
      </c>
      <c r="X194" s="62">
        <f>SUM(X191:X193)</f>
        <v>0</v>
      </c>
      <c r="Y194" s="62">
        <f>SUM(Y191:Y193)</f>
        <v>0</v>
      </c>
      <c r="Z194" s="62">
        <f>SUM(Z191:Z193)</f>
        <v>0</v>
      </c>
      <c r="AA194" s="64">
        <f>SUM(G194:Z194)</f>
        <v>22151694.551854592</v>
      </c>
      <c r="AB194" s="58" t="str">
        <f>IF(ABS(F194-AA194)&lt;0.01,"ok","err")</f>
        <v>ok</v>
      </c>
    </row>
    <row r="195" spans="1:28">
      <c r="F195" s="79"/>
      <c r="G195" s="79"/>
    </row>
    <row r="196" spans="1:28" ht="15">
      <c r="A196" s="65" t="s">
        <v>348</v>
      </c>
      <c r="F196" s="79"/>
      <c r="G196" s="79"/>
    </row>
    <row r="197" spans="1:28">
      <c r="A197" s="68" t="s">
        <v>372</v>
      </c>
      <c r="C197" s="60" t="s">
        <v>1068</v>
      </c>
      <c r="D197" s="60" t="s">
        <v>460</v>
      </c>
      <c r="E197" s="60" t="s">
        <v>1368</v>
      </c>
      <c r="F197" s="76">
        <f>VLOOKUP(C197,'Functional Assignment'!$C$2:$AP$780,'Functional Assignment'!$Q$2,)</f>
        <v>0</v>
      </c>
      <c r="G197" s="76">
        <f t="shared" ref="G197:Z197" si="89">IF(VLOOKUP($E197,$D$6:$AN$1131,3,)=0,0,(VLOOKUP($E197,$D$6:$AN$1131,G$2,)/VLOOKUP($E197,$D$6:$AN$1131,3,))*$F197)</f>
        <v>0</v>
      </c>
      <c r="H197" s="76">
        <f t="shared" si="89"/>
        <v>0</v>
      </c>
      <c r="I197" s="76">
        <f t="shared" si="89"/>
        <v>0</v>
      </c>
      <c r="J197" s="76">
        <f t="shared" si="89"/>
        <v>0</v>
      </c>
      <c r="K197" s="76">
        <f t="shared" si="89"/>
        <v>0</v>
      </c>
      <c r="L197" s="76">
        <f t="shared" si="89"/>
        <v>0</v>
      </c>
      <c r="M197" s="76">
        <f t="shared" si="89"/>
        <v>0</v>
      </c>
      <c r="N197" s="76">
        <f t="shared" si="89"/>
        <v>0</v>
      </c>
      <c r="O197" s="76">
        <f t="shared" si="89"/>
        <v>0</v>
      </c>
      <c r="P197" s="76">
        <f t="shared" si="89"/>
        <v>0</v>
      </c>
      <c r="Q197" s="76">
        <f t="shared" si="89"/>
        <v>0</v>
      </c>
      <c r="R197" s="76">
        <f t="shared" si="89"/>
        <v>0</v>
      </c>
      <c r="S197" s="76">
        <f t="shared" si="89"/>
        <v>0</v>
      </c>
      <c r="T197" s="76">
        <f t="shared" si="89"/>
        <v>0</v>
      </c>
      <c r="U197" s="76">
        <f t="shared" si="89"/>
        <v>0</v>
      </c>
      <c r="V197" s="76">
        <f t="shared" si="89"/>
        <v>0</v>
      </c>
      <c r="W197" s="76">
        <f t="shared" si="89"/>
        <v>0</v>
      </c>
      <c r="X197" s="62">
        <f t="shared" si="89"/>
        <v>0</v>
      </c>
      <c r="Y197" s="62">
        <f t="shared" si="89"/>
        <v>0</v>
      </c>
      <c r="Z197" s="62">
        <f t="shared" si="89"/>
        <v>0</v>
      </c>
      <c r="AA197" s="64">
        <f>SUM(G197:Z197)</f>
        <v>0</v>
      </c>
      <c r="AB197" s="58" t="str">
        <f>IF(ABS(F197-AA197)&lt;0.01,"ok","err")</f>
        <v>ok</v>
      </c>
    </row>
    <row r="198" spans="1:28">
      <c r="F198" s="79"/>
    </row>
    <row r="199" spans="1:28" ht="15">
      <c r="A199" s="65" t="s">
        <v>349</v>
      </c>
      <c r="F199" s="79"/>
      <c r="G199" s="79"/>
    </row>
    <row r="200" spans="1:28">
      <c r="A200" s="68" t="s">
        <v>374</v>
      </c>
      <c r="C200" s="60" t="s">
        <v>1068</v>
      </c>
      <c r="D200" s="60" t="s">
        <v>461</v>
      </c>
      <c r="E200" s="60" t="s">
        <v>1368</v>
      </c>
      <c r="F200" s="76">
        <f>VLOOKUP(C200,'Functional Assignment'!$C$2:$AP$780,'Functional Assignment'!$R$2,)</f>
        <v>8189264.474252278</v>
      </c>
      <c r="G200" s="76">
        <f t="shared" ref="G200:Z200" si="90">IF(VLOOKUP($E200,$D$6:$AN$1131,3,)=0,0,(VLOOKUP($E200,$D$6:$AN$1131,G$2,)/VLOOKUP($E200,$D$6:$AN$1131,3,))*$F200)</f>
        <v>3929195.2209969661</v>
      </c>
      <c r="H200" s="76">
        <f t="shared" si="90"/>
        <v>1131007.9070175178</v>
      </c>
      <c r="I200" s="76">
        <f t="shared" si="90"/>
        <v>0</v>
      </c>
      <c r="J200" s="76">
        <f t="shared" si="90"/>
        <v>100491.04291340245</v>
      </c>
      <c r="K200" s="76">
        <f t="shared" si="90"/>
        <v>1166360.1607132424</v>
      </c>
      <c r="L200" s="76">
        <f t="shared" si="90"/>
        <v>0</v>
      </c>
      <c r="M200" s="76">
        <f t="shared" si="90"/>
        <v>0</v>
      </c>
      <c r="N200" s="76">
        <f t="shared" si="90"/>
        <v>1061031.8330188955</v>
      </c>
      <c r="O200" s="76">
        <f t="shared" si="90"/>
        <v>629985.01672187739</v>
      </c>
      <c r="P200" s="76">
        <f t="shared" si="90"/>
        <v>0</v>
      </c>
      <c r="Q200" s="76">
        <f t="shared" si="90"/>
        <v>65779.873800514411</v>
      </c>
      <c r="R200" s="76">
        <f t="shared" si="90"/>
        <v>34430.132332518413</v>
      </c>
      <c r="S200" s="76">
        <f t="shared" si="90"/>
        <v>67825.847115188313</v>
      </c>
      <c r="T200" s="76">
        <f t="shared" si="90"/>
        <v>2169.2663800472683</v>
      </c>
      <c r="U200" s="76">
        <f t="shared" si="90"/>
        <v>988.17324210886522</v>
      </c>
      <c r="V200" s="76">
        <f t="shared" si="90"/>
        <v>0</v>
      </c>
      <c r="W200" s="76">
        <f t="shared" si="90"/>
        <v>0</v>
      </c>
      <c r="X200" s="62">
        <f t="shared" si="90"/>
        <v>0</v>
      </c>
      <c r="Y200" s="62">
        <f t="shared" si="90"/>
        <v>0</v>
      </c>
      <c r="Z200" s="62">
        <f t="shared" si="90"/>
        <v>0</v>
      </c>
      <c r="AA200" s="64">
        <f>SUM(G200:Z200)</f>
        <v>8189264.4742522789</v>
      </c>
      <c r="AB200" s="58" t="str">
        <f>IF(ABS(F200-AA200)&lt;0.01,"ok","err")</f>
        <v>ok</v>
      </c>
    </row>
    <row r="201" spans="1:28">
      <c r="F201" s="79"/>
    </row>
    <row r="202" spans="1:28" ht="15">
      <c r="A202" s="65" t="s">
        <v>373</v>
      </c>
      <c r="F202" s="79"/>
    </row>
    <row r="203" spans="1:28">
      <c r="A203" s="68" t="s">
        <v>623</v>
      </c>
      <c r="C203" s="60" t="s">
        <v>1068</v>
      </c>
      <c r="D203" s="60" t="s">
        <v>462</v>
      </c>
      <c r="E203" s="60" t="s">
        <v>1368</v>
      </c>
      <c r="F203" s="76">
        <f>VLOOKUP(C203,'Functional Assignment'!$C$2:$AP$780,'Functional Assignment'!$S$2,)</f>
        <v>0</v>
      </c>
      <c r="G203" s="76">
        <f t="shared" ref="G203:P207" si="91">IF(VLOOKUP($E203,$D$6:$AN$1131,3,)=0,0,(VLOOKUP($E203,$D$6:$AN$1131,G$2,)/VLOOKUP($E203,$D$6:$AN$1131,3,))*$F203)</f>
        <v>0</v>
      </c>
      <c r="H203" s="76">
        <f t="shared" si="91"/>
        <v>0</v>
      </c>
      <c r="I203" s="76">
        <f t="shared" si="91"/>
        <v>0</v>
      </c>
      <c r="J203" s="76">
        <f t="shared" si="91"/>
        <v>0</v>
      </c>
      <c r="K203" s="76">
        <f t="shared" si="91"/>
        <v>0</v>
      </c>
      <c r="L203" s="76">
        <f t="shared" si="91"/>
        <v>0</v>
      </c>
      <c r="M203" s="76">
        <f t="shared" si="91"/>
        <v>0</v>
      </c>
      <c r="N203" s="76">
        <f t="shared" si="91"/>
        <v>0</v>
      </c>
      <c r="O203" s="76">
        <f t="shared" si="91"/>
        <v>0</v>
      </c>
      <c r="P203" s="76">
        <f t="shared" si="91"/>
        <v>0</v>
      </c>
      <c r="Q203" s="76">
        <f t="shared" ref="Q203:Z207" si="92">IF(VLOOKUP($E203,$D$6:$AN$1131,3,)=0,0,(VLOOKUP($E203,$D$6:$AN$1131,Q$2,)/VLOOKUP($E203,$D$6:$AN$1131,3,))*$F203)</f>
        <v>0</v>
      </c>
      <c r="R203" s="76">
        <f t="shared" si="92"/>
        <v>0</v>
      </c>
      <c r="S203" s="76">
        <f t="shared" si="92"/>
        <v>0</v>
      </c>
      <c r="T203" s="76">
        <f t="shared" si="92"/>
        <v>0</v>
      </c>
      <c r="U203" s="76">
        <f t="shared" si="92"/>
        <v>0</v>
      </c>
      <c r="V203" s="76">
        <f t="shared" si="92"/>
        <v>0</v>
      </c>
      <c r="W203" s="76">
        <f t="shared" si="92"/>
        <v>0</v>
      </c>
      <c r="X203" s="62">
        <f t="shared" si="92"/>
        <v>0</v>
      </c>
      <c r="Y203" s="62">
        <f t="shared" si="92"/>
        <v>0</v>
      </c>
      <c r="Z203" s="62">
        <f t="shared" si="92"/>
        <v>0</v>
      </c>
      <c r="AA203" s="64">
        <f t="shared" ref="AA203:AA208" si="93">SUM(G203:Z203)</f>
        <v>0</v>
      </c>
      <c r="AB203" s="58" t="str">
        <f t="shared" ref="AB203:AB208" si="94">IF(ABS(F203-AA203)&lt;0.01,"ok","err")</f>
        <v>ok</v>
      </c>
    </row>
    <row r="204" spans="1:28">
      <c r="A204" s="68" t="s">
        <v>624</v>
      </c>
      <c r="C204" s="60" t="s">
        <v>1068</v>
      </c>
      <c r="D204" s="60" t="s">
        <v>463</v>
      </c>
      <c r="E204" s="60" t="s">
        <v>1368</v>
      </c>
      <c r="F204" s="79">
        <f>VLOOKUP(C204,'Functional Assignment'!$C$2:$AP$780,'Functional Assignment'!$T$2,)</f>
        <v>14230157.677818516</v>
      </c>
      <c r="G204" s="79">
        <f t="shared" si="91"/>
        <v>6827605.5459575262</v>
      </c>
      <c r="H204" s="79">
        <f t="shared" si="91"/>
        <v>1965307.2510139302</v>
      </c>
      <c r="I204" s="79">
        <f t="shared" si="91"/>
        <v>0</v>
      </c>
      <c r="J204" s="79">
        <f t="shared" si="91"/>
        <v>174619.27018747435</v>
      </c>
      <c r="K204" s="79">
        <f t="shared" si="91"/>
        <v>2026737.4497745258</v>
      </c>
      <c r="L204" s="79">
        <f t="shared" si="91"/>
        <v>0</v>
      </c>
      <c r="M204" s="79">
        <f t="shared" si="91"/>
        <v>0</v>
      </c>
      <c r="N204" s="79">
        <f t="shared" si="91"/>
        <v>1843712.623095162</v>
      </c>
      <c r="O204" s="79">
        <f t="shared" si="91"/>
        <v>1094699.7927349245</v>
      </c>
      <c r="P204" s="79">
        <f t="shared" si="91"/>
        <v>0</v>
      </c>
      <c r="Q204" s="79">
        <f t="shared" si="92"/>
        <v>114303.05849217187</v>
      </c>
      <c r="R204" s="79">
        <f t="shared" si="92"/>
        <v>59827.865310776768</v>
      </c>
      <c r="S204" s="79">
        <f t="shared" si="92"/>
        <v>117858.26457495954</v>
      </c>
      <c r="T204" s="79">
        <f t="shared" si="92"/>
        <v>3769.447516357287</v>
      </c>
      <c r="U204" s="79">
        <f t="shared" si="92"/>
        <v>1717.1091607093572</v>
      </c>
      <c r="V204" s="79">
        <f t="shared" si="92"/>
        <v>0</v>
      </c>
      <c r="W204" s="79">
        <f t="shared" si="92"/>
        <v>0</v>
      </c>
      <c r="X204" s="63">
        <f t="shared" si="92"/>
        <v>0</v>
      </c>
      <c r="Y204" s="63">
        <f t="shared" si="92"/>
        <v>0</v>
      </c>
      <c r="Z204" s="63">
        <f t="shared" si="92"/>
        <v>0</v>
      </c>
      <c r="AA204" s="63">
        <f t="shared" si="93"/>
        <v>14230157.677818522</v>
      </c>
      <c r="AB204" s="58" t="str">
        <f t="shared" si="94"/>
        <v>ok</v>
      </c>
    </row>
    <row r="205" spans="1:28">
      <c r="A205" s="68" t="s">
        <v>625</v>
      </c>
      <c r="C205" s="60" t="s">
        <v>1068</v>
      </c>
      <c r="D205" s="60" t="s">
        <v>464</v>
      </c>
      <c r="E205" s="60" t="s">
        <v>698</v>
      </c>
      <c r="F205" s="79">
        <f>VLOOKUP(C205,'Functional Assignment'!$C$2:$AP$780,'Functional Assignment'!$U$2,)</f>
        <v>21300716.352424528</v>
      </c>
      <c r="G205" s="79">
        <f t="shared" si="91"/>
        <v>18363629.498836197</v>
      </c>
      <c r="H205" s="79">
        <f t="shared" si="91"/>
        <v>2281501.2191092493</v>
      </c>
      <c r="I205" s="79">
        <f t="shared" si="91"/>
        <v>0</v>
      </c>
      <c r="J205" s="79">
        <f t="shared" si="91"/>
        <v>3631.277223862457</v>
      </c>
      <c r="K205" s="79">
        <f t="shared" si="91"/>
        <v>142435.16795914198</v>
      </c>
      <c r="L205" s="79">
        <f t="shared" si="91"/>
        <v>0</v>
      </c>
      <c r="M205" s="79">
        <f t="shared" si="91"/>
        <v>0</v>
      </c>
      <c r="N205" s="79">
        <f t="shared" si="91"/>
        <v>5320.8298210762396</v>
      </c>
      <c r="O205" s="79">
        <f t="shared" si="91"/>
        <v>13919.896024806085</v>
      </c>
      <c r="P205" s="79">
        <f t="shared" si="91"/>
        <v>0</v>
      </c>
      <c r="Q205" s="79">
        <f t="shared" si="92"/>
        <v>50.434405886978567</v>
      </c>
      <c r="R205" s="79">
        <f t="shared" si="92"/>
        <v>50.434405886978567</v>
      </c>
      <c r="S205" s="79">
        <f t="shared" si="92"/>
        <v>484181.50416074693</v>
      </c>
      <c r="T205" s="79">
        <f t="shared" si="92"/>
        <v>924.63077459460703</v>
      </c>
      <c r="U205" s="79">
        <f t="shared" si="92"/>
        <v>5071.4597030795121</v>
      </c>
      <c r="V205" s="79">
        <f t="shared" si="92"/>
        <v>0</v>
      </c>
      <c r="W205" s="79">
        <f t="shared" si="92"/>
        <v>0</v>
      </c>
      <c r="X205" s="63">
        <f t="shared" si="92"/>
        <v>0</v>
      </c>
      <c r="Y205" s="63">
        <f t="shared" si="92"/>
        <v>0</v>
      </c>
      <c r="Z205" s="63">
        <f t="shared" si="92"/>
        <v>0</v>
      </c>
      <c r="AA205" s="63">
        <f t="shared" si="93"/>
        <v>21300716.352424525</v>
      </c>
      <c r="AB205" s="58" t="str">
        <f t="shared" si="94"/>
        <v>ok</v>
      </c>
    </row>
    <row r="206" spans="1:28">
      <c r="A206" s="68" t="s">
        <v>626</v>
      </c>
      <c r="C206" s="60" t="s">
        <v>1068</v>
      </c>
      <c r="D206" s="60" t="s">
        <v>465</v>
      </c>
      <c r="E206" s="60" t="s">
        <v>678</v>
      </c>
      <c r="F206" s="79">
        <f>VLOOKUP(C206,'Functional Assignment'!$C$2:$AP$780,'Functional Assignment'!$V$2,)</f>
        <v>4785490.0157958288</v>
      </c>
      <c r="G206" s="79">
        <f t="shared" si="91"/>
        <v>4016021.5948013803</v>
      </c>
      <c r="H206" s="79">
        <f t="shared" si="91"/>
        <v>734913.83828476153</v>
      </c>
      <c r="I206" s="79">
        <f t="shared" si="91"/>
        <v>0</v>
      </c>
      <c r="J206" s="79">
        <f t="shared" si="91"/>
        <v>0</v>
      </c>
      <c r="K206" s="79">
        <f t="shared" si="91"/>
        <v>0</v>
      </c>
      <c r="L206" s="79">
        <f t="shared" si="91"/>
        <v>0</v>
      </c>
      <c r="M206" s="79">
        <f t="shared" si="91"/>
        <v>0</v>
      </c>
      <c r="N206" s="79">
        <f t="shared" si="91"/>
        <v>0</v>
      </c>
      <c r="O206" s="79">
        <f t="shared" si="91"/>
        <v>0</v>
      </c>
      <c r="P206" s="79">
        <f t="shared" si="91"/>
        <v>0</v>
      </c>
      <c r="Q206" s="79">
        <f t="shared" si="92"/>
        <v>0</v>
      </c>
      <c r="R206" s="79">
        <f t="shared" si="92"/>
        <v>0</v>
      </c>
      <c r="S206" s="79">
        <f t="shared" si="92"/>
        <v>33017.54471680976</v>
      </c>
      <c r="T206" s="79">
        <f t="shared" si="92"/>
        <v>1055.9963900523685</v>
      </c>
      <c r="U206" s="79">
        <f t="shared" si="92"/>
        <v>481.04160282545331</v>
      </c>
      <c r="V206" s="79">
        <f t="shared" si="92"/>
        <v>0</v>
      </c>
      <c r="W206" s="79">
        <f t="shared" si="92"/>
        <v>0</v>
      </c>
      <c r="X206" s="63">
        <f t="shared" si="92"/>
        <v>0</v>
      </c>
      <c r="Y206" s="63">
        <f t="shared" si="92"/>
        <v>0</v>
      </c>
      <c r="Z206" s="63">
        <f t="shared" si="92"/>
        <v>0</v>
      </c>
      <c r="AA206" s="63">
        <f t="shared" si="93"/>
        <v>4785490.0157958297</v>
      </c>
      <c r="AB206" s="58" t="str">
        <f t="shared" si="94"/>
        <v>ok</v>
      </c>
    </row>
    <row r="207" spans="1:28">
      <c r="A207" s="68" t="s">
        <v>627</v>
      </c>
      <c r="C207" s="60" t="s">
        <v>1068</v>
      </c>
      <c r="D207" s="60" t="s">
        <v>466</v>
      </c>
      <c r="E207" s="60" t="s">
        <v>697</v>
      </c>
      <c r="F207" s="79">
        <f>VLOOKUP(C207,'Functional Assignment'!$C$2:$AP$780,'Functional Assignment'!$W$2,)</f>
        <v>7030140.6081471965</v>
      </c>
      <c r="G207" s="79">
        <f t="shared" si="91"/>
        <v>6108209.8043430578</v>
      </c>
      <c r="H207" s="79">
        <f t="shared" si="91"/>
        <v>758885.28006225289</v>
      </c>
      <c r="I207" s="79">
        <f t="shared" si="91"/>
        <v>0</v>
      </c>
      <c r="J207" s="79">
        <f t="shared" si="91"/>
        <v>0</v>
      </c>
      <c r="K207" s="79">
        <f t="shared" si="91"/>
        <v>0</v>
      </c>
      <c r="L207" s="79">
        <f t="shared" si="91"/>
        <v>0</v>
      </c>
      <c r="M207" s="79">
        <f t="shared" si="91"/>
        <v>0</v>
      </c>
      <c r="N207" s="79">
        <f t="shared" si="91"/>
        <v>0</v>
      </c>
      <c r="O207" s="79">
        <f t="shared" si="91"/>
        <v>0</v>
      </c>
      <c r="P207" s="79">
        <f t="shared" si="91"/>
        <v>0</v>
      </c>
      <c r="Q207" s="79">
        <f t="shared" si="92"/>
        <v>0</v>
      </c>
      <c r="R207" s="79">
        <f t="shared" si="92"/>
        <v>0</v>
      </c>
      <c r="S207" s="79">
        <f t="shared" si="92"/>
        <v>161051.07168404126</v>
      </c>
      <c r="T207" s="79">
        <f t="shared" si="92"/>
        <v>307.55569116301484</v>
      </c>
      <c r="U207" s="79">
        <f t="shared" si="92"/>
        <v>1686.8963666819907</v>
      </c>
      <c r="V207" s="79">
        <f t="shared" si="92"/>
        <v>0</v>
      </c>
      <c r="W207" s="79">
        <f t="shared" si="92"/>
        <v>0</v>
      </c>
      <c r="X207" s="63">
        <f t="shared" si="92"/>
        <v>0</v>
      </c>
      <c r="Y207" s="63">
        <f t="shared" si="92"/>
        <v>0</v>
      </c>
      <c r="Z207" s="63">
        <f t="shared" si="92"/>
        <v>0</v>
      </c>
      <c r="AA207" s="63">
        <f t="shared" si="93"/>
        <v>7030140.6081471965</v>
      </c>
      <c r="AB207" s="58" t="str">
        <f t="shared" si="94"/>
        <v>ok</v>
      </c>
    </row>
    <row r="208" spans="1:28">
      <c r="A208" s="60" t="s">
        <v>378</v>
      </c>
      <c r="D208" s="60" t="s">
        <v>467</v>
      </c>
      <c r="F208" s="76">
        <f>SUM(F203:F207)</f>
        <v>47346504.65418607</v>
      </c>
      <c r="G208" s="76">
        <f t="shared" ref="G208:W208" si="95">SUM(G203:G207)</f>
        <v>35315466.443938166</v>
      </c>
      <c r="H208" s="76">
        <f t="shared" si="95"/>
        <v>5740607.5884701936</v>
      </c>
      <c r="I208" s="76">
        <f t="shared" si="95"/>
        <v>0</v>
      </c>
      <c r="J208" s="76">
        <f t="shared" si="95"/>
        <v>178250.5474113368</v>
      </c>
      <c r="K208" s="76">
        <f t="shared" si="95"/>
        <v>2169172.6177336676</v>
      </c>
      <c r="L208" s="76">
        <f t="shared" si="95"/>
        <v>0</v>
      </c>
      <c r="M208" s="76">
        <f t="shared" si="95"/>
        <v>0</v>
      </c>
      <c r="N208" s="76">
        <f t="shared" si="95"/>
        <v>1849033.4529162382</v>
      </c>
      <c r="O208" s="76">
        <f>SUM(O203:O207)</f>
        <v>1108619.6887597307</v>
      </c>
      <c r="P208" s="76">
        <f t="shared" si="95"/>
        <v>0</v>
      </c>
      <c r="Q208" s="76">
        <f t="shared" si="95"/>
        <v>114353.49289805884</v>
      </c>
      <c r="R208" s="76">
        <f t="shared" si="95"/>
        <v>59878.299716663743</v>
      </c>
      <c r="S208" s="76">
        <f t="shared" si="95"/>
        <v>796108.38513655751</v>
      </c>
      <c r="T208" s="76">
        <f t="shared" si="95"/>
        <v>6057.6303721672766</v>
      </c>
      <c r="U208" s="76">
        <f t="shared" si="95"/>
        <v>8956.5068332963128</v>
      </c>
      <c r="V208" s="76">
        <f t="shared" si="95"/>
        <v>0</v>
      </c>
      <c r="W208" s="76">
        <f t="shared" si="95"/>
        <v>0</v>
      </c>
      <c r="X208" s="62">
        <f>SUM(X203:X207)</f>
        <v>0</v>
      </c>
      <c r="Y208" s="62">
        <f>SUM(Y203:Y207)</f>
        <v>0</v>
      </c>
      <c r="Z208" s="62">
        <f>SUM(Z203:Z207)</f>
        <v>0</v>
      </c>
      <c r="AA208" s="64">
        <f t="shared" si="93"/>
        <v>47346504.654186077</v>
      </c>
      <c r="AB208" s="58" t="str">
        <f t="shared" si="94"/>
        <v>ok</v>
      </c>
    </row>
    <row r="209" spans="1:28">
      <c r="F209" s="79"/>
    </row>
    <row r="210" spans="1:28" ht="15">
      <c r="A210" s="65" t="s">
        <v>634</v>
      </c>
      <c r="F210" s="79"/>
    </row>
    <row r="211" spans="1:28">
      <c r="A211" s="68" t="s">
        <v>1090</v>
      </c>
      <c r="C211" s="60" t="s">
        <v>1068</v>
      </c>
      <c r="D211" s="60" t="s">
        <v>468</v>
      </c>
      <c r="E211" s="60" t="s">
        <v>1336</v>
      </c>
      <c r="F211" s="76">
        <f>VLOOKUP(C211,'Functional Assignment'!$C$2:$AP$780,'Functional Assignment'!$X$2,)</f>
        <v>1119996.1920663603</v>
      </c>
      <c r="G211" s="76">
        <f t="shared" ref="G211:P212" si="96">IF(VLOOKUP($E211,$D$6:$AN$1131,3,)=0,0,(VLOOKUP($E211,$D$6:$AN$1131,G$2,)/VLOOKUP($E211,$D$6:$AN$1131,3,))*$F211)</f>
        <v>777054.17724206764</v>
      </c>
      <c r="H211" s="76">
        <f t="shared" si="96"/>
        <v>142197.40966816651</v>
      </c>
      <c r="I211" s="76">
        <f t="shared" si="96"/>
        <v>0</v>
      </c>
      <c r="J211" s="76">
        <f t="shared" si="96"/>
        <v>0</v>
      </c>
      <c r="K211" s="76">
        <f t="shared" si="96"/>
        <v>125234.26578102716</v>
      </c>
      <c r="L211" s="76">
        <f t="shared" si="96"/>
        <v>0</v>
      </c>
      <c r="M211" s="76">
        <f t="shared" si="96"/>
        <v>0</v>
      </c>
      <c r="N211" s="76">
        <f t="shared" si="96"/>
        <v>0</v>
      </c>
      <c r="O211" s="76">
        <f t="shared" si="96"/>
        <v>68824.423424802284</v>
      </c>
      <c r="P211" s="76">
        <f t="shared" si="96"/>
        <v>0</v>
      </c>
      <c r="Q211" s="76">
        <f t="shared" ref="Q211:Z212" si="97">IF(VLOOKUP($E211,$D$6:$AN$1131,3,)=0,0,(VLOOKUP($E211,$D$6:$AN$1131,Q$2,)/VLOOKUP($E211,$D$6:$AN$1131,3,))*$F211)</f>
        <v>0</v>
      </c>
      <c r="R211" s="76">
        <f t="shared" si="97"/>
        <v>0</v>
      </c>
      <c r="S211" s="76">
        <f t="shared" si="97"/>
        <v>6388.5167046126589</v>
      </c>
      <c r="T211" s="76">
        <f t="shared" si="97"/>
        <v>204.32320560848959</v>
      </c>
      <c r="U211" s="76">
        <f t="shared" si="97"/>
        <v>93.076040075731925</v>
      </c>
      <c r="V211" s="76">
        <f t="shared" si="97"/>
        <v>0</v>
      </c>
      <c r="W211" s="76">
        <f t="shared" si="97"/>
        <v>0</v>
      </c>
      <c r="X211" s="62">
        <f t="shared" si="97"/>
        <v>0</v>
      </c>
      <c r="Y211" s="62">
        <f t="shared" si="97"/>
        <v>0</v>
      </c>
      <c r="Z211" s="62">
        <f t="shared" si="97"/>
        <v>0</v>
      </c>
      <c r="AA211" s="64">
        <f>SUM(G211:Z211)</f>
        <v>1119996.1920663603</v>
      </c>
      <c r="AB211" s="58" t="str">
        <f>IF(ABS(F211-AA211)&lt;0.01,"ok","err")</f>
        <v>ok</v>
      </c>
    </row>
    <row r="212" spans="1:28">
      <c r="A212" s="68" t="s">
        <v>1093</v>
      </c>
      <c r="C212" s="60" t="s">
        <v>1068</v>
      </c>
      <c r="D212" s="60" t="s">
        <v>469</v>
      </c>
      <c r="E212" s="60" t="s">
        <v>1334</v>
      </c>
      <c r="F212" s="79">
        <f>VLOOKUP(C212,'Functional Assignment'!$C$2:$AP$780,'Functional Assignment'!$Y$2,)</f>
        <v>783271.9734913212</v>
      </c>
      <c r="G212" s="79">
        <f t="shared" si="96"/>
        <v>675556.25239907869</v>
      </c>
      <c r="H212" s="79">
        <f t="shared" si="96"/>
        <v>83931.251908728271</v>
      </c>
      <c r="I212" s="79">
        <f t="shared" si="96"/>
        <v>0</v>
      </c>
      <c r="J212" s="79">
        <f t="shared" si="96"/>
        <v>0</v>
      </c>
      <c r="K212" s="79">
        <f t="shared" si="96"/>
        <v>5239.8665679031192</v>
      </c>
      <c r="L212" s="79">
        <f t="shared" si="96"/>
        <v>0</v>
      </c>
      <c r="M212" s="79">
        <f t="shared" si="96"/>
        <v>0</v>
      </c>
      <c r="N212" s="79">
        <f t="shared" si="96"/>
        <v>0</v>
      </c>
      <c r="O212" s="79">
        <f t="shared" si="96"/>
        <v>512.08138308926323</v>
      </c>
      <c r="P212" s="79">
        <f t="shared" si="96"/>
        <v>0</v>
      </c>
      <c r="Q212" s="79">
        <f t="shared" si="97"/>
        <v>0</v>
      </c>
      <c r="R212" s="79">
        <f t="shared" si="97"/>
        <v>0</v>
      </c>
      <c r="S212" s="79">
        <f t="shared" si="97"/>
        <v>17811.938672173321</v>
      </c>
      <c r="T212" s="79">
        <f t="shared" si="97"/>
        <v>34.015067717281973</v>
      </c>
      <c r="U212" s="79">
        <f t="shared" si="97"/>
        <v>186.56749263115267</v>
      </c>
      <c r="V212" s="79">
        <f t="shared" si="97"/>
        <v>0</v>
      </c>
      <c r="W212" s="79">
        <f t="shared" si="97"/>
        <v>0</v>
      </c>
      <c r="X212" s="63">
        <f t="shared" si="97"/>
        <v>0</v>
      </c>
      <c r="Y212" s="63">
        <f t="shared" si="97"/>
        <v>0</v>
      </c>
      <c r="Z212" s="63">
        <f t="shared" si="97"/>
        <v>0</v>
      </c>
      <c r="AA212" s="63">
        <f>SUM(G212:Z212)</f>
        <v>783271.97349132109</v>
      </c>
      <c r="AB212" s="58" t="str">
        <f>IF(ABS(F212-AA212)&lt;0.01,"ok","err")</f>
        <v>ok</v>
      </c>
    </row>
    <row r="213" spans="1:28">
      <c r="A213" s="60" t="s">
        <v>712</v>
      </c>
      <c r="D213" s="60" t="s">
        <v>470</v>
      </c>
      <c r="F213" s="76">
        <f>F211+F212</f>
        <v>1903268.1655576816</v>
      </c>
      <c r="G213" s="76">
        <f t="shared" ref="G213:W213" si="98">G211+G212</f>
        <v>1452610.4296411462</v>
      </c>
      <c r="H213" s="76">
        <f t="shared" si="98"/>
        <v>226128.66157689478</v>
      </c>
      <c r="I213" s="76">
        <f t="shared" si="98"/>
        <v>0</v>
      </c>
      <c r="J213" s="76">
        <f t="shared" si="98"/>
        <v>0</v>
      </c>
      <c r="K213" s="76">
        <f t="shared" si="98"/>
        <v>130474.13234893029</v>
      </c>
      <c r="L213" s="76">
        <f t="shared" si="98"/>
        <v>0</v>
      </c>
      <c r="M213" s="76">
        <f t="shared" si="98"/>
        <v>0</v>
      </c>
      <c r="N213" s="76">
        <f t="shared" si="98"/>
        <v>0</v>
      </c>
      <c r="O213" s="76">
        <f>O211+O212</f>
        <v>69336.504807891542</v>
      </c>
      <c r="P213" s="76">
        <f t="shared" si="98"/>
        <v>0</v>
      </c>
      <c r="Q213" s="76">
        <f t="shared" si="98"/>
        <v>0</v>
      </c>
      <c r="R213" s="76">
        <f t="shared" si="98"/>
        <v>0</v>
      </c>
      <c r="S213" s="76">
        <f t="shared" si="98"/>
        <v>24200.45537678598</v>
      </c>
      <c r="T213" s="76">
        <f t="shared" si="98"/>
        <v>238.33827332577155</v>
      </c>
      <c r="U213" s="76">
        <f t="shared" si="98"/>
        <v>279.64353270688457</v>
      </c>
      <c r="V213" s="76">
        <f t="shared" si="98"/>
        <v>0</v>
      </c>
      <c r="W213" s="76">
        <f t="shared" si="98"/>
        <v>0</v>
      </c>
      <c r="X213" s="62">
        <f>X211+X212</f>
        <v>0</v>
      </c>
      <c r="Y213" s="62">
        <f>Y211+Y212</f>
        <v>0</v>
      </c>
      <c r="Z213" s="62">
        <f>Z211+Z212</f>
        <v>0</v>
      </c>
      <c r="AA213" s="64">
        <f>SUM(G213:Z213)</f>
        <v>1903268.1655576814</v>
      </c>
      <c r="AB213" s="58" t="str">
        <f>IF(ABS(F213-AA213)&lt;0.01,"ok","err")</f>
        <v>ok</v>
      </c>
    </row>
    <row r="214" spans="1:28">
      <c r="F214" s="79"/>
    </row>
    <row r="215" spans="1:28" ht="15">
      <c r="A215" s="65" t="s">
        <v>354</v>
      </c>
      <c r="F215" s="79"/>
    </row>
    <row r="216" spans="1:28">
      <c r="A216" s="68" t="s">
        <v>1093</v>
      </c>
      <c r="C216" s="60" t="s">
        <v>1068</v>
      </c>
      <c r="D216" s="60" t="s">
        <v>471</v>
      </c>
      <c r="E216" s="60" t="s">
        <v>1095</v>
      </c>
      <c r="F216" s="76">
        <f>VLOOKUP(C216,'Functional Assignment'!$C$2:$AP$780,'Functional Assignment'!$Z$2,)</f>
        <v>295808.63373702235</v>
      </c>
      <c r="G216" s="76">
        <f t="shared" ref="G216:Z216" si="99">IF(VLOOKUP($E216,$D$6:$AN$1131,3,)=0,0,(VLOOKUP($E216,$D$6:$AN$1131,G$2,)/VLOOKUP($E216,$D$6:$AN$1131,3,))*$F216)</f>
        <v>227363.36734278357</v>
      </c>
      <c r="H216" s="76">
        <f t="shared" si="99"/>
        <v>57220.143549060216</v>
      </c>
      <c r="I216" s="76">
        <f t="shared" si="99"/>
        <v>0</v>
      </c>
      <c r="J216" s="76">
        <f t="shared" si="99"/>
        <v>0</v>
      </c>
      <c r="K216" s="76">
        <f t="shared" si="99"/>
        <v>9982.420670759846</v>
      </c>
      <c r="L216" s="76">
        <f t="shared" si="99"/>
        <v>0</v>
      </c>
      <c r="M216" s="76">
        <f t="shared" si="99"/>
        <v>0</v>
      </c>
      <c r="N216" s="76">
        <f t="shared" si="99"/>
        <v>0</v>
      </c>
      <c r="O216" s="76">
        <f t="shared" si="99"/>
        <v>1242.7021744186784</v>
      </c>
      <c r="P216" s="76">
        <f t="shared" si="99"/>
        <v>0</v>
      </c>
      <c r="Q216" s="76">
        <f t="shared" si="99"/>
        <v>0</v>
      </c>
      <c r="R216" s="76">
        <f t="shared" si="99"/>
        <v>0</v>
      </c>
      <c r="S216" s="76">
        <f t="shared" si="99"/>
        <v>0</v>
      </c>
      <c r="T216" s="76">
        <f t="shared" si="99"/>
        <v>0</v>
      </c>
      <c r="U216" s="76">
        <f t="shared" si="99"/>
        <v>0</v>
      </c>
      <c r="V216" s="76">
        <f t="shared" si="99"/>
        <v>0</v>
      </c>
      <c r="W216" s="76">
        <f t="shared" si="99"/>
        <v>0</v>
      </c>
      <c r="X216" s="62">
        <f t="shared" si="99"/>
        <v>0</v>
      </c>
      <c r="Y216" s="62">
        <f t="shared" si="99"/>
        <v>0</v>
      </c>
      <c r="Z216" s="62">
        <f t="shared" si="99"/>
        <v>0</v>
      </c>
      <c r="AA216" s="64">
        <f>SUM(G216:Z216)</f>
        <v>295808.63373702235</v>
      </c>
      <c r="AB216" s="58" t="str">
        <f>IF(ABS(F216-AA216)&lt;0.01,"ok","err")</f>
        <v>ok</v>
      </c>
    </row>
    <row r="217" spans="1:28">
      <c r="F217" s="79"/>
    </row>
    <row r="218" spans="1:28" ht="15">
      <c r="A218" s="65" t="s">
        <v>353</v>
      </c>
      <c r="F218" s="79"/>
    </row>
    <row r="219" spans="1:28">
      <c r="A219" s="68" t="s">
        <v>1093</v>
      </c>
      <c r="C219" s="60" t="s">
        <v>1068</v>
      </c>
      <c r="D219" s="60" t="s">
        <v>472</v>
      </c>
      <c r="E219" s="60" t="s">
        <v>1096</v>
      </c>
      <c r="F219" s="76">
        <f>VLOOKUP(C219,'Functional Assignment'!$C$2:$AP$780,'Functional Assignment'!$AA$2,)</f>
        <v>17171208.623644177</v>
      </c>
      <c r="G219" s="76">
        <f t="shared" ref="G219:Z219" si="100">IF(VLOOKUP($E219,$D$6:$AN$1131,3,)=0,0,(VLOOKUP($E219,$D$6:$AN$1131,G$2,)/VLOOKUP($E219,$D$6:$AN$1131,3,))*$F219)</f>
        <v>12018471.691272285</v>
      </c>
      <c r="H219" s="76">
        <f t="shared" si="100"/>
        <v>3533499.6633346044</v>
      </c>
      <c r="I219" s="76">
        <f t="shared" si="100"/>
        <v>0</v>
      </c>
      <c r="J219" s="76">
        <f t="shared" si="100"/>
        <v>137553.38642243267</v>
      </c>
      <c r="K219" s="76">
        <f t="shared" si="100"/>
        <v>950545.09597307001</v>
      </c>
      <c r="L219" s="76">
        <f t="shared" si="100"/>
        <v>0</v>
      </c>
      <c r="M219" s="76">
        <f t="shared" si="100"/>
        <v>0</v>
      </c>
      <c r="N219" s="76">
        <f t="shared" si="100"/>
        <v>215395.54424141604</v>
      </c>
      <c r="O219" s="76">
        <f t="shared" si="100"/>
        <v>100139.23380047597</v>
      </c>
      <c r="P219" s="76">
        <f t="shared" si="100"/>
        <v>176202.24911453691</v>
      </c>
      <c r="Q219" s="76">
        <f t="shared" si="100"/>
        <v>2041.6639264589198</v>
      </c>
      <c r="R219" s="76">
        <f t="shared" si="100"/>
        <v>2041.6639264589198</v>
      </c>
      <c r="S219" s="76">
        <f t="shared" si="100"/>
        <v>0</v>
      </c>
      <c r="T219" s="76">
        <f t="shared" si="100"/>
        <v>5446.3002050024197</v>
      </c>
      <c r="U219" s="76">
        <f t="shared" si="100"/>
        <v>29872.131427437515</v>
      </c>
      <c r="V219" s="76">
        <f t="shared" si="100"/>
        <v>0</v>
      </c>
      <c r="W219" s="76">
        <f t="shared" si="100"/>
        <v>0</v>
      </c>
      <c r="X219" s="62">
        <f t="shared" si="100"/>
        <v>0</v>
      </c>
      <c r="Y219" s="62">
        <f t="shared" si="100"/>
        <v>0</v>
      </c>
      <c r="Z219" s="62">
        <f t="shared" si="100"/>
        <v>0</v>
      </c>
      <c r="AA219" s="64">
        <f>SUM(G219:Z219)</f>
        <v>17171208.623644181</v>
      </c>
      <c r="AB219" s="58" t="str">
        <f>IF(ABS(F219-AA219)&lt;0.01,"ok","err")</f>
        <v>ok</v>
      </c>
    </row>
    <row r="220" spans="1:28">
      <c r="F220" s="79"/>
    </row>
    <row r="221" spans="1:28" ht="15">
      <c r="A221" s="65" t="s">
        <v>371</v>
      </c>
      <c r="F221" s="79"/>
    </row>
    <row r="222" spans="1:28">
      <c r="A222" s="68" t="s">
        <v>1093</v>
      </c>
      <c r="C222" s="60" t="s">
        <v>1068</v>
      </c>
      <c r="D222" s="60" t="s">
        <v>473</v>
      </c>
      <c r="E222" s="60" t="s">
        <v>1097</v>
      </c>
      <c r="F222" s="76">
        <f>VLOOKUP(C222,'Functional Assignment'!$C$2:$AP$780,'Functional Assignment'!$AB$2,)</f>
        <v>1306144.5579258415</v>
      </c>
      <c r="G222" s="76">
        <f t="shared" ref="G222:Z222" si="101">IF(VLOOKUP($E222,$D$6:$AN$1131,3,)=0,0,(VLOOKUP($E222,$D$6:$AN$1131,G$2,)/VLOOKUP($E222,$D$6:$AN$1131,3,))*$F222)</f>
        <v>0</v>
      </c>
      <c r="H222" s="76">
        <f t="shared" si="101"/>
        <v>0</v>
      </c>
      <c r="I222" s="76">
        <f t="shared" si="101"/>
        <v>0</v>
      </c>
      <c r="J222" s="76">
        <f t="shared" si="101"/>
        <v>0</v>
      </c>
      <c r="K222" s="76">
        <f t="shared" si="101"/>
        <v>0</v>
      </c>
      <c r="L222" s="76">
        <f t="shared" si="101"/>
        <v>0</v>
      </c>
      <c r="M222" s="76">
        <f t="shared" si="101"/>
        <v>0</v>
      </c>
      <c r="N222" s="76">
        <f t="shared" si="101"/>
        <v>0</v>
      </c>
      <c r="O222" s="76">
        <f t="shared" si="101"/>
        <v>0</v>
      </c>
      <c r="P222" s="76">
        <f t="shared" si="101"/>
        <v>0</v>
      </c>
      <c r="Q222" s="76">
        <f t="shared" si="101"/>
        <v>0</v>
      </c>
      <c r="R222" s="76">
        <f t="shared" si="101"/>
        <v>0</v>
      </c>
      <c r="S222" s="76">
        <f t="shared" si="101"/>
        <v>1306144.5579258415</v>
      </c>
      <c r="T222" s="76">
        <f t="shared" si="101"/>
        <v>0</v>
      </c>
      <c r="U222" s="76">
        <f t="shared" si="101"/>
        <v>0</v>
      </c>
      <c r="V222" s="76">
        <f t="shared" si="101"/>
        <v>0</v>
      </c>
      <c r="W222" s="76">
        <f t="shared" si="101"/>
        <v>0</v>
      </c>
      <c r="X222" s="62">
        <f t="shared" si="101"/>
        <v>0</v>
      </c>
      <c r="Y222" s="62">
        <f t="shared" si="101"/>
        <v>0</v>
      </c>
      <c r="Z222" s="62">
        <f t="shared" si="101"/>
        <v>0</v>
      </c>
      <c r="AA222" s="64">
        <f>SUM(G222:Z222)</f>
        <v>1306144.5579258415</v>
      </c>
      <c r="AB222" s="58" t="str">
        <f>IF(ABS(F222-AA222)&lt;0.01,"ok","err")</f>
        <v>ok</v>
      </c>
    </row>
    <row r="223" spans="1:28">
      <c r="F223" s="79"/>
    </row>
    <row r="224" spans="1:28" ht="15">
      <c r="A224" s="65" t="s">
        <v>1025</v>
      </c>
      <c r="F224" s="79"/>
    </row>
    <row r="225" spans="1:28">
      <c r="A225" s="68" t="s">
        <v>1093</v>
      </c>
      <c r="C225" s="60" t="s">
        <v>1068</v>
      </c>
      <c r="D225" s="60" t="s">
        <v>474</v>
      </c>
      <c r="E225" s="60" t="s">
        <v>1098</v>
      </c>
      <c r="F225" s="76">
        <f>VLOOKUP(C225,'Functional Assignment'!$C$2:$AP$780,'Functional Assignment'!$AC$2,)</f>
        <v>20585101.39846275</v>
      </c>
      <c r="G225" s="76">
        <f t="shared" ref="G225:Z225" si="102">IF(VLOOKUP($E225,$D$6:$AN$1131,3,)=0,0,(VLOOKUP($E225,$D$6:$AN$1131,G$2,)/VLOOKUP($E225,$D$6:$AN$1131,3,))*$F225)</f>
        <v>15338459.122367129</v>
      </c>
      <c r="H225" s="76">
        <f t="shared" si="102"/>
        <v>3811306.8213618449</v>
      </c>
      <c r="I225" s="76">
        <f t="shared" si="102"/>
        <v>0</v>
      </c>
      <c r="J225" s="76">
        <f t="shared" si="102"/>
        <v>15165.356408363334</v>
      </c>
      <c r="K225" s="76">
        <f t="shared" si="102"/>
        <v>594854.08411971456</v>
      </c>
      <c r="L225" s="76">
        <f t="shared" si="102"/>
        <v>0</v>
      </c>
      <c r="M225" s="76">
        <f t="shared" si="102"/>
        <v>0</v>
      </c>
      <c r="N225" s="76">
        <f t="shared" si="102"/>
        <v>111107.29868627303</v>
      </c>
      <c r="O225" s="76">
        <f t="shared" si="102"/>
        <v>290669.33116029721</v>
      </c>
      <c r="P225" s="76">
        <f t="shared" si="102"/>
        <v>13690.946757550231</v>
      </c>
      <c r="Q225" s="76">
        <f t="shared" si="102"/>
        <v>210.6299501161574</v>
      </c>
      <c r="R225" s="76">
        <f t="shared" si="102"/>
        <v>210.6299501161574</v>
      </c>
      <c r="S225" s="76">
        <f t="shared" si="102"/>
        <v>404418.86555413838</v>
      </c>
      <c r="T225" s="76">
        <f t="shared" si="102"/>
        <v>772.30981709257719</v>
      </c>
      <c r="U225" s="76">
        <f t="shared" si="102"/>
        <v>4236.0023301138317</v>
      </c>
      <c r="V225" s="76">
        <f t="shared" si="102"/>
        <v>0</v>
      </c>
      <c r="W225" s="76">
        <f t="shared" si="102"/>
        <v>0</v>
      </c>
      <c r="X225" s="62">
        <f t="shared" si="102"/>
        <v>0</v>
      </c>
      <c r="Y225" s="62">
        <f t="shared" si="102"/>
        <v>0</v>
      </c>
      <c r="Z225" s="62">
        <f t="shared" si="102"/>
        <v>0</v>
      </c>
      <c r="AA225" s="64">
        <f>SUM(G225:Z225)</f>
        <v>20585101.398462754</v>
      </c>
      <c r="AB225" s="58" t="str">
        <f>IF(ABS(F225-AA225)&lt;0.01,"ok","err")</f>
        <v>ok</v>
      </c>
    </row>
    <row r="226" spans="1:28">
      <c r="F226" s="79"/>
    </row>
    <row r="227" spans="1:28" ht="15">
      <c r="A227" s="65" t="s">
        <v>351</v>
      </c>
      <c r="F227" s="79"/>
    </row>
    <row r="228" spans="1:28">
      <c r="A228" s="68" t="s">
        <v>1093</v>
      </c>
      <c r="C228" s="60" t="s">
        <v>1068</v>
      </c>
      <c r="D228" s="60" t="s">
        <v>475</v>
      </c>
      <c r="E228" s="60" t="s">
        <v>1098</v>
      </c>
      <c r="F228" s="76">
        <f>VLOOKUP(C228,'Functional Assignment'!$C$2:$AP$780,'Functional Assignment'!$AD$2,)</f>
        <v>4496452.299998587</v>
      </c>
      <c r="G228" s="76">
        <f t="shared" ref="G228:Z228" si="103">IF(VLOOKUP($E228,$D$6:$AN$1131,3,)=0,0,(VLOOKUP($E228,$D$6:$AN$1131,G$2,)/VLOOKUP($E228,$D$6:$AN$1131,3,))*$F228)</f>
        <v>3350415.8402810884</v>
      </c>
      <c r="H228" s="76">
        <f t="shared" si="103"/>
        <v>832512.74750546296</v>
      </c>
      <c r="I228" s="76">
        <f t="shared" si="103"/>
        <v>0</v>
      </c>
      <c r="J228" s="76">
        <f t="shared" si="103"/>
        <v>3312.6046057648241</v>
      </c>
      <c r="K228" s="76">
        <f t="shared" si="103"/>
        <v>129935.38204788179</v>
      </c>
      <c r="L228" s="76">
        <f t="shared" si="103"/>
        <v>0</v>
      </c>
      <c r="M228" s="76">
        <f t="shared" si="103"/>
        <v>0</v>
      </c>
      <c r="N228" s="76">
        <f t="shared" si="103"/>
        <v>24269.429576957562</v>
      </c>
      <c r="O228" s="76">
        <f t="shared" si="103"/>
        <v>63491.58827715912</v>
      </c>
      <c r="P228" s="76">
        <f t="shared" si="103"/>
        <v>2990.5458246487992</v>
      </c>
      <c r="Q228" s="76">
        <f t="shared" si="103"/>
        <v>46.008397302289218</v>
      </c>
      <c r="R228" s="76">
        <f t="shared" si="103"/>
        <v>46.008397302289218</v>
      </c>
      <c r="S228" s="76">
        <f t="shared" si="103"/>
        <v>88338.167638053157</v>
      </c>
      <c r="T228" s="76">
        <f t="shared" si="103"/>
        <v>168.69745677506046</v>
      </c>
      <c r="U228" s="76">
        <f t="shared" si="103"/>
        <v>925.27999019048309</v>
      </c>
      <c r="V228" s="76">
        <f t="shared" si="103"/>
        <v>0</v>
      </c>
      <c r="W228" s="76">
        <f t="shared" si="103"/>
        <v>0</v>
      </c>
      <c r="X228" s="62">
        <f t="shared" si="103"/>
        <v>0</v>
      </c>
      <c r="Y228" s="62">
        <f t="shared" si="103"/>
        <v>0</v>
      </c>
      <c r="Z228" s="62">
        <f t="shared" si="103"/>
        <v>0</v>
      </c>
      <c r="AA228" s="64">
        <f>SUM(G228:Z228)</f>
        <v>4496452.2999985879</v>
      </c>
      <c r="AB228" s="58" t="str">
        <f>IF(ABS(F228-AA228)&lt;0.01,"ok","err")</f>
        <v>ok</v>
      </c>
    </row>
    <row r="229" spans="1:28">
      <c r="F229" s="79"/>
    </row>
    <row r="230" spans="1:28" ht="15">
      <c r="A230" s="65" t="s">
        <v>350</v>
      </c>
      <c r="F230" s="79"/>
    </row>
    <row r="231" spans="1:28">
      <c r="A231" s="68" t="s">
        <v>1093</v>
      </c>
      <c r="C231" s="60" t="s">
        <v>1068</v>
      </c>
      <c r="D231" s="60" t="s">
        <v>476</v>
      </c>
      <c r="E231" s="60" t="s">
        <v>1099</v>
      </c>
      <c r="F231" s="76">
        <f>VLOOKUP(C231,'Functional Assignment'!$C$2:$AP$780,'Functional Assignment'!$AE$2,)</f>
        <v>0</v>
      </c>
      <c r="G231" s="76">
        <f t="shared" ref="G231:Z231" si="104">IF(VLOOKUP($E231,$D$6:$AN$1131,3,)=0,0,(VLOOKUP($E231,$D$6:$AN$1131,G$2,)/VLOOKUP($E231,$D$6:$AN$1131,3,))*$F231)</f>
        <v>0</v>
      </c>
      <c r="H231" s="76">
        <f t="shared" si="104"/>
        <v>0</v>
      </c>
      <c r="I231" s="76">
        <f t="shared" si="104"/>
        <v>0</v>
      </c>
      <c r="J231" s="76">
        <f t="shared" si="104"/>
        <v>0</v>
      </c>
      <c r="K231" s="76">
        <f t="shared" si="104"/>
        <v>0</v>
      </c>
      <c r="L231" s="76">
        <f t="shared" si="104"/>
        <v>0</v>
      </c>
      <c r="M231" s="76">
        <f t="shared" si="104"/>
        <v>0</v>
      </c>
      <c r="N231" s="76">
        <f t="shared" si="104"/>
        <v>0</v>
      </c>
      <c r="O231" s="76">
        <f t="shared" si="104"/>
        <v>0</v>
      </c>
      <c r="P231" s="76">
        <f t="shared" si="104"/>
        <v>0</v>
      </c>
      <c r="Q231" s="76">
        <f t="shared" si="104"/>
        <v>0</v>
      </c>
      <c r="R231" s="76">
        <f t="shared" si="104"/>
        <v>0</v>
      </c>
      <c r="S231" s="76">
        <f t="shared" si="104"/>
        <v>0</v>
      </c>
      <c r="T231" s="76">
        <f t="shared" si="104"/>
        <v>0</v>
      </c>
      <c r="U231" s="76">
        <f t="shared" si="104"/>
        <v>0</v>
      </c>
      <c r="V231" s="76">
        <f t="shared" si="104"/>
        <v>0</v>
      </c>
      <c r="W231" s="76">
        <f t="shared" si="104"/>
        <v>0</v>
      </c>
      <c r="X231" s="62">
        <f t="shared" si="104"/>
        <v>0</v>
      </c>
      <c r="Y231" s="62">
        <f t="shared" si="104"/>
        <v>0</v>
      </c>
      <c r="Z231" s="62">
        <f t="shared" si="104"/>
        <v>0</v>
      </c>
      <c r="AA231" s="64">
        <f>SUM(G231:Z231)</f>
        <v>0</v>
      </c>
      <c r="AB231" s="58" t="str">
        <f>IF(ABS(F231-AA231)&lt;0.01,"ok","err")</f>
        <v>ok</v>
      </c>
    </row>
    <row r="232" spans="1:28">
      <c r="F232" s="79"/>
    </row>
    <row r="233" spans="1:28">
      <c r="A233" s="60" t="s">
        <v>922</v>
      </c>
      <c r="D233" s="60" t="s">
        <v>1106</v>
      </c>
      <c r="F233" s="76">
        <f>F188+F194+F197+F200+F208+F213+F216+F219+F222+F225+F228+F231</f>
        <v>685621902.81823468</v>
      </c>
      <c r="G233" s="76">
        <f t="shared" ref="G233:Z233" si="105">G188+G194+G197+G200+G208+G213+G216+G219+G222+G225+G228+G231</f>
        <v>287977479.04383886</v>
      </c>
      <c r="H233" s="76">
        <f t="shared" si="105"/>
        <v>85712374.904412091</v>
      </c>
      <c r="I233" s="76">
        <f t="shared" si="105"/>
        <v>0</v>
      </c>
      <c r="J233" s="76">
        <f t="shared" si="105"/>
        <v>8382184.1559373448</v>
      </c>
      <c r="K233" s="76">
        <f t="shared" si="105"/>
        <v>98788345.739999518</v>
      </c>
      <c r="L233" s="76">
        <f t="shared" si="105"/>
        <v>0</v>
      </c>
      <c r="M233" s="76">
        <f t="shared" si="105"/>
        <v>0</v>
      </c>
      <c r="N233" s="76">
        <f t="shared" si="105"/>
        <v>91640486.35993652</v>
      </c>
      <c r="O233" s="76">
        <f>O188+O194+O197+O200+O208+O213+O216+O219+O222+O225+O228+O231</f>
        <v>43317845.899576016</v>
      </c>
      <c r="P233" s="76">
        <f t="shared" si="105"/>
        <v>53872935.67491778</v>
      </c>
      <c r="Q233" s="76">
        <f t="shared" si="105"/>
        <v>5491759.0931262597</v>
      </c>
      <c r="R233" s="76">
        <f t="shared" si="105"/>
        <v>2831748.9051755359</v>
      </c>
      <c r="S233" s="76">
        <f t="shared" si="105"/>
        <v>7250096.0209032139</v>
      </c>
      <c r="T233" s="76">
        <f t="shared" si="105"/>
        <v>163488.34608044932</v>
      </c>
      <c r="U233" s="76">
        <f t="shared" si="105"/>
        <v>193158.6743311403</v>
      </c>
      <c r="V233" s="76">
        <f t="shared" si="105"/>
        <v>0</v>
      </c>
      <c r="W233" s="76">
        <f t="shared" si="105"/>
        <v>0</v>
      </c>
      <c r="X233" s="62">
        <f t="shared" si="105"/>
        <v>0</v>
      </c>
      <c r="Y233" s="62">
        <f t="shared" si="105"/>
        <v>0</v>
      </c>
      <c r="Z233" s="62">
        <f t="shared" si="105"/>
        <v>0</v>
      </c>
      <c r="AA233" s="64">
        <f>SUM(G233:Z233)</f>
        <v>685621902.81823492</v>
      </c>
      <c r="AB233" s="58" t="str">
        <f>IF(ABS(F233-AA233)&lt;0.01,"ok","err")</f>
        <v>ok</v>
      </c>
    </row>
    <row r="235" spans="1:28">
      <c r="F235" s="152">
        <f>(F200+F204+F211)/F233</f>
        <v>3.4332943926351916E-2</v>
      </c>
      <c r="G235" s="152">
        <f>(G200+G204+G211)/G233</f>
        <v>4.0051239362508477E-2</v>
      </c>
      <c r="J235" s="152"/>
      <c r="K235" s="152"/>
      <c r="N235" s="152"/>
      <c r="O235" s="152"/>
    </row>
    <row r="236" spans="1:28" ht="15">
      <c r="A236" s="65" t="s">
        <v>1069</v>
      </c>
    </row>
    <row r="238" spans="1:28" ht="15">
      <c r="A238" s="65" t="s">
        <v>364</v>
      </c>
    </row>
    <row r="239" spans="1:28">
      <c r="A239" s="68" t="s">
        <v>359</v>
      </c>
      <c r="C239" s="60" t="s">
        <v>99</v>
      </c>
      <c r="D239" s="60" t="s">
        <v>477</v>
      </c>
      <c r="E239" s="60" t="s">
        <v>869</v>
      </c>
      <c r="F239" s="76">
        <f>VLOOKUP(C239,'Functional Assignment'!$C$2:$AP$780,'Functional Assignment'!$H$2,)</f>
        <v>8354903.5962755047</v>
      </c>
      <c r="G239" s="76">
        <f t="shared" ref="G239:P244" si="106">IF(VLOOKUP($E239,$D$6:$AN$1131,3,)=0,0,(VLOOKUP($E239,$D$6:$AN$1131,G$2,)/VLOOKUP($E239,$D$6:$AN$1131,3,))*$F239)</f>
        <v>3022620.5866255108</v>
      </c>
      <c r="H239" s="76">
        <f t="shared" si="106"/>
        <v>982243.49044220417</v>
      </c>
      <c r="I239" s="76">
        <f t="shared" si="106"/>
        <v>0</v>
      </c>
      <c r="J239" s="76">
        <f t="shared" si="106"/>
        <v>116986.86979821771</v>
      </c>
      <c r="K239" s="76">
        <f t="shared" si="106"/>
        <v>1355444.6068440417</v>
      </c>
      <c r="L239" s="76">
        <f t="shared" si="106"/>
        <v>0</v>
      </c>
      <c r="M239" s="76">
        <f t="shared" si="106"/>
        <v>0</v>
      </c>
      <c r="N239" s="76">
        <f t="shared" si="106"/>
        <v>1308380.3692805222</v>
      </c>
      <c r="O239" s="76">
        <f t="shared" si="106"/>
        <v>575443.46127337776</v>
      </c>
      <c r="P239" s="76">
        <f t="shared" si="106"/>
        <v>796703.43821217329</v>
      </c>
      <c r="Q239" s="76">
        <f t="shared" ref="Q239:Z244" si="107">IF(VLOOKUP($E239,$D$6:$AN$1131,3,)=0,0,(VLOOKUP($E239,$D$6:$AN$1131,Q$2,)/VLOOKUP($E239,$D$6:$AN$1131,3,))*$F239)</f>
        <v>77762.271512273554</v>
      </c>
      <c r="R239" s="76">
        <f t="shared" si="107"/>
        <v>41081.53178331691</v>
      </c>
      <c r="S239" s="76">
        <f t="shared" si="107"/>
        <v>73590.295907826498</v>
      </c>
      <c r="T239" s="76">
        <f t="shared" si="107"/>
        <v>2398.7670450882788</v>
      </c>
      <c r="U239" s="76">
        <f t="shared" si="107"/>
        <v>2247.9075509536988</v>
      </c>
      <c r="V239" s="76">
        <f t="shared" si="107"/>
        <v>0</v>
      </c>
      <c r="W239" s="76">
        <f t="shared" si="107"/>
        <v>0</v>
      </c>
      <c r="X239" s="62">
        <f t="shared" si="107"/>
        <v>0</v>
      </c>
      <c r="Y239" s="62">
        <f t="shared" si="107"/>
        <v>0</v>
      </c>
      <c r="Z239" s="62">
        <f t="shared" si="107"/>
        <v>0</v>
      </c>
      <c r="AA239" s="64">
        <f t="shared" ref="AA239:AA245" si="108">SUM(G239:Z239)</f>
        <v>8354903.5962755065</v>
      </c>
      <c r="AB239" s="58" t="str">
        <f t="shared" ref="AB239:AB245" si="109">IF(ABS(F239-AA239)&lt;0.01,"ok","err")</f>
        <v>ok</v>
      </c>
    </row>
    <row r="240" spans="1:28">
      <c r="A240" s="68" t="s">
        <v>1255</v>
      </c>
      <c r="C240" s="60" t="s">
        <v>99</v>
      </c>
      <c r="D240" s="60" t="s">
        <v>478</v>
      </c>
      <c r="E240" s="60" t="s">
        <v>188</v>
      </c>
      <c r="F240" s="79">
        <f>VLOOKUP(C240,'Functional Assignment'!$C$2:$AP$780,'Functional Assignment'!$I$2,)</f>
        <v>8752290.3350628056</v>
      </c>
      <c r="G240" s="79">
        <f t="shared" si="106"/>
        <v>3740012.8112181015</v>
      </c>
      <c r="H240" s="79">
        <f t="shared" si="106"/>
        <v>1223816.1544858562</v>
      </c>
      <c r="I240" s="79">
        <f t="shared" si="106"/>
        <v>0</v>
      </c>
      <c r="J240" s="79">
        <f t="shared" si="106"/>
        <v>95168.959931206118</v>
      </c>
      <c r="K240" s="79">
        <f t="shared" si="106"/>
        <v>1280607.0948496354</v>
      </c>
      <c r="L240" s="79">
        <f t="shared" si="106"/>
        <v>0</v>
      </c>
      <c r="M240" s="79">
        <f t="shared" si="106"/>
        <v>0</v>
      </c>
      <c r="N240" s="79">
        <f t="shared" si="106"/>
        <v>1019805.0778197026</v>
      </c>
      <c r="O240" s="79">
        <f t="shared" si="106"/>
        <v>683895.65948730381</v>
      </c>
      <c r="P240" s="79">
        <f t="shared" si="106"/>
        <v>609979.3874426604</v>
      </c>
      <c r="Q240" s="79">
        <f t="shared" si="107"/>
        <v>70425.988858196419</v>
      </c>
      <c r="R240" s="79">
        <f t="shared" si="107"/>
        <v>26769.191973475085</v>
      </c>
      <c r="S240" s="79">
        <f t="shared" si="107"/>
        <v>0</v>
      </c>
      <c r="T240" s="79">
        <f t="shared" si="107"/>
        <v>0</v>
      </c>
      <c r="U240" s="79">
        <f t="shared" si="107"/>
        <v>1810.0089966683515</v>
      </c>
      <c r="V240" s="79">
        <f t="shared" si="107"/>
        <v>0</v>
      </c>
      <c r="W240" s="79">
        <f t="shared" si="107"/>
        <v>0</v>
      </c>
      <c r="X240" s="63">
        <f t="shared" si="107"/>
        <v>0</v>
      </c>
      <c r="Y240" s="63">
        <f t="shared" si="107"/>
        <v>0</v>
      </c>
      <c r="Z240" s="63">
        <f t="shared" si="107"/>
        <v>0</v>
      </c>
      <c r="AA240" s="63">
        <f t="shared" si="108"/>
        <v>8752290.3350628074</v>
      </c>
      <c r="AB240" s="58" t="str">
        <f t="shared" si="109"/>
        <v>ok</v>
      </c>
    </row>
    <row r="241" spans="1:28">
      <c r="A241" s="68" t="s">
        <v>1256</v>
      </c>
      <c r="C241" s="60" t="s">
        <v>99</v>
      </c>
      <c r="D241" s="60" t="s">
        <v>479</v>
      </c>
      <c r="E241" s="60" t="s">
        <v>191</v>
      </c>
      <c r="F241" s="79">
        <f>VLOOKUP(C241,'Functional Assignment'!$C$2:$AP$780,'Functional Assignment'!$J$2,)</f>
        <v>7194353.14251801</v>
      </c>
      <c r="G241" s="79">
        <f t="shared" si="106"/>
        <v>2813351.8917873516</v>
      </c>
      <c r="H241" s="79">
        <f t="shared" si="106"/>
        <v>1016675.6905991747</v>
      </c>
      <c r="I241" s="79">
        <f t="shared" si="106"/>
        <v>0</v>
      </c>
      <c r="J241" s="79">
        <f t="shared" si="106"/>
        <v>83847.089394186623</v>
      </c>
      <c r="K241" s="79">
        <f t="shared" si="106"/>
        <v>1183521.8863178634</v>
      </c>
      <c r="L241" s="79">
        <f t="shared" si="106"/>
        <v>0</v>
      </c>
      <c r="M241" s="79">
        <f t="shared" si="106"/>
        <v>0</v>
      </c>
      <c r="N241" s="79">
        <f t="shared" si="106"/>
        <v>895128.20061443909</v>
      </c>
      <c r="O241" s="79">
        <f t="shared" si="106"/>
        <v>604587.30192695011</v>
      </c>
      <c r="P241" s="79">
        <f t="shared" si="106"/>
        <v>517698.71341044066</v>
      </c>
      <c r="Q241" s="79">
        <f t="shared" si="107"/>
        <v>55899.484977562031</v>
      </c>
      <c r="R241" s="79">
        <f t="shared" si="107"/>
        <v>22628.472589151374</v>
      </c>
      <c r="S241" s="79">
        <f t="shared" si="107"/>
        <v>0</v>
      </c>
      <c r="T241" s="79">
        <f t="shared" si="107"/>
        <v>0</v>
      </c>
      <c r="U241" s="79">
        <f t="shared" si="107"/>
        <v>1014.410900889805</v>
      </c>
      <c r="V241" s="79">
        <f t="shared" si="107"/>
        <v>0</v>
      </c>
      <c r="W241" s="79">
        <f t="shared" si="107"/>
        <v>0</v>
      </c>
      <c r="X241" s="63">
        <f t="shared" si="107"/>
        <v>0</v>
      </c>
      <c r="Y241" s="63">
        <f t="shared" si="107"/>
        <v>0</v>
      </c>
      <c r="Z241" s="63">
        <f t="shared" si="107"/>
        <v>0</v>
      </c>
      <c r="AA241" s="63">
        <f t="shared" si="108"/>
        <v>7194353.1425180091</v>
      </c>
      <c r="AB241" s="58" t="str">
        <f t="shared" si="109"/>
        <v>ok</v>
      </c>
    </row>
    <row r="242" spans="1:28">
      <c r="A242" s="68" t="s">
        <v>1257</v>
      </c>
      <c r="C242" s="60" t="s">
        <v>99</v>
      </c>
      <c r="D242" s="60" t="s">
        <v>480</v>
      </c>
      <c r="E242" s="60" t="s">
        <v>1091</v>
      </c>
      <c r="F242" s="79">
        <f>VLOOKUP(C242,'Functional Assignment'!$C$2:$AP$780,'Functional Assignment'!$K$2,)</f>
        <v>17970757.827004239</v>
      </c>
      <c r="G242" s="79">
        <f t="shared" si="106"/>
        <v>6501425.3946288936</v>
      </c>
      <c r="H242" s="79">
        <f t="shared" si="106"/>
        <v>2112730.4992781421</v>
      </c>
      <c r="I242" s="79">
        <f t="shared" si="106"/>
        <v>0</v>
      </c>
      <c r="J242" s="79">
        <f t="shared" si="106"/>
        <v>251629.74153401147</v>
      </c>
      <c r="K242" s="79">
        <f t="shared" si="106"/>
        <v>2915457.5795946373</v>
      </c>
      <c r="L242" s="79">
        <f t="shared" si="106"/>
        <v>0</v>
      </c>
      <c r="M242" s="79">
        <f t="shared" si="106"/>
        <v>0</v>
      </c>
      <c r="N242" s="79">
        <f t="shared" si="106"/>
        <v>2814225.9290829226</v>
      </c>
      <c r="O242" s="79">
        <f t="shared" si="106"/>
        <v>1237734.870559141</v>
      </c>
      <c r="P242" s="79">
        <f t="shared" si="106"/>
        <v>1713648.103594973</v>
      </c>
      <c r="Q242" s="79">
        <f t="shared" si="107"/>
        <v>167260.75000079011</v>
      </c>
      <c r="R242" s="79">
        <f t="shared" si="107"/>
        <v>88363.230591526037</v>
      </c>
      <c r="S242" s="79">
        <f t="shared" si="107"/>
        <v>158287.03020358231</v>
      </c>
      <c r="T242" s="79">
        <f t="shared" si="107"/>
        <v>5159.6175198798383</v>
      </c>
      <c r="U242" s="79">
        <f t="shared" si="107"/>
        <v>4835.0804157379343</v>
      </c>
      <c r="V242" s="79">
        <f t="shared" si="107"/>
        <v>0</v>
      </c>
      <c r="W242" s="79">
        <f t="shared" si="107"/>
        <v>0</v>
      </c>
      <c r="X242" s="63">
        <f t="shared" si="107"/>
        <v>0</v>
      </c>
      <c r="Y242" s="63">
        <f t="shared" si="107"/>
        <v>0</v>
      </c>
      <c r="Z242" s="63">
        <f t="shared" si="107"/>
        <v>0</v>
      </c>
      <c r="AA242" s="63">
        <f t="shared" si="108"/>
        <v>17970757.827004235</v>
      </c>
      <c r="AB242" s="58" t="str">
        <f t="shared" si="109"/>
        <v>ok</v>
      </c>
    </row>
    <row r="243" spans="1:28">
      <c r="A243" s="68" t="s">
        <v>1258</v>
      </c>
      <c r="C243" s="60" t="s">
        <v>99</v>
      </c>
      <c r="D243" s="60" t="s">
        <v>481</v>
      </c>
      <c r="E243" s="60" t="s">
        <v>1091</v>
      </c>
      <c r="F243" s="79">
        <f>VLOOKUP(C243,'Functional Assignment'!$C$2:$AP$780,'Functional Assignment'!$L$2,)</f>
        <v>0</v>
      </c>
      <c r="G243" s="79">
        <f t="shared" si="106"/>
        <v>0</v>
      </c>
      <c r="H243" s="79">
        <f t="shared" si="106"/>
        <v>0</v>
      </c>
      <c r="I243" s="79">
        <f t="shared" si="106"/>
        <v>0</v>
      </c>
      <c r="J243" s="79">
        <f t="shared" si="106"/>
        <v>0</v>
      </c>
      <c r="K243" s="79">
        <f t="shared" si="106"/>
        <v>0</v>
      </c>
      <c r="L243" s="79">
        <f t="shared" si="106"/>
        <v>0</v>
      </c>
      <c r="M243" s="79">
        <f t="shared" si="106"/>
        <v>0</v>
      </c>
      <c r="N243" s="79">
        <f t="shared" si="106"/>
        <v>0</v>
      </c>
      <c r="O243" s="79">
        <f t="shared" si="106"/>
        <v>0</v>
      </c>
      <c r="P243" s="79">
        <f t="shared" si="106"/>
        <v>0</v>
      </c>
      <c r="Q243" s="79">
        <f t="shared" si="107"/>
        <v>0</v>
      </c>
      <c r="R243" s="79">
        <f t="shared" si="107"/>
        <v>0</v>
      </c>
      <c r="S243" s="79">
        <f t="shared" si="107"/>
        <v>0</v>
      </c>
      <c r="T243" s="79">
        <f t="shared" si="107"/>
        <v>0</v>
      </c>
      <c r="U243" s="79">
        <f t="shared" si="107"/>
        <v>0</v>
      </c>
      <c r="V243" s="79">
        <f t="shared" si="107"/>
        <v>0</v>
      </c>
      <c r="W243" s="79">
        <f t="shared" si="107"/>
        <v>0</v>
      </c>
      <c r="X243" s="63">
        <f t="shared" si="107"/>
        <v>0</v>
      </c>
      <c r="Y243" s="63">
        <f t="shared" si="107"/>
        <v>0</v>
      </c>
      <c r="Z243" s="63">
        <f t="shared" si="107"/>
        <v>0</v>
      </c>
      <c r="AA243" s="63">
        <f t="shared" si="108"/>
        <v>0</v>
      </c>
      <c r="AB243" s="58" t="str">
        <f t="shared" si="109"/>
        <v>ok</v>
      </c>
    </row>
    <row r="244" spans="1:28">
      <c r="A244" s="68" t="s">
        <v>1258</v>
      </c>
      <c r="C244" s="60" t="s">
        <v>99</v>
      </c>
      <c r="D244" s="60" t="s">
        <v>482</v>
      </c>
      <c r="E244" s="60" t="s">
        <v>1091</v>
      </c>
      <c r="F244" s="79">
        <f>VLOOKUP(C244,'Functional Assignment'!$C$2:$AP$780,'Functional Assignment'!$M$2,)</f>
        <v>0</v>
      </c>
      <c r="G244" s="79">
        <f t="shared" si="106"/>
        <v>0</v>
      </c>
      <c r="H244" s="79">
        <f t="shared" si="106"/>
        <v>0</v>
      </c>
      <c r="I244" s="79">
        <f t="shared" si="106"/>
        <v>0</v>
      </c>
      <c r="J244" s="79">
        <f t="shared" si="106"/>
        <v>0</v>
      </c>
      <c r="K244" s="79">
        <f t="shared" si="106"/>
        <v>0</v>
      </c>
      <c r="L244" s="79">
        <f t="shared" si="106"/>
        <v>0</v>
      </c>
      <c r="M244" s="79">
        <f t="shared" si="106"/>
        <v>0</v>
      </c>
      <c r="N244" s="79">
        <f t="shared" si="106"/>
        <v>0</v>
      </c>
      <c r="O244" s="79">
        <f t="shared" si="106"/>
        <v>0</v>
      </c>
      <c r="P244" s="79">
        <f t="shared" si="106"/>
        <v>0</v>
      </c>
      <c r="Q244" s="79">
        <f t="shared" si="107"/>
        <v>0</v>
      </c>
      <c r="R244" s="79">
        <f t="shared" si="107"/>
        <v>0</v>
      </c>
      <c r="S244" s="79">
        <f t="shared" si="107"/>
        <v>0</v>
      </c>
      <c r="T244" s="79">
        <f t="shared" si="107"/>
        <v>0</v>
      </c>
      <c r="U244" s="79">
        <f t="shared" si="107"/>
        <v>0</v>
      </c>
      <c r="V244" s="79">
        <f t="shared" si="107"/>
        <v>0</v>
      </c>
      <c r="W244" s="79">
        <f t="shared" si="107"/>
        <v>0</v>
      </c>
      <c r="X244" s="63">
        <f t="shared" si="107"/>
        <v>0</v>
      </c>
      <c r="Y244" s="63">
        <f t="shared" si="107"/>
        <v>0</v>
      </c>
      <c r="Z244" s="63">
        <f t="shared" si="107"/>
        <v>0</v>
      </c>
      <c r="AA244" s="63">
        <f t="shared" si="108"/>
        <v>0</v>
      </c>
      <c r="AB244" s="58" t="str">
        <f t="shared" si="109"/>
        <v>ok</v>
      </c>
    </row>
    <row r="245" spans="1:28">
      <c r="A245" s="60" t="s">
        <v>387</v>
      </c>
      <c r="D245" s="60" t="s">
        <v>1107</v>
      </c>
      <c r="F245" s="76">
        <f>SUM(F239:F244)</f>
        <v>42272304.900860563</v>
      </c>
      <c r="G245" s="76">
        <f t="shared" ref="G245:P245" si="110">SUM(G239:G244)</f>
        <v>16077410.684259858</v>
      </c>
      <c r="H245" s="76">
        <f t="shared" si="110"/>
        <v>5335465.8348053768</v>
      </c>
      <c r="I245" s="76">
        <f t="shared" si="110"/>
        <v>0</v>
      </c>
      <c r="J245" s="76">
        <f t="shared" si="110"/>
        <v>547632.66065762192</v>
      </c>
      <c r="K245" s="76">
        <f t="shared" si="110"/>
        <v>6735031.1676061777</v>
      </c>
      <c r="L245" s="76">
        <f t="shared" si="110"/>
        <v>0</v>
      </c>
      <c r="M245" s="76">
        <f t="shared" si="110"/>
        <v>0</v>
      </c>
      <c r="N245" s="76">
        <f t="shared" si="110"/>
        <v>6037539.5767975869</v>
      </c>
      <c r="O245" s="76">
        <f>SUM(O239:O244)</f>
        <v>3101661.2932467726</v>
      </c>
      <c r="P245" s="76">
        <f t="shared" si="110"/>
        <v>3638029.6426602472</v>
      </c>
      <c r="Q245" s="76">
        <f t="shared" ref="Q245:W245" si="111">SUM(Q239:Q244)</f>
        <v>371348.49534882209</v>
      </c>
      <c r="R245" s="76">
        <f t="shared" si="111"/>
        <v>178842.4269374694</v>
      </c>
      <c r="S245" s="76">
        <f t="shared" si="111"/>
        <v>231877.32611140882</v>
      </c>
      <c r="T245" s="76">
        <f t="shared" si="111"/>
        <v>7558.384564968117</v>
      </c>
      <c r="U245" s="76">
        <f t="shared" si="111"/>
        <v>9907.4078642497898</v>
      </c>
      <c r="V245" s="76">
        <f t="shared" si="111"/>
        <v>0</v>
      </c>
      <c r="W245" s="76">
        <f t="shared" si="111"/>
        <v>0</v>
      </c>
      <c r="X245" s="62">
        <f>SUM(X239:X244)</f>
        <v>0</v>
      </c>
      <c r="Y245" s="62">
        <f>SUM(Y239:Y244)</f>
        <v>0</v>
      </c>
      <c r="Z245" s="62">
        <f>SUM(Z239:Z244)</f>
        <v>0</v>
      </c>
      <c r="AA245" s="64">
        <f t="shared" si="108"/>
        <v>42272304.900860555</v>
      </c>
      <c r="AB245" s="58" t="str">
        <f t="shared" si="109"/>
        <v>ok</v>
      </c>
    </row>
    <row r="246" spans="1:28">
      <c r="F246" s="79"/>
      <c r="G246" s="79"/>
    </row>
    <row r="247" spans="1:28" ht="15">
      <c r="A247" s="65" t="s">
        <v>1131</v>
      </c>
      <c r="F247" s="79"/>
      <c r="G247" s="79"/>
    </row>
    <row r="248" spans="1:28">
      <c r="A248" s="68" t="s">
        <v>1363</v>
      </c>
      <c r="C248" s="60" t="s">
        <v>99</v>
      </c>
      <c r="D248" s="60" t="s">
        <v>483</v>
      </c>
      <c r="E248" s="60" t="s">
        <v>1367</v>
      </c>
      <c r="F248" s="76">
        <f>VLOOKUP(C248,'Functional Assignment'!$C$2:$AP$780,'Functional Assignment'!$N$2,)</f>
        <v>4308731.1725444533</v>
      </c>
      <c r="G248" s="76">
        <f t="shared" ref="G248:P250" si="112">IF(VLOOKUP($E248,$D$6:$AN$1131,3,)=0,0,(VLOOKUP($E248,$D$6:$AN$1131,G$2,)/VLOOKUP($E248,$D$6:$AN$1131,3,))*$F248)</f>
        <v>1914748.0110646947</v>
      </c>
      <c r="H248" s="76">
        <f t="shared" si="112"/>
        <v>551154.88507357822</v>
      </c>
      <c r="I248" s="76">
        <f t="shared" si="112"/>
        <v>0</v>
      </c>
      <c r="J248" s="76">
        <f t="shared" si="112"/>
        <v>48970.5941613744</v>
      </c>
      <c r="K248" s="76">
        <f t="shared" si="112"/>
        <v>568382.49878154951</v>
      </c>
      <c r="L248" s="76">
        <f t="shared" si="112"/>
        <v>0</v>
      </c>
      <c r="M248" s="76">
        <f t="shared" si="112"/>
        <v>0</v>
      </c>
      <c r="N248" s="76">
        <f t="shared" si="112"/>
        <v>517054.63273819507</v>
      </c>
      <c r="O248" s="76">
        <f t="shared" si="112"/>
        <v>306999.9045409367</v>
      </c>
      <c r="P248" s="76">
        <f t="shared" si="112"/>
        <v>317995.92468403163</v>
      </c>
      <c r="Q248" s="76">
        <f t="shared" ref="Q248:Z250" si="113">IF(VLOOKUP($E248,$D$6:$AN$1131,3,)=0,0,(VLOOKUP($E248,$D$6:$AN$1131,Q$2,)/VLOOKUP($E248,$D$6:$AN$1131,3,))*$F248)</f>
        <v>32055.389321089388</v>
      </c>
      <c r="R248" s="76">
        <f t="shared" si="113"/>
        <v>16778.251956556265</v>
      </c>
      <c r="S248" s="76">
        <f t="shared" si="113"/>
        <v>33052.418767228563</v>
      </c>
      <c r="T248" s="76">
        <f t="shared" si="113"/>
        <v>1057.1117628538477</v>
      </c>
      <c r="U248" s="76">
        <f t="shared" si="113"/>
        <v>481.54969236555576</v>
      </c>
      <c r="V248" s="76">
        <f t="shared" si="113"/>
        <v>0</v>
      </c>
      <c r="W248" s="76">
        <f t="shared" si="113"/>
        <v>0</v>
      </c>
      <c r="X248" s="62">
        <f t="shared" si="113"/>
        <v>0</v>
      </c>
      <c r="Y248" s="62">
        <f t="shared" si="113"/>
        <v>0</v>
      </c>
      <c r="Z248" s="62">
        <f t="shared" si="113"/>
        <v>0</v>
      </c>
      <c r="AA248" s="64">
        <f>SUM(G248:Z248)</f>
        <v>4308731.1725444552</v>
      </c>
      <c r="AB248" s="58" t="str">
        <f>IF(ABS(F248-AA248)&lt;0.01,"ok","err")</f>
        <v>ok</v>
      </c>
    </row>
    <row r="249" spans="1:28" hidden="1">
      <c r="A249" s="68" t="s">
        <v>1364</v>
      </c>
      <c r="C249" s="60" t="s">
        <v>99</v>
      </c>
      <c r="D249" s="60" t="s">
        <v>484</v>
      </c>
      <c r="E249" s="60" t="s">
        <v>188</v>
      </c>
      <c r="F249" s="79">
        <f>VLOOKUP(C249,'Functional Assignment'!$C$2:$AP$780,'Functional Assignment'!$O$2,)</f>
        <v>0</v>
      </c>
      <c r="G249" s="79">
        <f t="shared" si="112"/>
        <v>0</v>
      </c>
      <c r="H249" s="79">
        <f t="shared" si="112"/>
        <v>0</v>
      </c>
      <c r="I249" s="79">
        <f t="shared" si="112"/>
        <v>0</v>
      </c>
      <c r="J249" s="79">
        <f t="shared" si="112"/>
        <v>0</v>
      </c>
      <c r="K249" s="79">
        <f t="shared" si="112"/>
        <v>0</v>
      </c>
      <c r="L249" s="79">
        <f t="shared" si="112"/>
        <v>0</v>
      </c>
      <c r="M249" s="79">
        <f t="shared" si="112"/>
        <v>0</v>
      </c>
      <c r="N249" s="79">
        <f t="shared" si="112"/>
        <v>0</v>
      </c>
      <c r="O249" s="79">
        <f t="shared" si="112"/>
        <v>0</v>
      </c>
      <c r="P249" s="79">
        <f t="shared" si="112"/>
        <v>0</v>
      </c>
      <c r="Q249" s="79">
        <f t="shared" si="113"/>
        <v>0</v>
      </c>
      <c r="R249" s="79">
        <f t="shared" si="113"/>
        <v>0</v>
      </c>
      <c r="S249" s="79">
        <f t="shared" si="113"/>
        <v>0</v>
      </c>
      <c r="T249" s="79">
        <f t="shared" si="113"/>
        <v>0</v>
      </c>
      <c r="U249" s="79">
        <f t="shared" si="113"/>
        <v>0</v>
      </c>
      <c r="V249" s="79">
        <f t="shared" si="113"/>
        <v>0</v>
      </c>
      <c r="W249" s="79">
        <f t="shared" si="113"/>
        <v>0</v>
      </c>
      <c r="X249" s="63">
        <f t="shared" si="113"/>
        <v>0</v>
      </c>
      <c r="Y249" s="63">
        <f t="shared" si="113"/>
        <v>0</v>
      </c>
      <c r="Z249" s="63">
        <f t="shared" si="113"/>
        <v>0</v>
      </c>
      <c r="AA249" s="63">
        <f>SUM(G249:Z249)</f>
        <v>0</v>
      </c>
      <c r="AB249" s="58" t="str">
        <f>IF(ABS(F249-AA249)&lt;0.01,"ok","err")</f>
        <v>ok</v>
      </c>
    </row>
    <row r="250" spans="1:28" hidden="1">
      <c r="A250" s="68" t="s">
        <v>1364</v>
      </c>
      <c r="C250" s="60" t="s">
        <v>99</v>
      </c>
      <c r="D250" s="60" t="s">
        <v>485</v>
      </c>
      <c r="E250" s="60" t="s">
        <v>191</v>
      </c>
      <c r="F250" s="79">
        <f>VLOOKUP(C250,'Functional Assignment'!$C$2:$AP$780,'Functional Assignment'!$P$2,)</f>
        <v>0</v>
      </c>
      <c r="G250" s="79">
        <f t="shared" si="112"/>
        <v>0</v>
      </c>
      <c r="H250" s="79">
        <f t="shared" si="112"/>
        <v>0</v>
      </c>
      <c r="I250" s="79">
        <f t="shared" si="112"/>
        <v>0</v>
      </c>
      <c r="J250" s="79">
        <f t="shared" si="112"/>
        <v>0</v>
      </c>
      <c r="K250" s="79">
        <f t="shared" si="112"/>
        <v>0</v>
      </c>
      <c r="L250" s="79">
        <f t="shared" si="112"/>
        <v>0</v>
      </c>
      <c r="M250" s="79">
        <f t="shared" si="112"/>
        <v>0</v>
      </c>
      <c r="N250" s="79">
        <f t="shared" si="112"/>
        <v>0</v>
      </c>
      <c r="O250" s="79">
        <f t="shared" si="112"/>
        <v>0</v>
      </c>
      <c r="P250" s="79">
        <f t="shared" si="112"/>
        <v>0</v>
      </c>
      <c r="Q250" s="79">
        <f t="shared" si="113"/>
        <v>0</v>
      </c>
      <c r="R250" s="79">
        <f t="shared" si="113"/>
        <v>0</v>
      </c>
      <c r="S250" s="79">
        <f t="shared" si="113"/>
        <v>0</v>
      </c>
      <c r="T250" s="79">
        <f t="shared" si="113"/>
        <v>0</v>
      </c>
      <c r="U250" s="79">
        <f t="shared" si="113"/>
        <v>0</v>
      </c>
      <c r="V250" s="79">
        <f t="shared" si="113"/>
        <v>0</v>
      </c>
      <c r="W250" s="79">
        <f t="shared" si="113"/>
        <v>0</v>
      </c>
      <c r="X250" s="63">
        <f t="shared" si="113"/>
        <v>0</v>
      </c>
      <c r="Y250" s="63">
        <f t="shared" si="113"/>
        <v>0</v>
      </c>
      <c r="Z250" s="63">
        <f t="shared" si="113"/>
        <v>0</v>
      </c>
      <c r="AA250" s="63">
        <f>SUM(G250:Z250)</f>
        <v>0</v>
      </c>
      <c r="AB250" s="58" t="str">
        <f>IF(ABS(F250-AA250)&lt;0.01,"ok","err")</f>
        <v>ok</v>
      </c>
    </row>
    <row r="251" spans="1:28" hidden="1">
      <c r="A251" s="60" t="s">
        <v>1133</v>
      </c>
      <c r="D251" s="60" t="s">
        <v>486</v>
      </c>
      <c r="F251" s="76">
        <f>SUM(F248:F250)</f>
        <v>4308731.1725444533</v>
      </c>
      <c r="G251" s="76">
        <f t="shared" ref="G251:W251" si="114">SUM(G248:G250)</f>
        <v>1914748.0110646947</v>
      </c>
      <c r="H251" s="76">
        <f t="shared" si="114"/>
        <v>551154.88507357822</v>
      </c>
      <c r="I251" s="76">
        <f t="shared" si="114"/>
        <v>0</v>
      </c>
      <c r="J251" s="76">
        <f t="shared" si="114"/>
        <v>48970.5941613744</v>
      </c>
      <c r="K251" s="76">
        <f t="shared" si="114"/>
        <v>568382.49878154951</v>
      </c>
      <c r="L251" s="76">
        <f t="shared" si="114"/>
        <v>0</v>
      </c>
      <c r="M251" s="76">
        <f t="shared" si="114"/>
        <v>0</v>
      </c>
      <c r="N251" s="76">
        <f t="shared" si="114"/>
        <v>517054.63273819507</v>
      </c>
      <c r="O251" s="76">
        <f>SUM(O248:O250)</f>
        <v>306999.9045409367</v>
      </c>
      <c r="P251" s="76">
        <f t="shared" si="114"/>
        <v>317995.92468403163</v>
      </c>
      <c r="Q251" s="76">
        <f t="shared" si="114"/>
        <v>32055.389321089388</v>
      </c>
      <c r="R251" s="76">
        <f t="shared" si="114"/>
        <v>16778.251956556265</v>
      </c>
      <c r="S251" s="76">
        <f t="shared" si="114"/>
        <v>33052.418767228563</v>
      </c>
      <c r="T251" s="76">
        <f t="shared" si="114"/>
        <v>1057.1117628538477</v>
      </c>
      <c r="U251" s="76">
        <f t="shared" si="114"/>
        <v>481.54969236555576</v>
      </c>
      <c r="V251" s="76">
        <f t="shared" si="114"/>
        <v>0</v>
      </c>
      <c r="W251" s="76">
        <f t="shared" si="114"/>
        <v>0</v>
      </c>
      <c r="X251" s="62">
        <f>SUM(X248:X250)</f>
        <v>0</v>
      </c>
      <c r="Y251" s="62">
        <f>SUM(Y248:Y250)</f>
        <v>0</v>
      </c>
      <c r="Z251" s="62">
        <f>SUM(Z248:Z250)</f>
        <v>0</v>
      </c>
      <c r="AA251" s="64">
        <f>SUM(G251:Z251)</f>
        <v>4308731.1725444552</v>
      </c>
      <c r="AB251" s="58" t="str">
        <f>IF(ABS(F251-AA251)&lt;0.01,"ok","err")</f>
        <v>ok</v>
      </c>
    </row>
    <row r="252" spans="1:28">
      <c r="F252" s="79"/>
      <c r="G252" s="79"/>
    </row>
    <row r="253" spans="1:28" ht="15">
      <c r="A253" s="65" t="s">
        <v>348</v>
      </c>
      <c r="F253" s="79"/>
      <c r="G253" s="79"/>
    </row>
    <row r="254" spans="1:28">
      <c r="A254" s="68" t="s">
        <v>372</v>
      </c>
      <c r="C254" s="60" t="s">
        <v>99</v>
      </c>
      <c r="D254" s="60" t="s">
        <v>487</v>
      </c>
      <c r="E254" s="60" t="s">
        <v>1368</v>
      </c>
      <c r="F254" s="76">
        <f>VLOOKUP(C254,'Functional Assignment'!$C$2:$AP$780,'Functional Assignment'!$Q$2,)</f>
        <v>0</v>
      </c>
      <c r="G254" s="76">
        <f t="shared" ref="G254:Z254" si="115">IF(VLOOKUP($E254,$D$6:$AN$1131,3,)=0,0,(VLOOKUP($E254,$D$6:$AN$1131,G$2,)/VLOOKUP($E254,$D$6:$AN$1131,3,))*$F254)</f>
        <v>0</v>
      </c>
      <c r="H254" s="76">
        <f t="shared" si="115"/>
        <v>0</v>
      </c>
      <c r="I254" s="76">
        <f t="shared" si="115"/>
        <v>0</v>
      </c>
      <c r="J254" s="76">
        <f t="shared" si="115"/>
        <v>0</v>
      </c>
      <c r="K254" s="76">
        <f t="shared" si="115"/>
        <v>0</v>
      </c>
      <c r="L254" s="76">
        <f t="shared" si="115"/>
        <v>0</v>
      </c>
      <c r="M254" s="76">
        <f t="shared" si="115"/>
        <v>0</v>
      </c>
      <c r="N254" s="76">
        <f t="shared" si="115"/>
        <v>0</v>
      </c>
      <c r="O254" s="76">
        <f t="shared" si="115"/>
        <v>0</v>
      </c>
      <c r="P254" s="76">
        <f t="shared" si="115"/>
        <v>0</v>
      </c>
      <c r="Q254" s="76">
        <f t="shared" si="115"/>
        <v>0</v>
      </c>
      <c r="R254" s="76">
        <f t="shared" si="115"/>
        <v>0</v>
      </c>
      <c r="S254" s="76">
        <f t="shared" si="115"/>
        <v>0</v>
      </c>
      <c r="T254" s="76">
        <f t="shared" si="115"/>
        <v>0</v>
      </c>
      <c r="U254" s="76">
        <f t="shared" si="115"/>
        <v>0</v>
      </c>
      <c r="V254" s="76">
        <f t="shared" si="115"/>
        <v>0</v>
      </c>
      <c r="W254" s="76">
        <f t="shared" si="115"/>
        <v>0</v>
      </c>
      <c r="X254" s="62">
        <f t="shared" si="115"/>
        <v>0</v>
      </c>
      <c r="Y254" s="62">
        <f t="shared" si="115"/>
        <v>0</v>
      </c>
      <c r="Z254" s="62">
        <f t="shared" si="115"/>
        <v>0</v>
      </c>
      <c r="AA254" s="64">
        <f>SUM(G254:Z254)</f>
        <v>0</v>
      </c>
      <c r="AB254" s="58" t="str">
        <f>IF(ABS(F254-AA254)&lt;0.01,"ok","err")</f>
        <v>ok</v>
      </c>
    </row>
    <row r="255" spans="1:28">
      <c r="F255" s="79"/>
    </row>
    <row r="256" spans="1:28" ht="15">
      <c r="A256" s="65" t="s">
        <v>349</v>
      </c>
      <c r="F256" s="79"/>
      <c r="G256" s="79"/>
    </row>
    <row r="257" spans="1:28">
      <c r="A257" s="68" t="s">
        <v>374</v>
      </c>
      <c r="C257" s="60" t="s">
        <v>99</v>
      </c>
      <c r="D257" s="60" t="s">
        <v>488</v>
      </c>
      <c r="E257" s="60" t="s">
        <v>1368</v>
      </c>
      <c r="F257" s="76">
        <f>VLOOKUP(C257,'Functional Assignment'!$C$2:$AP$780,'Functional Assignment'!$R$2,)</f>
        <v>2685252.4144103993</v>
      </c>
      <c r="G257" s="76">
        <f t="shared" ref="G257:Z257" si="116">IF(VLOOKUP($E257,$D$6:$AN$1131,3,)=0,0,(VLOOKUP($E257,$D$6:$AN$1131,G$2,)/VLOOKUP($E257,$D$6:$AN$1131,3,))*$F257)</f>
        <v>1288379.5592442695</v>
      </c>
      <c r="H257" s="76">
        <f t="shared" si="116"/>
        <v>370856.46978245134</v>
      </c>
      <c r="I257" s="76">
        <f t="shared" si="116"/>
        <v>0</v>
      </c>
      <c r="J257" s="76">
        <f t="shared" si="116"/>
        <v>32950.922083203455</v>
      </c>
      <c r="K257" s="76">
        <f t="shared" si="116"/>
        <v>382448.4417952933</v>
      </c>
      <c r="L257" s="76">
        <f t="shared" si="116"/>
        <v>0</v>
      </c>
      <c r="M257" s="76">
        <f t="shared" si="116"/>
        <v>0</v>
      </c>
      <c r="N257" s="76">
        <f t="shared" si="116"/>
        <v>347911.37840745115</v>
      </c>
      <c r="O257" s="76">
        <f t="shared" si="116"/>
        <v>206571.51719956571</v>
      </c>
      <c r="P257" s="76">
        <f t="shared" si="116"/>
        <v>0</v>
      </c>
      <c r="Q257" s="76">
        <f t="shared" si="116"/>
        <v>21569.161125251168</v>
      </c>
      <c r="R257" s="76">
        <f t="shared" si="116"/>
        <v>11289.609251849948</v>
      </c>
      <c r="S257" s="76">
        <f t="shared" si="116"/>
        <v>22240.033924672996</v>
      </c>
      <c r="T257" s="76">
        <f t="shared" si="116"/>
        <v>711.30048404659544</v>
      </c>
      <c r="U257" s="76">
        <f t="shared" si="116"/>
        <v>324.02111234426337</v>
      </c>
      <c r="V257" s="76">
        <f t="shared" si="116"/>
        <v>0</v>
      </c>
      <c r="W257" s="76">
        <f t="shared" si="116"/>
        <v>0</v>
      </c>
      <c r="X257" s="62">
        <f t="shared" si="116"/>
        <v>0</v>
      </c>
      <c r="Y257" s="62">
        <f t="shared" si="116"/>
        <v>0</v>
      </c>
      <c r="Z257" s="62">
        <f t="shared" si="116"/>
        <v>0</v>
      </c>
      <c r="AA257" s="64">
        <f>SUM(G257:Z257)</f>
        <v>2685252.4144103997</v>
      </c>
      <c r="AB257" s="58" t="str">
        <f>IF(ABS(F257-AA257)&lt;0.01,"ok","err")</f>
        <v>ok</v>
      </c>
    </row>
    <row r="258" spans="1:28">
      <c r="F258" s="79"/>
    </row>
    <row r="259" spans="1:28" ht="15">
      <c r="A259" s="65" t="s">
        <v>373</v>
      </c>
      <c r="F259" s="79"/>
    </row>
    <row r="260" spans="1:28">
      <c r="A260" s="68" t="s">
        <v>623</v>
      </c>
      <c r="C260" s="60" t="s">
        <v>99</v>
      </c>
      <c r="D260" s="60" t="s">
        <v>489</v>
      </c>
      <c r="E260" s="60" t="s">
        <v>1368</v>
      </c>
      <c r="F260" s="76">
        <f>VLOOKUP(C260,'Functional Assignment'!$C$2:$AP$780,'Functional Assignment'!$S$2,)</f>
        <v>0</v>
      </c>
      <c r="G260" s="76">
        <f t="shared" ref="G260:P264" si="117">IF(VLOOKUP($E260,$D$6:$AN$1131,3,)=0,0,(VLOOKUP($E260,$D$6:$AN$1131,G$2,)/VLOOKUP($E260,$D$6:$AN$1131,3,))*$F260)</f>
        <v>0</v>
      </c>
      <c r="H260" s="76">
        <f t="shared" si="117"/>
        <v>0</v>
      </c>
      <c r="I260" s="76">
        <f t="shared" si="117"/>
        <v>0</v>
      </c>
      <c r="J260" s="76">
        <f t="shared" si="117"/>
        <v>0</v>
      </c>
      <c r="K260" s="76">
        <f t="shared" si="117"/>
        <v>0</v>
      </c>
      <c r="L260" s="76">
        <f t="shared" si="117"/>
        <v>0</v>
      </c>
      <c r="M260" s="76">
        <f t="shared" si="117"/>
        <v>0</v>
      </c>
      <c r="N260" s="76">
        <f t="shared" si="117"/>
        <v>0</v>
      </c>
      <c r="O260" s="76">
        <f t="shared" si="117"/>
        <v>0</v>
      </c>
      <c r="P260" s="76">
        <f t="shared" si="117"/>
        <v>0</v>
      </c>
      <c r="Q260" s="76">
        <f t="shared" ref="Q260:Z264" si="118">IF(VLOOKUP($E260,$D$6:$AN$1131,3,)=0,0,(VLOOKUP($E260,$D$6:$AN$1131,Q$2,)/VLOOKUP($E260,$D$6:$AN$1131,3,))*$F260)</f>
        <v>0</v>
      </c>
      <c r="R260" s="76">
        <f t="shared" si="118"/>
        <v>0</v>
      </c>
      <c r="S260" s="76">
        <f t="shared" si="118"/>
        <v>0</v>
      </c>
      <c r="T260" s="76">
        <f t="shared" si="118"/>
        <v>0</v>
      </c>
      <c r="U260" s="76">
        <f t="shared" si="118"/>
        <v>0</v>
      </c>
      <c r="V260" s="76">
        <f t="shared" si="118"/>
        <v>0</v>
      </c>
      <c r="W260" s="76">
        <f t="shared" si="118"/>
        <v>0</v>
      </c>
      <c r="X260" s="62">
        <f t="shared" si="118"/>
        <v>0</v>
      </c>
      <c r="Y260" s="62">
        <f t="shared" si="118"/>
        <v>0</v>
      </c>
      <c r="Z260" s="62">
        <f t="shared" si="118"/>
        <v>0</v>
      </c>
      <c r="AA260" s="64">
        <f t="shared" ref="AA260:AA265" si="119">SUM(G260:Z260)</f>
        <v>0</v>
      </c>
      <c r="AB260" s="58" t="str">
        <f t="shared" ref="AB260:AB265" si="120">IF(ABS(F260-AA260)&lt;0.01,"ok","err")</f>
        <v>ok</v>
      </c>
    </row>
    <row r="261" spans="1:28">
      <c r="A261" s="68" t="s">
        <v>624</v>
      </c>
      <c r="C261" s="60" t="s">
        <v>99</v>
      </c>
      <c r="D261" s="60" t="s">
        <v>490</v>
      </c>
      <c r="E261" s="60" t="s">
        <v>1368</v>
      </c>
      <c r="F261" s="79">
        <f>VLOOKUP(C261,'Functional Assignment'!$C$2:$AP$780,'Functional Assignment'!$T$2,)</f>
        <v>2551846.5672994298</v>
      </c>
      <c r="G261" s="79">
        <f t="shared" si="117"/>
        <v>1224371.6598084252</v>
      </c>
      <c r="H261" s="79">
        <f t="shared" si="117"/>
        <v>352431.97410286189</v>
      </c>
      <c r="I261" s="79">
        <f t="shared" si="117"/>
        <v>0</v>
      </c>
      <c r="J261" s="79">
        <f t="shared" si="117"/>
        <v>31313.889508534867</v>
      </c>
      <c r="K261" s="79">
        <f t="shared" si="117"/>
        <v>363448.04612292815</v>
      </c>
      <c r="L261" s="79">
        <f t="shared" si="117"/>
        <v>0</v>
      </c>
      <c r="M261" s="79">
        <f t="shared" si="117"/>
        <v>0</v>
      </c>
      <c r="N261" s="79">
        <f t="shared" si="117"/>
        <v>330626.81629071542</v>
      </c>
      <c r="O261" s="79">
        <f t="shared" si="117"/>
        <v>196308.8513536597</v>
      </c>
      <c r="P261" s="79">
        <f t="shared" si="117"/>
        <v>0</v>
      </c>
      <c r="Q261" s="79">
        <f t="shared" si="118"/>
        <v>20497.585061881749</v>
      </c>
      <c r="R261" s="79">
        <f t="shared" si="118"/>
        <v>10728.730923350027</v>
      </c>
      <c r="S261" s="79">
        <f t="shared" si="118"/>
        <v>21135.12827424864</v>
      </c>
      <c r="T261" s="79">
        <f t="shared" si="118"/>
        <v>675.96241187302883</v>
      </c>
      <c r="U261" s="79">
        <f t="shared" si="118"/>
        <v>307.92344095138009</v>
      </c>
      <c r="V261" s="79">
        <f t="shared" si="118"/>
        <v>0</v>
      </c>
      <c r="W261" s="79">
        <f t="shared" si="118"/>
        <v>0</v>
      </c>
      <c r="X261" s="63">
        <f t="shared" si="118"/>
        <v>0</v>
      </c>
      <c r="Y261" s="63">
        <f t="shared" si="118"/>
        <v>0</v>
      </c>
      <c r="Z261" s="63">
        <f t="shared" si="118"/>
        <v>0</v>
      </c>
      <c r="AA261" s="63">
        <f t="shared" si="119"/>
        <v>2551846.5672994298</v>
      </c>
      <c r="AB261" s="58" t="str">
        <f t="shared" si="120"/>
        <v>ok</v>
      </c>
    </row>
    <row r="262" spans="1:28">
      <c r="A262" s="68" t="s">
        <v>625</v>
      </c>
      <c r="C262" s="60" t="s">
        <v>99</v>
      </c>
      <c r="D262" s="60" t="s">
        <v>491</v>
      </c>
      <c r="E262" s="60" t="s">
        <v>698</v>
      </c>
      <c r="F262" s="79">
        <f>VLOOKUP(C262,'Functional Assignment'!$C$2:$AP$780,'Functional Assignment'!$U$2,)</f>
        <v>3857080.1674658395</v>
      </c>
      <c r="G262" s="79">
        <f t="shared" si="117"/>
        <v>3325239.8638034351</v>
      </c>
      <c r="H262" s="79">
        <f t="shared" si="117"/>
        <v>413128.50510183797</v>
      </c>
      <c r="I262" s="79">
        <f t="shared" si="117"/>
        <v>0</v>
      </c>
      <c r="J262" s="79">
        <f t="shared" si="117"/>
        <v>657.54255072910087</v>
      </c>
      <c r="K262" s="79">
        <f t="shared" si="117"/>
        <v>25791.80213450142</v>
      </c>
      <c r="L262" s="79">
        <f t="shared" si="117"/>
        <v>0</v>
      </c>
      <c r="M262" s="79">
        <f t="shared" si="117"/>
        <v>0</v>
      </c>
      <c r="N262" s="79">
        <f t="shared" si="117"/>
        <v>963.48248752666871</v>
      </c>
      <c r="O262" s="79">
        <f t="shared" si="117"/>
        <v>2520.5797777948869</v>
      </c>
      <c r="P262" s="79">
        <f t="shared" si="117"/>
        <v>0</v>
      </c>
      <c r="Q262" s="79">
        <f t="shared" si="118"/>
        <v>9.1325354267930674</v>
      </c>
      <c r="R262" s="79">
        <f t="shared" si="118"/>
        <v>9.1325354267930674</v>
      </c>
      <c r="S262" s="79">
        <f t="shared" si="118"/>
        <v>87674.369549530515</v>
      </c>
      <c r="T262" s="79">
        <f t="shared" si="118"/>
        <v>167.42981615787289</v>
      </c>
      <c r="U262" s="79">
        <f t="shared" si="118"/>
        <v>918.32717347196967</v>
      </c>
      <c r="V262" s="79">
        <f t="shared" si="118"/>
        <v>0</v>
      </c>
      <c r="W262" s="79">
        <f t="shared" si="118"/>
        <v>0</v>
      </c>
      <c r="X262" s="63">
        <f t="shared" si="118"/>
        <v>0</v>
      </c>
      <c r="Y262" s="63">
        <f t="shared" si="118"/>
        <v>0</v>
      </c>
      <c r="Z262" s="63">
        <f t="shared" si="118"/>
        <v>0</v>
      </c>
      <c r="AA262" s="63">
        <f t="shared" si="119"/>
        <v>3857080.1674658395</v>
      </c>
      <c r="AB262" s="58" t="str">
        <f t="shared" si="120"/>
        <v>ok</v>
      </c>
    </row>
    <row r="263" spans="1:28">
      <c r="A263" s="68" t="s">
        <v>626</v>
      </c>
      <c r="C263" s="60" t="s">
        <v>99</v>
      </c>
      <c r="D263" s="60" t="s">
        <v>492</v>
      </c>
      <c r="E263" s="60" t="s">
        <v>678</v>
      </c>
      <c r="F263" s="79">
        <f>VLOOKUP(C263,'Functional Assignment'!$C$2:$AP$780,'Functional Assignment'!$V$2,)</f>
        <v>833939.35306513414</v>
      </c>
      <c r="G263" s="79">
        <f t="shared" si="117"/>
        <v>699848.59222557826</v>
      </c>
      <c r="H263" s="79">
        <f t="shared" si="117"/>
        <v>128069.13583245403</v>
      </c>
      <c r="I263" s="79">
        <f t="shared" si="117"/>
        <v>0</v>
      </c>
      <c r="J263" s="79">
        <f t="shared" si="117"/>
        <v>0</v>
      </c>
      <c r="K263" s="79">
        <f t="shared" si="117"/>
        <v>0</v>
      </c>
      <c r="L263" s="79">
        <f t="shared" si="117"/>
        <v>0</v>
      </c>
      <c r="M263" s="79">
        <f t="shared" si="117"/>
        <v>0</v>
      </c>
      <c r="N263" s="79">
        <f t="shared" si="117"/>
        <v>0</v>
      </c>
      <c r="O263" s="79">
        <f t="shared" si="117"/>
        <v>0</v>
      </c>
      <c r="P263" s="79">
        <f t="shared" si="117"/>
        <v>0</v>
      </c>
      <c r="Q263" s="79">
        <f t="shared" si="118"/>
        <v>0</v>
      </c>
      <c r="R263" s="79">
        <f t="shared" si="118"/>
        <v>0</v>
      </c>
      <c r="S263" s="79">
        <f t="shared" si="118"/>
        <v>5753.7743867503295</v>
      </c>
      <c r="T263" s="79">
        <f t="shared" si="118"/>
        <v>184.02231400600655</v>
      </c>
      <c r="U263" s="79">
        <f t="shared" si="118"/>
        <v>83.828306345543751</v>
      </c>
      <c r="V263" s="79">
        <f t="shared" si="118"/>
        <v>0</v>
      </c>
      <c r="W263" s="79">
        <f t="shared" si="118"/>
        <v>0</v>
      </c>
      <c r="X263" s="63">
        <f t="shared" si="118"/>
        <v>0</v>
      </c>
      <c r="Y263" s="63">
        <f t="shared" si="118"/>
        <v>0</v>
      </c>
      <c r="Z263" s="63">
        <f t="shared" si="118"/>
        <v>0</v>
      </c>
      <c r="AA263" s="63">
        <f t="shared" si="119"/>
        <v>833939.35306513414</v>
      </c>
      <c r="AB263" s="58" t="str">
        <f t="shared" si="120"/>
        <v>ok</v>
      </c>
    </row>
    <row r="264" spans="1:28">
      <c r="A264" s="68" t="s">
        <v>627</v>
      </c>
      <c r="C264" s="60" t="s">
        <v>99</v>
      </c>
      <c r="D264" s="60" t="s">
        <v>493</v>
      </c>
      <c r="E264" s="60" t="s">
        <v>697</v>
      </c>
      <c r="F264" s="79">
        <f>VLOOKUP(C264,'Functional Assignment'!$C$2:$AP$780,'Functional Assignment'!$W$2,)</f>
        <v>1230591.3174189094</v>
      </c>
      <c r="G264" s="79">
        <f t="shared" si="117"/>
        <v>1069211.8933562357</v>
      </c>
      <c r="H264" s="79">
        <f t="shared" si="117"/>
        <v>132839.11213374019</v>
      </c>
      <c r="I264" s="79">
        <f t="shared" si="117"/>
        <v>0</v>
      </c>
      <c r="J264" s="79">
        <f t="shared" si="117"/>
        <v>0</v>
      </c>
      <c r="K264" s="79">
        <f t="shared" si="117"/>
        <v>0</v>
      </c>
      <c r="L264" s="79">
        <f t="shared" si="117"/>
        <v>0</v>
      </c>
      <c r="M264" s="79">
        <f t="shared" si="117"/>
        <v>0</v>
      </c>
      <c r="N264" s="79">
        <f t="shared" si="117"/>
        <v>0</v>
      </c>
      <c r="O264" s="79">
        <f t="shared" si="117"/>
        <v>0</v>
      </c>
      <c r="P264" s="79">
        <f t="shared" si="117"/>
        <v>0</v>
      </c>
      <c r="Q264" s="79">
        <f t="shared" si="118"/>
        <v>0</v>
      </c>
      <c r="R264" s="79">
        <f t="shared" si="118"/>
        <v>0</v>
      </c>
      <c r="S264" s="79">
        <f t="shared" si="118"/>
        <v>28191.192967849373</v>
      </c>
      <c r="T264" s="79">
        <f t="shared" si="118"/>
        <v>53.83610147560411</v>
      </c>
      <c r="U264" s="79">
        <f t="shared" si="118"/>
        <v>295.28285960861649</v>
      </c>
      <c r="V264" s="79">
        <f t="shared" si="118"/>
        <v>0</v>
      </c>
      <c r="W264" s="79">
        <f t="shared" si="118"/>
        <v>0</v>
      </c>
      <c r="X264" s="63">
        <f t="shared" si="118"/>
        <v>0</v>
      </c>
      <c r="Y264" s="63">
        <f t="shared" si="118"/>
        <v>0</v>
      </c>
      <c r="Z264" s="63">
        <f t="shared" si="118"/>
        <v>0</v>
      </c>
      <c r="AA264" s="63">
        <f t="shared" si="119"/>
        <v>1230591.3174189094</v>
      </c>
      <c r="AB264" s="58" t="str">
        <f t="shared" si="120"/>
        <v>ok</v>
      </c>
    </row>
    <row r="265" spans="1:28">
      <c r="A265" s="60" t="s">
        <v>378</v>
      </c>
      <c r="D265" s="60" t="s">
        <v>494</v>
      </c>
      <c r="F265" s="76">
        <f>SUM(F260:F264)</f>
        <v>8473457.4052493125</v>
      </c>
      <c r="G265" s="76">
        <f t="shared" ref="G265:W265" si="121">SUM(G260:G264)</f>
        <v>6318672.0091936747</v>
      </c>
      <c r="H265" s="76">
        <f t="shared" si="121"/>
        <v>1026468.7271708942</v>
      </c>
      <c r="I265" s="76">
        <f t="shared" si="121"/>
        <v>0</v>
      </c>
      <c r="J265" s="76">
        <f t="shared" si="121"/>
        <v>31971.432059263967</v>
      </c>
      <c r="K265" s="76">
        <f t="shared" si="121"/>
        <v>389239.84825742955</v>
      </c>
      <c r="L265" s="76">
        <f t="shared" si="121"/>
        <v>0</v>
      </c>
      <c r="M265" s="76">
        <f t="shared" si="121"/>
        <v>0</v>
      </c>
      <c r="N265" s="76">
        <f t="shared" si="121"/>
        <v>331590.29877824208</v>
      </c>
      <c r="O265" s="76">
        <f>SUM(O260:O264)</f>
        <v>198829.43113145459</v>
      </c>
      <c r="P265" s="76">
        <f t="shared" si="121"/>
        <v>0</v>
      </c>
      <c r="Q265" s="76">
        <f t="shared" si="121"/>
        <v>20506.717597308543</v>
      </c>
      <c r="R265" s="76">
        <f t="shared" si="121"/>
        <v>10737.863458776821</v>
      </c>
      <c r="S265" s="76">
        <f t="shared" si="121"/>
        <v>142754.46517837886</v>
      </c>
      <c r="T265" s="76">
        <f t="shared" si="121"/>
        <v>1081.2506435125124</v>
      </c>
      <c r="U265" s="76">
        <f t="shared" si="121"/>
        <v>1605.3617803775101</v>
      </c>
      <c r="V265" s="76">
        <f t="shared" si="121"/>
        <v>0</v>
      </c>
      <c r="W265" s="76">
        <f t="shared" si="121"/>
        <v>0</v>
      </c>
      <c r="X265" s="62">
        <f>SUM(X260:X264)</f>
        <v>0</v>
      </c>
      <c r="Y265" s="62">
        <f>SUM(Y260:Y264)</f>
        <v>0</v>
      </c>
      <c r="Z265" s="62">
        <f>SUM(Z260:Z264)</f>
        <v>0</v>
      </c>
      <c r="AA265" s="64">
        <f t="shared" si="119"/>
        <v>8473457.4052493125</v>
      </c>
      <c r="AB265" s="58" t="str">
        <f t="shared" si="120"/>
        <v>ok</v>
      </c>
    </row>
    <row r="266" spans="1:28">
      <c r="F266" s="79"/>
    </row>
    <row r="267" spans="1:28" ht="15">
      <c r="A267" s="65" t="s">
        <v>634</v>
      </c>
      <c r="F267" s="79"/>
    </row>
    <row r="268" spans="1:28">
      <c r="A268" s="68" t="s">
        <v>1090</v>
      </c>
      <c r="C268" s="60" t="s">
        <v>99</v>
      </c>
      <c r="D268" s="60" t="s">
        <v>495</v>
      </c>
      <c r="E268" s="60" t="s">
        <v>1336</v>
      </c>
      <c r="F268" s="76">
        <f>VLOOKUP(C268,'Functional Assignment'!$C$2:$AP$780,'Functional Assignment'!$X$2,)</f>
        <v>240840.52471813068</v>
      </c>
      <c r="G268" s="76">
        <f t="shared" ref="G268:P269" si="122">IF(VLOOKUP($E268,$D$6:$AN$1131,3,)=0,0,(VLOOKUP($E268,$D$6:$AN$1131,G$2,)/VLOOKUP($E268,$D$6:$AN$1131,3,))*$F268)</f>
        <v>167095.33220476023</v>
      </c>
      <c r="H268" s="76">
        <f t="shared" si="122"/>
        <v>30577.692139163155</v>
      </c>
      <c r="I268" s="76">
        <f t="shared" si="122"/>
        <v>0</v>
      </c>
      <c r="J268" s="76">
        <f t="shared" si="122"/>
        <v>0</v>
      </c>
      <c r="K268" s="76">
        <f t="shared" si="122"/>
        <v>26929.990027685144</v>
      </c>
      <c r="L268" s="76">
        <f t="shared" si="122"/>
        <v>0</v>
      </c>
      <c r="M268" s="76">
        <f t="shared" si="122"/>
        <v>0</v>
      </c>
      <c r="N268" s="76">
        <f t="shared" si="122"/>
        <v>0</v>
      </c>
      <c r="O268" s="76">
        <f t="shared" si="122"/>
        <v>14799.791613996906</v>
      </c>
      <c r="P268" s="76">
        <f t="shared" si="122"/>
        <v>0</v>
      </c>
      <c r="Q268" s="76">
        <f t="shared" ref="Q268:Z269" si="123">IF(VLOOKUP($E268,$D$6:$AN$1131,3,)=0,0,(VLOOKUP($E268,$D$6:$AN$1131,Q$2,)/VLOOKUP($E268,$D$6:$AN$1131,3,))*$F268)</f>
        <v>0</v>
      </c>
      <c r="R268" s="76">
        <f t="shared" si="123"/>
        <v>0</v>
      </c>
      <c r="S268" s="76">
        <f t="shared" si="123"/>
        <v>1373.7669165381342</v>
      </c>
      <c r="T268" s="76">
        <f t="shared" si="123"/>
        <v>43.937031571553291</v>
      </c>
      <c r="U268" s="76">
        <f t="shared" si="123"/>
        <v>20.014784415621342</v>
      </c>
      <c r="V268" s="76">
        <f t="shared" si="123"/>
        <v>0</v>
      </c>
      <c r="W268" s="76">
        <f t="shared" si="123"/>
        <v>0</v>
      </c>
      <c r="X268" s="62">
        <f t="shared" si="123"/>
        <v>0</v>
      </c>
      <c r="Y268" s="62">
        <f t="shared" si="123"/>
        <v>0</v>
      </c>
      <c r="Z268" s="62">
        <f t="shared" si="123"/>
        <v>0</v>
      </c>
      <c r="AA268" s="64">
        <f>SUM(G268:Z268)</f>
        <v>240840.52471813073</v>
      </c>
      <c r="AB268" s="58" t="str">
        <f>IF(ABS(F268-AA268)&lt;0.01,"ok","err")</f>
        <v>ok</v>
      </c>
    </row>
    <row r="269" spans="1:28">
      <c r="A269" s="68" t="s">
        <v>1093</v>
      </c>
      <c r="C269" s="60" t="s">
        <v>99</v>
      </c>
      <c r="D269" s="60" t="s">
        <v>496</v>
      </c>
      <c r="E269" s="60" t="s">
        <v>1334</v>
      </c>
      <c r="F269" s="79">
        <f>VLOOKUP(C269,'Functional Assignment'!$C$2:$AP$780,'Functional Assignment'!$Y$2,)</f>
        <v>168432.38792143884</v>
      </c>
      <c r="G269" s="79">
        <f t="shared" si="122"/>
        <v>145269.53167959335</v>
      </c>
      <c r="H269" s="79">
        <f t="shared" si="122"/>
        <v>18048.317389948796</v>
      </c>
      <c r="I269" s="79">
        <f t="shared" si="122"/>
        <v>0</v>
      </c>
      <c r="J269" s="79">
        <f t="shared" si="122"/>
        <v>0</v>
      </c>
      <c r="K269" s="79">
        <f t="shared" si="122"/>
        <v>1126.764735992964</v>
      </c>
      <c r="L269" s="79">
        <f t="shared" si="122"/>
        <v>0</v>
      </c>
      <c r="M269" s="79">
        <f t="shared" si="122"/>
        <v>0</v>
      </c>
      <c r="N269" s="79">
        <f t="shared" si="122"/>
        <v>0</v>
      </c>
      <c r="O269" s="79">
        <f t="shared" si="122"/>
        <v>110.11640028352603</v>
      </c>
      <c r="P269" s="79">
        <f t="shared" si="122"/>
        <v>0</v>
      </c>
      <c r="Q269" s="79">
        <f t="shared" si="123"/>
        <v>0</v>
      </c>
      <c r="R269" s="79">
        <f t="shared" si="123"/>
        <v>0</v>
      </c>
      <c r="S269" s="79">
        <f t="shared" si="123"/>
        <v>3830.2243225834209</v>
      </c>
      <c r="T269" s="79">
        <f t="shared" si="123"/>
        <v>7.3144951879153757</v>
      </c>
      <c r="U269" s="79">
        <f t="shared" si="123"/>
        <v>40.118897848869189</v>
      </c>
      <c r="V269" s="79">
        <f t="shared" si="123"/>
        <v>0</v>
      </c>
      <c r="W269" s="79">
        <f t="shared" si="123"/>
        <v>0</v>
      </c>
      <c r="X269" s="63">
        <f t="shared" si="123"/>
        <v>0</v>
      </c>
      <c r="Y269" s="63">
        <f t="shared" si="123"/>
        <v>0</v>
      </c>
      <c r="Z269" s="63">
        <f t="shared" si="123"/>
        <v>0</v>
      </c>
      <c r="AA269" s="63">
        <f>SUM(G269:Z269)</f>
        <v>168432.38792143884</v>
      </c>
      <c r="AB269" s="58" t="str">
        <f>IF(ABS(F269-AA269)&lt;0.01,"ok","err")</f>
        <v>ok</v>
      </c>
    </row>
    <row r="270" spans="1:28">
      <c r="A270" s="60" t="s">
        <v>712</v>
      </c>
      <c r="D270" s="60" t="s">
        <v>497</v>
      </c>
      <c r="F270" s="76">
        <f>F268+F269</f>
        <v>409272.91263956949</v>
      </c>
      <c r="G270" s="76">
        <f t="shared" ref="G270:W270" si="124">G268+G269</f>
        <v>312364.86388435354</v>
      </c>
      <c r="H270" s="76">
        <f t="shared" si="124"/>
        <v>48626.009529111951</v>
      </c>
      <c r="I270" s="76">
        <f t="shared" si="124"/>
        <v>0</v>
      </c>
      <c r="J270" s="76">
        <f t="shared" si="124"/>
        <v>0</v>
      </c>
      <c r="K270" s="76">
        <f t="shared" si="124"/>
        <v>28056.754763678109</v>
      </c>
      <c r="L270" s="76">
        <f t="shared" si="124"/>
        <v>0</v>
      </c>
      <c r="M270" s="76">
        <f t="shared" si="124"/>
        <v>0</v>
      </c>
      <c r="N270" s="76">
        <f t="shared" si="124"/>
        <v>0</v>
      </c>
      <c r="O270" s="76">
        <f>O268+O269</f>
        <v>14909.908014280432</v>
      </c>
      <c r="P270" s="76">
        <f t="shared" si="124"/>
        <v>0</v>
      </c>
      <c r="Q270" s="76">
        <f t="shared" si="124"/>
        <v>0</v>
      </c>
      <c r="R270" s="76">
        <f t="shared" si="124"/>
        <v>0</v>
      </c>
      <c r="S270" s="76">
        <f t="shared" si="124"/>
        <v>5203.9912391215548</v>
      </c>
      <c r="T270" s="76">
        <f t="shared" si="124"/>
        <v>51.251526759468668</v>
      </c>
      <c r="U270" s="76">
        <f t="shared" si="124"/>
        <v>60.133682264490531</v>
      </c>
      <c r="V270" s="76">
        <f t="shared" si="124"/>
        <v>0</v>
      </c>
      <c r="W270" s="76">
        <f t="shared" si="124"/>
        <v>0</v>
      </c>
      <c r="X270" s="62">
        <f>X268+X269</f>
        <v>0</v>
      </c>
      <c r="Y270" s="62">
        <f>Y268+Y269</f>
        <v>0</v>
      </c>
      <c r="Z270" s="62">
        <f>Z268+Z269</f>
        <v>0</v>
      </c>
      <c r="AA270" s="64">
        <f>SUM(G270:Z270)</f>
        <v>409272.91263956955</v>
      </c>
      <c r="AB270" s="58" t="str">
        <f>IF(ABS(F270-AA270)&lt;0.01,"ok","err")</f>
        <v>ok</v>
      </c>
    </row>
    <row r="271" spans="1:28">
      <c r="F271" s="79"/>
    </row>
    <row r="272" spans="1:28" ht="15">
      <c r="A272" s="65" t="s">
        <v>354</v>
      </c>
      <c r="F272" s="79"/>
    </row>
    <row r="273" spans="1:28">
      <c r="A273" s="68" t="s">
        <v>1093</v>
      </c>
      <c r="C273" s="60" t="s">
        <v>99</v>
      </c>
      <c r="D273" s="60" t="s">
        <v>498</v>
      </c>
      <c r="E273" s="60" t="s">
        <v>1095</v>
      </c>
      <c r="F273" s="76">
        <f>VLOOKUP(C273,'Functional Assignment'!$C$2:$AP$780,'Functional Assignment'!$Z$2,)</f>
        <v>62053.82936306145</v>
      </c>
      <c r="G273" s="76">
        <f t="shared" ref="G273:Z273" si="125">IF(VLOOKUP($E273,$D$6:$AN$1131,3,)=0,0,(VLOOKUP($E273,$D$6:$AN$1131,G$2,)/VLOOKUP($E273,$D$6:$AN$1131,3,))*$F273)</f>
        <v>47695.590971300131</v>
      </c>
      <c r="H273" s="76">
        <f t="shared" si="125"/>
        <v>12003.466494760622</v>
      </c>
      <c r="I273" s="76">
        <f t="shared" si="125"/>
        <v>0</v>
      </c>
      <c r="J273" s="76">
        <f t="shared" si="125"/>
        <v>0</v>
      </c>
      <c r="K273" s="76">
        <f t="shared" si="125"/>
        <v>2094.0816402415271</v>
      </c>
      <c r="L273" s="76">
        <f t="shared" si="125"/>
        <v>0</v>
      </c>
      <c r="M273" s="76">
        <f t="shared" si="125"/>
        <v>0</v>
      </c>
      <c r="N273" s="76">
        <f t="shared" si="125"/>
        <v>0</v>
      </c>
      <c r="O273" s="76">
        <f t="shared" si="125"/>
        <v>260.69025675916481</v>
      </c>
      <c r="P273" s="76">
        <f t="shared" si="125"/>
        <v>0</v>
      </c>
      <c r="Q273" s="76">
        <f t="shared" si="125"/>
        <v>0</v>
      </c>
      <c r="R273" s="76">
        <f t="shared" si="125"/>
        <v>0</v>
      </c>
      <c r="S273" s="76">
        <f t="shared" si="125"/>
        <v>0</v>
      </c>
      <c r="T273" s="76">
        <f t="shared" si="125"/>
        <v>0</v>
      </c>
      <c r="U273" s="76">
        <f t="shared" si="125"/>
        <v>0</v>
      </c>
      <c r="V273" s="76">
        <f t="shared" si="125"/>
        <v>0</v>
      </c>
      <c r="W273" s="76">
        <f t="shared" si="125"/>
        <v>0</v>
      </c>
      <c r="X273" s="62">
        <f t="shared" si="125"/>
        <v>0</v>
      </c>
      <c r="Y273" s="62">
        <f t="shared" si="125"/>
        <v>0</v>
      </c>
      <c r="Z273" s="62">
        <f t="shared" si="125"/>
        <v>0</v>
      </c>
      <c r="AA273" s="64">
        <f>SUM(G273:Z273)</f>
        <v>62053.82936306145</v>
      </c>
      <c r="AB273" s="58" t="str">
        <f>IF(ABS(F273-AA273)&lt;0.01,"ok","err")</f>
        <v>ok</v>
      </c>
    </row>
    <row r="274" spans="1:28">
      <c r="F274" s="79"/>
    </row>
    <row r="275" spans="1:28" ht="15">
      <c r="A275" s="65" t="s">
        <v>353</v>
      </c>
      <c r="F275" s="79"/>
    </row>
    <row r="276" spans="1:28">
      <c r="A276" s="68" t="s">
        <v>1093</v>
      </c>
      <c r="C276" s="60" t="s">
        <v>99</v>
      </c>
      <c r="D276" s="60" t="s">
        <v>499</v>
      </c>
      <c r="E276" s="60" t="s">
        <v>1096</v>
      </c>
      <c r="F276" s="76">
        <f>VLOOKUP(C276,'Functional Assignment'!$C$2:$AP$780,'Functional Assignment'!$AA$2,)</f>
        <v>5681157.6240409669</v>
      </c>
      <c r="G276" s="76">
        <f t="shared" ref="G276:Z276" si="126">IF(VLOOKUP($E276,$D$6:$AN$1131,3,)=0,0,(VLOOKUP($E276,$D$6:$AN$1131,G$2,)/VLOOKUP($E276,$D$6:$AN$1131,3,))*$F276)</f>
        <v>3976355.6296307775</v>
      </c>
      <c r="H276" s="76">
        <f t="shared" si="126"/>
        <v>1169071.3794169298</v>
      </c>
      <c r="I276" s="76">
        <f t="shared" si="126"/>
        <v>0</v>
      </c>
      <c r="J276" s="76">
        <f t="shared" si="126"/>
        <v>45510.044581859489</v>
      </c>
      <c r="K276" s="76">
        <f t="shared" si="126"/>
        <v>314491.34637769585</v>
      </c>
      <c r="L276" s="76">
        <f t="shared" si="126"/>
        <v>0</v>
      </c>
      <c r="M276" s="76">
        <f t="shared" si="126"/>
        <v>0</v>
      </c>
      <c r="N276" s="76">
        <f t="shared" si="126"/>
        <v>71264.409231309779</v>
      </c>
      <c r="O276" s="76">
        <f t="shared" si="126"/>
        <v>33131.434370195086</v>
      </c>
      <c r="P276" s="76">
        <f t="shared" si="126"/>
        <v>58297.163168341489</v>
      </c>
      <c r="Q276" s="76">
        <f t="shared" si="126"/>
        <v>675.49203062852871</v>
      </c>
      <c r="R276" s="76">
        <f t="shared" si="126"/>
        <v>675.49203062852871</v>
      </c>
      <c r="S276" s="76">
        <f t="shared" si="126"/>
        <v>0</v>
      </c>
      <c r="T276" s="76">
        <f t="shared" si="126"/>
        <v>1801.9284845133302</v>
      </c>
      <c r="U276" s="76">
        <f t="shared" si="126"/>
        <v>9883.3047180882659</v>
      </c>
      <c r="V276" s="76">
        <f t="shared" si="126"/>
        <v>0</v>
      </c>
      <c r="W276" s="76">
        <f t="shared" si="126"/>
        <v>0</v>
      </c>
      <c r="X276" s="62">
        <f t="shared" si="126"/>
        <v>0</v>
      </c>
      <c r="Y276" s="62">
        <f t="shared" si="126"/>
        <v>0</v>
      </c>
      <c r="Z276" s="62">
        <f t="shared" si="126"/>
        <v>0</v>
      </c>
      <c r="AA276" s="64">
        <f>SUM(G276:Z276)</f>
        <v>5681157.6240409696</v>
      </c>
      <c r="AB276" s="58" t="str">
        <f>IF(ABS(F276-AA276)&lt;0.01,"ok","err")</f>
        <v>ok</v>
      </c>
    </row>
    <row r="277" spans="1:28">
      <c r="F277" s="79"/>
    </row>
    <row r="278" spans="1:28" ht="15">
      <c r="A278" s="65" t="s">
        <v>371</v>
      </c>
      <c r="F278" s="79"/>
    </row>
    <row r="279" spans="1:28">
      <c r="A279" s="68" t="s">
        <v>1093</v>
      </c>
      <c r="C279" s="60" t="s">
        <v>99</v>
      </c>
      <c r="D279" s="60" t="s">
        <v>500</v>
      </c>
      <c r="E279" s="60" t="s">
        <v>1097</v>
      </c>
      <c r="F279" s="76">
        <f>VLOOKUP(C279,'Functional Assignment'!$C$2:$AP$780,'Functional Assignment'!$AB$2,)</f>
        <v>206476.61113584062</v>
      </c>
      <c r="G279" s="76">
        <f t="shared" ref="G279:Z279" si="127">IF(VLOOKUP($E279,$D$6:$AN$1131,3,)=0,0,(VLOOKUP($E279,$D$6:$AN$1131,G$2,)/VLOOKUP($E279,$D$6:$AN$1131,3,))*$F279)</f>
        <v>0</v>
      </c>
      <c r="H279" s="76">
        <f t="shared" si="127"/>
        <v>0</v>
      </c>
      <c r="I279" s="76">
        <f t="shared" si="127"/>
        <v>0</v>
      </c>
      <c r="J279" s="76">
        <f t="shared" si="127"/>
        <v>0</v>
      </c>
      <c r="K279" s="76">
        <f t="shared" si="127"/>
        <v>0</v>
      </c>
      <c r="L279" s="76">
        <f t="shared" si="127"/>
        <v>0</v>
      </c>
      <c r="M279" s="76">
        <f t="shared" si="127"/>
        <v>0</v>
      </c>
      <c r="N279" s="76">
        <f t="shared" si="127"/>
        <v>0</v>
      </c>
      <c r="O279" s="76">
        <f t="shared" si="127"/>
        <v>0</v>
      </c>
      <c r="P279" s="76">
        <f t="shared" si="127"/>
        <v>0</v>
      </c>
      <c r="Q279" s="76">
        <f t="shared" si="127"/>
        <v>0</v>
      </c>
      <c r="R279" s="76">
        <f t="shared" si="127"/>
        <v>0</v>
      </c>
      <c r="S279" s="76">
        <f t="shared" si="127"/>
        <v>206476.61113584062</v>
      </c>
      <c r="T279" s="76">
        <f t="shared" si="127"/>
        <v>0</v>
      </c>
      <c r="U279" s="76">
        <f t="shared" si="127"/>
        <v>0</v>
      </c>
      <c r="V279" s="76">
        <f t="shared" si="127"/>
        <v>0</v>
      </c>
      <c r="W279" s="76">
        <f t="shared" si="127"/>
        <v>0</v>
      </c>
      <c r="X279" s="62">
        <f t="shared" si="127"/>
        <v>0</v>
      </c>
      <c r="Y279" s="62">
        <f t="shared" si="127"/>
        <v>0</v>
      </c>
      <c r="Z279" s="62">
        <f t="shared" si="127"/>
        <v>0</v>
      </c>
      <c r="AA279" s="64">
        <f>SUM(G279:Z279)</f>
        <v>206476.61113584062</v>
      </c>
      <c r="AB279" s="58" t="str">
        <f>IF(ABS(F279-AA279)&lt;0.01,"ok","err")</f>
        <v>ok</v>
      </c>
    </row>
    <row r="280" spans="1:28">
      <c r="F280" s="79"/>
    </row>
    <row r="281" spans="1:28" ht="15">
      <c r="A281" s="65" t="s">
        <v>1025</v>
      </c>
      <c r="F281" s="79"/>
    </row>
    <row r="282" spans="1:28">
      <c r="A282" s="68" t="s">
        <v>1093</v>
      </c>
      <c r="C282" s="60" t="s">
        <v>99</v>
      </c>
      <c r="D282" s="60" t="s">
        <v>501</v>
      </c>
      <c r="E282" s="60" t="s">
        <v>1098</v>
      </c>
      <c r="F282" s="76">
        <f>VLOOKUP(C282,'Functional Assignment'!$C$2:$AP$780,'Functional Assignment'!$AC$2,)</f>
        <v>5837418.0327426316</v>
      </c>
      <c r="G282" s="76">
        <f t="shared" ref="G282:Z282" si="128">IF(VLOOKUP($E282,$D$6:$AN$1131,3,)=0,0,(VLOOKUP($E282,$D$6:$AN$1131,G$2,)/VLOOKUP($E282,$D$6:$AN$1131,3,))*$F282)</f>
        <v>4349601.9836015003</v>
      </c>
      <c r="H282" s="76">
        <f t="shared" si="128"/>
        <v>1080790.9437353599</v>
      </c>
      <c r="I282" s="76">
        <f t="shared" si="128"/>
        <v>0</v>
      </c>
      <c r="J282" s="76">
        <f t="shared" si="128"/>
        <v>4300.5143991061477</v>
      </c>
      <c r="K282" s="76">
        <f t="shared" si="128"/>
        <v>168685.68632605017</v>
      </c>
      <c r="L282" s="76">
        <f t="shared" si="128"/>
        <v>0</v>
      </c>
      <c r="M282" s="76">
        <f t="shared" si="128"/>
        <v>0</v>
      </c>
      <c r="N282" s="76">
        <f t="shared" si="128"/>
        <v>31507.240910117955</v>
      </c>
      <c r="O282" s="76">
        <f t="shared" si="128"/>
        <v>82426.525982867824</v>
      </c>
      <c r="P282" s="76">
        <f t="shared" si="128"/>
        <v>3882.4088325263829</v>
      </c>
      <c r="Q282" s="76">
        <f t="shared" si="128"/>
        <v>59.729366654252054</v>
      </c>
      <c r="R282" s="76">
        <f t="shared" si="128"/>
        <v>59.729366654252054</v>
      </c>
      <c r="S282" s="76">
        <f t="shared" si="128"/>
        <v>114683.03861468188</v>
      </c>
      <c r="T282" s="76">
        <f t="shared" si="128"/>
        <v>219.00767773225752</v>
      </c>
      <c r="U282" s="76">
        <f t="shared" si="128"/>
        <v>1201.2239293799578</v>
      </c>
      <c r="V282" s="76">
        <f t="shared" si="128"/>
        <v>0</v>
      </c>
      <c r="W282" s="76">
        <f t="shared" si="128"/>
        <v>0</v>
      </c>
      <c r="X282" s="62">
        <f t="shared" si="128"/>
        <v>0</v>
      </c>
      <c r="Y282" s="62">
        <f t="shared" si="128"/>
        <v>0</v>
      </c>
      <c r="Z282" s="62">
        <f t="shared" si="128"/>
        <v>0</v>
      </c>
      <c r="AA282" s="64">
        <f>SUM(G282:Z282)</f>
        <v>5837418.0327426316</v>
      </c>
      <c r="AB282" s="58" t="str">
        <f>IF(ABS(F282-AA282)&lt;0.01,"ok","err")</f>
        <v>ok</v>
      </c>
    </row>
    <row r="283" spans="1:28">
      <c r="F283" s="79"/>
    </row>
    <row r="284" spans="1:28" ht="15">
      <c r="A284" s="65" t="s">
        <v>351</v>
      </c>
      <c r="F284" s="79"/>
    </row>
    <row r="285" spans="1:28">
      <c r="A285" s="68" t="s">
        <v>1093</v>
      </c>
      <c r="C285" s="60" t="s">
        <v>99</v>
      </c>
      <c r="D285" s="60" t="s">
        <v>502</v>
      </c>
      <c r="E285" s="60" t="s">
        <v>1098</v>
      </c>
      <c r="F285" s="76">
        <f>VLOOKUP(C285,'Functional Assignment'!$C$2:$AP$780,'Functional Assignment'!$AD$2,)</f>
        <v>1602599.2570132071</v>
      </c>
      <c r="G285" s="76">
        <f t="shared" ref="G285:Z285" si="129">IF(VLOOKUP($E285,$D$6:$AN$1131,3,)=0,0,(VLOOKUP($E285,$D$6:$AN$1131,G$2,)/VLOOKUP($E285,$D$6:$AN$1131,3,))*$F285)</f>
        <v>1194135.6380721396</v>
      </c>
      <c r="H285" s="76">
        <f t="shared" si="129"/>
        <v>296719.32928248739</v>
      </c>
      <c r="I285" s="76">
        <f t="shared" si="129"/>
        <v>0</v>
      </c>
      <c r="J285" s="76">
        <f t="shared" si="129"/>
        <v>1180.6591787883312</v>
      </c>
      <c r="K285" s="76">
        <f t="shared" si="129"/>
        <v>46310.809686500623</v>
      </c>
      <c r="L285" s="76">
        <f t="shared" si="129"/>
        <v>0</v>
      </c>
      <c r="M285" s="76">
        <f t="shared" si="129"/>
        <v>0</v>
      </c>
      <c r="N285" s="76">
        <f t="shared" si="129"/>
        <v>8649.9682890395088</v>
      </c>
      <c r="O285" s="76">
        <f t="shared" si="129"/>
        <v>22629.300926776345</v>
      </c>
      <c r="P285" s="76">
        <f t="shared" si="129"/>
        <v>1065.8728697394656</v>
      </c>
      <c r="Q285" s="76">
        <f t="shared" si="129"/>
        <v>16.398044149837933</v>
      </c>
      <c r="R285" s="76">
        <f t="shared" si="129"/>
        <v>16.398044149837933</v>
      </c>
      <c r="S285" s="76">
        <f t="shared" si="129"/>
        <v>31484.973569651036</v>
      </c>
      <c r="T285" s="76">
        <f t="shared" si="129"/>
        <v>60.126161882739083</v>
      </c>
      <c r="U285" s="76">
        <f t="shared" si="129"/>
        <v>329.78288790229612</v>
      </c>
      <c r="V285" s="76">
        <f t="shared" si="129"/>
        <v>0</v>
      </c>
      <c r="W285" s="76">
        <f t="shared" si="129"/>
        <v>0</v>
      </c>
      <c r="X285" s="62">
        <f t="shared" si="129"/>
        <v>0</v>
      </c>
      <c r="Y285" s="62">
        <f t="shared" si="129"/>
        <v>0</v>
      </c>
      <c r="Z285" s="62">
        <f t="shared" si="129"/>
        <v>0</v>
      </c>
      <c r="AA285" s="64">
        <f>SUM(G285:Z285)</f>
        <v>1602599.2570132071</v>
      </c>
      <c r="AB285" s="58" t="str">
        <f>IF(ABS(F285-AA285)&lt;0.01,"ok","err")</f>
        <v>ok</v>
      </c>
    </row>
    <row r="286" spans="1:28">
      <c r="F286" s="79"/>
    </row>
    <row r="287" spans="1:28" ht="15">
      <c r="A287" s="65" t="s">
        <v>350</v>
      </c>
      <c r="F287" s="79"/>
    </row>
    <row r="288" spans="1:28">
      <c r="A288" s="68" t="s">
        <v>1093</v>
      </c>
      <c r="C288" s="60" t="s">
        <v>99</v>
      </c>
      <c r="D288" s="60" t="s">
        <v>503</v>
      </c>
      <c r="E288" s="60" t="s">
        <v>1099</v>
      </c>
      <c r="F288" s="76">
        <f>VLOOKUP(C288,'Functional Assignment'!$C$2:$AP$780,'Functional Assignment'!$AE$2,)</f>
        <v>0</v>
      </c>
      <c r="G288" s="76">
        <f t="shared" ref="G288:Z288" si="130">IF(VLOOKUP($E288,$D$6:$AN$1131,3,)=0,0,(VLOOKUP($E288,$D$6:$AN$1131,G$2,)/VLOOKUP($E288,$D$6:$AN$1131,3,))*$F288)</f>
        <v>0</v>
      </c>
      <c r="H288" s="76">
        <f t="shared" si="130"/>
        <v>0</v>
      </c>
      <c r="I288" s="76">
        <f t="shared" si="130"/>
        <v>0</v>
      </c>
      <c r="J288" s="76">
        <f t="shared" si="130"/>
        <v>0</v>
      </c>
      <c r="K288" s="76">
        <f t="shared" si="130"/>
        <v>0</v>
      </c>
      <c r="L288" s="76">
        <f t="shared" si="130"/>
        <v>0</v>
      </c>
      <c r="M288" s="76">
        <f t="shared" si="130"/>
        <v>0</v>
      </c>
      <c r="N288" s="76">
        <f t="shared" si="130"/>
        <v>0</v>
      </c>
      <c r="O288" s="76">
        <f t="shared" si="130"/>
        <v>0</v>
      </c>
      <c r="P288" s="76">
        <f t="shared" si="130"/>
        <v>0</v>
      </c>
      <c r="Q288" s="76">
        <f t="shared" si="130"/>
        <v>0</v>
      </c>
      <c r="R288" s="76">
        <f t="shared" si="130"/>
        <v>0</v>
      </c>
      <c r="S288" s="76">
        <f t="shared" si="130"/>
        <v>0</v>
      </c>
      <c r="T288" s="76">
        <f t="shared" si="130"/>
        <v>0</v>
      </c>
      <c r="U288" s="76">
        <f t="shared" si="130"/>
        <v>0</v>
      </c>
      <c r="V288" s="76">
        <f t="shared" si="130"/>
        <v>0</v>
      </c>
      <c r="W288" s="76">
        <f t="shared" si="130"/>
        <v>0</v>
      </c>
      <c r="X288" s="62">
        <f t="shared" si="130"/>
        <v>0</v>
      </c>
      <c r="Y288" s="62">
        <f t="shared" si="130"/>
        <v>0</v>
      </c>
      <c r="Z288" s="62">
        <f t="shared" si="130"/>
        <v>0</v>
      </c>
      <c r="AA288" s="64">
        <f>SUM(G288:Z288)</f>
        <v>0</v>
      </c>
      <c r="AB288" s="58" t="str">
        <f>IF(ABS(F288-AA288)&lt;0.01,"ok","err")</f>
        <v>ok</v>
      </c>
    </row>
    <row r="289" spans="1:28">
      <c r="F289" s="79"/>
    </row>
    <row r="290" spans="1:28">
      <c r="A290" s="60" t="s">
        <v>922</v>
      </c>
      <c r="D290" s="60" t="s">
        <v>1108</v>
      </c>
      <c r="F290" s="76">
        <f>F245+F251+F254+F257+F265+F270+F273+F276+F279+F282+F285+F288</f>
        <v>71538724.159999996</v>
      </c>
      <c r="G290" s="76">
        <f t="shared" ref="G290:Z290" si="131">G245+G251+G254+G257+G265+G270+G273+G276+G279+G282+G285+G288</f>
        <v>35479363.969922565</v>
      </c>
      <c r="H290" s="76">
        <f t="shared" si="131"/>
        <v>9891157.0452909488</v>
      </c>
      <c r="I290" s="76">
        <f t="shared" si="131"/>
        <v>0</v>
      </c>
      <c r="J290" s="76">
        <f t="shared" si="131"/>
        <v>712516.82712121762</v>
      </c>
      <c r="K290" s="76">
        <f t="shared" si="131"/>
        <v>8634740.6352346148</v>
      </c>
      <c r="L290" s="76">
        <f t="shared" si="131"/>
        <v>0</v>
      </c>
      <c r="M290" s="76">
        <f t="shared" si="131"/>
        <v>0</v>
      </c>
      <c r="N290" s="76">
        <f t="shared" si="131"/>
        <v>7345517.5051519424</v>
      </c>
      <c r="O290" s="76">
        <f>O245+O251+O254+O257+O265+O270+O273+O276+O279+O282+O285+O288</f>
        <v>3967420.0056696082</v>
      </c>
      <c r="P290" s="76">
        <f t="shared" si="131"/>
        <v>4019271.012214886</v>
      </c>
      <c r="Q290" s="76">
        <f t="shared" si="131"/>
        <v>446231.38283390383</v>
      </c>
      <c r="R290" s="76">
        <f t="shared" si="131"/>
        <v>218399.77104608499</v>
      </c>
      <c r="S290" s="76">
        <f t="shared" si="131"/>
        <v>787772.85854098434</v>
      </c>
      <c r="T290" s="76">
        <f t="shared" si="131"/>
        <v>12540.361306268867</v>
      </c>
      <c r="U290" s="76">
        <f t="shared" si="131"/>
        <v>23792.78566697213</v>
      </c>
      <c r="V290" s="76">
        <f t="shared" si="131"/>
        <v>0</v>
      </c>
      <c r="W290" s="76">
        <f t="shared" si="131"/>
        <v>0</v>
      </c>
      <c r="X290" s="62">
        <f t="shared" si="131"/>
        <v>0</v>
      </c>
      <c r="Y290" s="62">
        <f t="shared" si="131"/>
        <v>0</v>
      </c>
      <c r="Z290" s="62">
        <f t="shared" si="131"/>
        <v>0</v>
      </c>
      <c r="AA290" s="64">
        <f>SUM(G290:Z290)</f>
        <v>71538724.159999996</v>
      </c>
      <c r="AB290" s="58" t="str">
        <f>IF(ABS(F290-AA290)&lt;0.01,"ok","err")</f>
        <v>ok</v>
      </c>
    </row>
    <row r="293" spans="1:28" ht="15">
      <c r="A293" s="65" t="s">
        <v>1071</v>
      </c>
    </row>
    <row r="295" spans="1:28" ht="15">
      <c r="A295" s="65" t="s">
        <v>364</v>
      </c>
    </row>
    <row r="296" spans="1:28">
      <c r="A296" s="68" t="s">
        <v>359</v>
      </c>
      <c r="C296" s="60" t="s">
        <v>1073</v>
      </c>
      <c r="D296" s="60" t="s">
        <v>504</v>
      </c>
      <c r="E296" s="60" t="s">
        <v>869</v>
      </c>
      <c r="F296" s="76">
        <f>VLOOKUP(C296,'Functional Assignment'!$C$2:$AP$780,'Functional Assignment'!$H$2,)</f>
        <v>28434165.889731288</v>
      </c>
      <c r="G296" s="76">
        <f t="shared" ref="G296:P301" si="132">IF(VLOOKUP($E296,$D$6:$AN$1131,3,)=0,0,(VLOOKUP($E296,$D$6:$AN$1131,G$2,)/VLOOKUP($E296,$D$6:$AN$1131,3,))*$F296)</f>
        <v>10286856.597620113</v>
      </c>
      <c r="H296" s="76">
        <f t="shared" si="132"/>
        <v>3342860.1574520608</v>
      </c>
      <c r="I296" s="76">
        <f t="shared" si="132"/>
        <v>0</v>
      </c>
      <c r="J296" s="76">
        <f t="shared" si="132"/>
        <v>398140.32854260452</v>
      </c>
      <c r="K296" s="76">
        <f t="shared" si="132"/>
        <v>4612972.0542228734</v>
      </c>
      <c r="L296" s="76">
        <f t="shared" si="132"/>
        <v>0</v>
      </c>
      <c r="M296" s="76">
        <f t="shared" si="132"/>
        <v>0</v>
      </c>
      <c r="N296" s="76">
        <f t="shared" si="132"/>
        <v>4452798.7712000264</v>
      </c>
      <c r="O296" s="76">
        <f t="shared" si="132"/>
        <v>1958401.3926028353</v>
      </c>
      <c r="P296" s="76">
        <f t="shared" si="132"/>
        <v>2711413.4191976632</v>
      </c>
      <c r="Q296" s="76">
        <f t="shared" ref="Q296:Z301" si="133">IF(VLOOKUP($E296,$D$6:$AN$1131,3,)=0,0,(VLOOKUP($E296,$D$6:$AN$1131,Q$2,)/VLOOKUP($E296,$D$6:$AN$1131,3,))*$F296)</f>
        <v>264647.6171344443</v>
      </c>
      <c r="R296" s="76">
        <f t="shared" si="133"/>
        <v>139812.3959505448</v>
      </c>
      <c r="S296" s="76">
        <f t="shared" si="133"/>
        <v>250449.17126875636</v>
      </c>
      <c r="T296" s="76">
        <f t="shared" si="133"/>
        <v>8163.7016280195403</v>
      </c>
      <c r="U296" s="76">
        <f t="shared" si="133"/>
        <v>7650.2829113540574</v>
      </c>
      <c r="V296" s="76">
        <f t="shared" si="133"/>
        <v>0</v>
      </c>
      <c r="W296" s="76">
        <f t="shared" si="133"/>
        <v>0</v>
      </c>
      <c r="X296" s="62">
        <f t="shared" si="133"/>
        <v>0</v>
      </c>
      <c r="Y296" s="62">
        <f t="shared" si="133"/>
        <v>0</v>
      </c>
      <c r="Z296" s="62">
        <f t="shared" si="133"/>
        <v>0</v>
      </c>
      <c r="AA296" s="64">
        <f t="shared" ref="AA296:AA302" si="134">SUM(G296:Z296)</f>
        <v>28434165.889731295</v>
      </c>
      <c r="AB296" s="58" t="str">
        <f t="shared" ref="AB296:AB302" si="135">IF(ABS(F296-AA296)&lt;0.01,"ok","err")</f>
        <v>ok</v>
      </c>
    </row>
    <row r="297" spans="1:28">
      <c r="A297" s="68" t="s">
        <v>1255</v>
      </c>
      <c r="C297" s="60" t="s">
        <v>1073</v>
      </c>
      <c r="D297" s="60" t="s">
        <v>505</v>
      </c>
      <c r="E297" s="60" t="s">
        <v>188</v>
      </c>
      <c r="F297" s="79">
        <f>VLOOKUP(C297,'Functional Assignment'!$C$2:$AP$780,'Functional Assignment'!$I$2,)</f>
        <v>29786588.490764581</v>
      </c>
      <c r="G297" s="79">
        <f t="shared" si="132"/>
        <v>12728350.899381103</v>
      </c>
      <c r="H297" s="79">
        <f t="shared" si="132"/>
        <v>4165002.1636032239</v>
      </c>
      <c r="I297" s="79">
        <f t="shared" si="132"/>
        <v>0</v>
      </c>
      <c r="J297" s="79">
        <f t="shared" si="132"/>
        <v>323887.63832576375</v>
      </c>
      <c r="K297" s="79">
        <f t="shared" si="132"/>
        <v>4358278.2440187279</v>
      </c>
      <c r="L297" s="79">
        <f t="shared" si="132"/>
        <v>0</v>
      </c>
      <c r="M297" s="79">
        <f t="shared" si="132"/>
        <v>0</v>
      </c>
      <c r="N297" s="79">
        <f t="shared" si="132"/>
        <v>3470693.1592654544</v>
      </c>
      <c r="O297" s="79">
        <f t="shared" si="132"/>
        <v>2327495.7525300374</v>
      </c>
      <c r="P297" s="79">
        <f t="shared" si="132"/>
        <v>2075937.189699363</v>
      </c>
      <c r="Q297" s="79">
        <f t="shared" si="133"/>
        <v>239680.11444620509</v>
      </c>
      <c r="R297" s="79">
        <f t="shared" si="133"/>
        <v>91103.342670185622</v>
      </c>
      <c r="S297" s="79">
        <f t="shared" si="133"/>
        <v>0</v>
      </c>
      <c r="T297" s="79">
        <f t="shared" si="133"/>
        <v>0</v>
      </c>
      <c r="U297" s="79">
        <f t="shared" si="133"/>
        <v>6159.9868245178577</v>
      </c>
      <c r="V297" s="79">
        <f t="shared" si="133"/>
        <v>0</v>
      </c>
      <c r="W297" s="79">
        <f t="shared" si="133"/>
        <v>0</v>
      </c>
      <c r="X297" s="63">
        <f t="shared" si="133"/>
        <v>0</v>
      </c>
      <c r="Y297" s="63">
        <f t="shared" si="133"/>
        <v>0</v>
      </c>
      <c r="Z297" s="63">
        <f t="shared" si="133"/>
        <v>0</v>
      </c>
      <c r="AA297" s="63">
        <f t="shared" si="134"/>
        <v>29786588.490764581</v>
      </c>
      <c r="AB297" s="58" t="str">
        <f t="shared" si="135"/>
        <v>ok</v>
      </c>
    </row>
    <row r="298" spans="1:28">
      <c r="A298" s="68" t="s">
        <v>1256</v>
      </c>
      <c r="C298" s="60" t="s">
        <v>1073</v>
      </c>
      <c r="D298" s="60" t="s">
        <v>506</v>
      </c>
      <c r="E298" s="60" t="s">
        <v>191</v>
      </c>
      <c r="F298" s="79">
        <f>VLOOKUP(C298,'Functional Assignment'!$C$2:$AP$780,'Functional Assignment'!$J$2,)</f>
        <v>24484475.298417449</v>
      </c>
      <c r="G298" s="79">
        <f t="shared" si="132"/>
        <v>9574654.3901394214</v>
      </c>
      <c r="H298" s="79">
        <f t="shared" si="132"/>
        <v>3460042.9447732908</v>
      </c>
      <c r="I298" s="79">
        <f t="shared" si="132"/>
        <v>0</v>
      </c>
      <c r="J298" s="79">
        <f t="shared" si="132"/>
        <v>285356.0213750687</v>
      </c>
      <c r="K298" s="79">
        <f t="shared" si="132"/>
        <v>4027869.0546102296</v>
      </c>
      <c r="L298" s="79">
        <f t="shared" si="132"/>
        <v>0</v>
      </c>
      <c r="M298" s="79">
        <f t="shared" si="132"/>
        <v>0</v>
      </c>
      <c r="N298" s="79">
        <f t="shared" si="132"/>
        <v>3046381.4998648055</v>
      </c>
      <c r="O298" s="79">
        <f t="shared" si="132"/>
        <v>2057586.3550932445</v>
      </c>
      <c r="P298" s="79">
        <f t="shared" si="132"/>
        <v>1761879.2279751783</v>
      </c>
      <c r="Q298" s="79">
        <f t="shared" si="133"/>
        <v>190242.19857080063</v>
      </c>
      <c r="R298" s="79">
        <f t="shared" si="133"/>
        <v>77011.270808438247</v>
      </c>
      <c r="S298" s="79">
        <f t="shared" si="133"/>
        <v>0</v>
      </c>
      <c r="T298" s="79">
        <f t="shared" si="133"/>
        <v>0</v>
      </c>
      <c r="U298" s="79">
        <f t="shared" si="133"/>
        <v>3452.3352069688376</v>
      </c>
      <c r="V298" s="79">
        <f t="shared" si="133"/>
        <v>0</v>
      </c>
      <c r="W298" s="79">
        <f t="shared" si="133"/>
        <v>0</v>
      </c>
      <c r="X298" s="63">
        <f t="shared" si="133"/>
        <v>0</v>
      </c>
      <c r="Y298" s="63">
        <f t="shared" si="133"/>
        <v>0</v>
      </c>
      <c r="Z298" s="63">
        <f t="shared" si="133"/>
        <v>0</v>
      </c>
      <c r="AA298" s="63">
        <f t="shared" si="134"/>
        <v>24484475.298417449</v>
      </c>
      <c r="AB298" s="58" t="str">
        <f t="shared" si="135"/>
        <v>ok</v>
      </c>
    </row>
    <row r="299" spans="1:28">
      <c r="A299" s="68" t="s">
        <v>1257</v>
      </c>
      <c r="C299" s="60" t="s">
        <v>1073</v>
      </c>
      <c r="D299" s="60" t="s">
        <v>507</v>
      </c>
      <c r="E299" s="60" t="s">
        <v>1091</v>
      </c>
      <c r="F299" s="79">
        <f>VLOOKUP(C299,'Functional Assignment'!$C$2:$AP$780,'Functional Assignment'!$K$2,)</f>
        <v>0</v>
      </c>
      <c r="G299" s="79">
        <f t="shared" si="132"/>
        <v>0</v>
      </c>
      <c r="H299" s="79">
        <f t="shared" si="132"/>
        <v>0</v>
      </c>
      <c r="I299" s="79">
        <f t="shared" si="132"/>
        <v>0</v>
      </c>
      <c r="J299" s="79">
        <f t="shared" si="132"/>
        <v>0</v>
      </c>
      <c r="K299" s="79">
        <f t="shared" si="132"/>
        <v>0</v>
      </c>
      <c r="L299" s="79">
        <f t="shared" si="132"/>
        <v>0</v>
      </c>
      <c r="M299" s="79">
        <f t="shared" si="132"/>
        <v>0</v>
      </c>
      <c r="N299" s="79">
        <f t="shared" si="132"/>
        <v>0</v>
      </c>
      <c r="O299" s="79">
        <f t="shared" si="132"/>
        <v>0</v>
      </c>
      <c r="P299" s="79">
        <f t="shared" si="132"/>
        <v>0</v>
      </c>
      <c r="Q299" s="79">
        <f t="shared" si="133"/>
        <v>0</v>
      </c>
      <c r="R299" s="79">
        <f t="shared" si="133"/>
        <v>0</v>
      </c>
      <c r="S299" s="79">
        <f t="shared" si="133"/>
        <v>0</v>
      </c>
      <c r="T299" s="79">
        <f t="shared" si="133"/>
        <v>0</v>
      </c>
      <c r="U299" s="79">
        <f t="shared" si="133"/>
        <v>0</v>
      </c>
      <c r="V299" s="79">
        <f t="shared" si="133"/>
        <v>0</v>
      </c>
      <c r="W299" s="79">
        <f t="shared" si="133"/>
        <v>0</v>
      </c>
      <c r="X299" s="63">
        <f t="shared" si="133"/>
        <v>0</v>
      </c>
      <c r="Y299" s="63">
        <f t="shared" si="133"/>
        <v>0</v>
      </c>
      <c r="Z299" s="63">
        <f t="shared" si="133"/>
        <v>0</v>
      </c>
      <c r="AA299" s="63">
        <f t="shared" si="134"/>
        <v>0</v>
      </c>
      <c r="AB299" s="58" t="str">
        <f t="shared" si="135"/>
        <v>ok</v>
      </c>
    </row>
    <row r="300" spans="1:28">
      <c r="A300" s="68" t="s">
        <v>1258</v>
      </c>
      <c r="C300" s="60" t="s">
        <v>1073</v>
      </c>
      <c r="D300" s="60" t="s">
        <v>508</v>
      </c>
      <c r="E300" s="60" t="s">
        <v>1091</v>
      </c>
      <c r="F300" s="79">
        <f>VLOOKUP(C300,'Functional Assignment'!$C$2:$AP$780,'Functional Assignment'!$L$2,)</f>
        <v>0</v>
      </c>
      <c r="G300" s="79">
        <f t="shared" si="132"/>
        <v>0</v>
      </c>
      <c r="H300" s="79">
        <f t="shared" si="132"/>
        <v>0</v>
      </c>
      <c r="I300" s="79">
        <f t="shared" si="132"/>
        <v>0</v>
      </c>
      <c r="J300" s="79">
        <f t="shared" si="132"/>
        <v>0</v>
      </c>
      <c r="K300" s="79">
        <f t="shared" si="132"/>
        <v>0</v>
      </c>
      <c r="L300" s="79">
        <f t="shared" si="132"/>
        <v>0</v>
      </c>
      <c r="M300" s="79">
        <f t="shared" si="132"/>
        <v>0</v>
      </c>
      <c r="N300" s="79">
        <f t="shared" si="132"/>
        <v>0</v>
      </c>
      <c r="O300" s="79">
        <f t="shared" si="132"/>
        <v>0</v>
      </c>
      <c r="P300" s="79">
        <f t="shared" si="132"/>
        <v>0</v>
      </c>
      <c r="Q300" s="79">
        <f t="shared" si="133"/>
        <v>0</v>
      </c>
      <c r="R300" s="79">
        <f t="shared" si="133"/>
        <v>0</v>
      </c>
      <c r="S300" s="79">
        <f t="shared" si="133"/>
        <v>0</v>
      </c>
      <c r="T300" s="79">
        <f t="shared" si="133"/>
        <v>0</v>
      </c>
      <c r="U300" s="79">
        <f t="shared" si="133"/>
        <v>0</v>
      </c>
      <c r="V300" s="79">
        <f t="shared" si="133"/>
        <v>0</v>
      </c>
      <c r="W300" s="79">
        <f t="shared" si="133"/>
        <v>0</v>
      </c>
      <c r="X300" s="63">
        <f t="shared" si="133"/>
        <v>0</v>
      </c>
      <c r="Y300" s="63">
        <f t="shared" si="133"/>
        <v>0</v>
      </c>
      <c r="Z300" s="63">
        <f t="shared" si="133"/>
        <v>0</v>
      </c>
      <c r="AA300" s="63">
        <f t="shared" si="134"/>
        <v>0</v>
      </c>
      <c r="AB300" s="58" t="str">
        <f t="shared" si="135"/>
        <v>ok</v>
      </c>
    </row>
    <row r="301" spans="1:28">
      <c r="A301" s="68" t="s">
        <v>1258</v>
      </c>
      <c r="C301" s="60" t="s">
        <v>1073</v>
      </c>
      <c r="D301" s="60" t="s">
        <v>509</v>
      </c>
      <c r="E301" s="60" t="s">
        <v>1091</v>
      </c>
      <c r="F301" s="79">
        <f>VLOOKUP(C301,'Functional Assignment'!$C$2:$AP$780,'Functional Assignment'!$M$2,)</f>
        <v>0</v>
      </c>
      <c r="G301" s="79">
        <f t="shared" si="132"/>
        <v>0</v>
      </c>
      <c r="H301" s="79">
        <f t="shared" si="132"/>
        <v>0</v>
      </c>
      <c r="I301" s="79">
        <f t="shared" si="132"/>
        <v>0</v>
      </c>
      <c r="J301" s="79">
        <f t="shared" si="132"/>
        <v>0</v>
      </c>
      <c r="K301" s="79">
        <f t="shared" si="132"/>
        <v>0</v>
      </c>
      <c r="L301" s="79">
        <f t="shared" si="132"/>
        <v>0</v>
      </c>
      <c r="M301" s="79">
        <f t="shared" si="132"/>
        <v>0</v>
      </c>
      <c r="N301" s="79">
        <f t="shared" si="132"/>
        <v>0</v>
      </c>
      <c r="O301" s="79">
        <f t="shared" si="132"/>
        <v>0</v>
      </c>
      <c r="P301" s="79">
        <f t="shared" si="132"/>
        <v>0</v>
      </c>
      <c r="Q301" s="79">
        <f t="shared" si="133"/>
        <v>0</v>
      </c>
      <c r="R301" s="79">
        <f t="shared" si="133"/>
        <v>0</v>
      </c>
      <c r="S301" s="79">
        <f t="shared" si="133"/>
        <v>0</v>
      </c>
      <c r="T301" s="79">
        <f t="shared" si="133"/>
        <v>0</v>
      </c>
      <c r="U301" s="79">
        <f t="shared" si="133"/>
        <v>0</v>
      </c>
      <c r="V301" s="79">
        <f t="shared" si="133"/>
        <v>0</v>
      </c>
      <c r="W301" s="79">
        <f t="shared" si="133"/>
        <v>0</v>
      </c>
      <c r="X301" s="63">
        <f t="shared" si="133"/>
        <v>0</v>
      </c>
      <c r="Y301" s="63">
        <f t="shared" si="133"/>
        <v>0</v>
      </c>
      <c r="Z301" s="63">
        <f t="shared" si="133"/>
        <v>0</v>
      </c>
      <c r="AA301" s="63">
        <f t="shared" si="134"/>
        <v>0</v>
      </c>
      <c r="AB301" s="58" t="str">
        <f t="shared" si="135"/>
        <v>ok</v>
      </c>
    </row>
    <row r="302" spans="1:28">
      <c r="A302" s="60" t="s">
        <v>387</v>
      </c>
      <c r="D302" s="60" t="s">
        <v>510</v>
      </c>
      <c r="F302" s="76">
        <f>SUM(F296:F301)</f>
        <v>82705229.678913325</v>
      </c>
      <c r="G302" s="76">
        <f t="shared" ref="G302:P302" si="136">SUM(G296:G301)</f>
        <v>32589861.887140639</v>
      </c>
      <c r="H302" s="76">
        <f t="shared" si="136"/>
        <v>10967905.265828576</v>
      </c>
      <c r="I302" s="76">
        <f t="shared" si="136"/>
        <v>0</v>
      </c>
      <c r="J302" s="76">
        <f t="shared" si="136"/>
        <v>1007383.9882434369</v>
      </c>
      <c r="K302" s="76">
        <f t="shared" si="136"/>
        <v>12999119.35285183</v>
      </c>
      <c r="L302" s="76">
        <f t="shared" si="136"/>
        <v>0</v>
      </c>
      <c r="M302" s="76">
        <f t="shared" si="136"/>
        <v>0</v>
      </c>
      <c r="N302" s="76">
        <f t="shared" si="136"/>
        <v>10969873.430330286</v>
      </c>
      <c r="O302" s="76">
        <f>SUM(O296:O301)</f>
        <v>6343483.5002261177</v>
      </c>
      <c r="P302" s="76">
        <f t="shared" si="136"/>
        <v>6549229.8368722051</v>
      </c>
      <c r="Q302" s="76">
        <f t="shared" ref="Q302:W302" si="137">SUM(Q296:Q301)</f>
        <v>694569.93015144998</v>
      </c>
      <c r="R302" s="76">
        <f t="shared" si="137"/>
        <v>307927.00942916865</v>
      </c>
      <c r="S302" s="76">
        <f t="shared" si="137"/>
        <v>250449.17126875636</v>
      </c>
      <c r="T302" s="76">
        <f t="shared" si="137"/>
        <v>8163.7016280195403</v>
      </c>
      <c r="U302" s="76">
        <f t="shared" si="137"/>
        <v>17262.604942840753</v>
      </c>
      <c r="V302" s="76">
        <f t="shared" si="137"/>
        <v>0</v>
      </c>
      <c r="W302" s="76">
        <f t="shared" si="137"/>
        <v>0</v>
      </c>
      <c r="X302" s="62">
        <f>SUM(X296:X301)</f>
        <v>0</v>
      </c>
      <c r="Y302" s="62">
        <f>SUM(Y296:Y301)</f>
        <v>0</v>
      </c>
      <c r="Z302" s="62">
        <f>SUM(Z296:Z301)</f>
        <v>0</v>
      </c>
      <c r="AA302" s="64">
        <f t="shared" si="134"/>
        <v>82705229.67891334</v>
      </c>
      <c r="AB302" s="58" t="str">
        <f t="shared" si="135"/>
        <v>ok</v>
      </c>
    </row>
    <row r="303" spans="1:28">
      <c r="F303" s="79"/>
      <c r="G303" s="79"/>
    </row>
    <row r="304" spans="1:28" ht="15">
      <c r="A304" s="65" t="s">
        <v>1131</v>
      </c>
      <c r="F304" s="79"/>
      <c r="G304" s="79"/>
    </row>
    <row r="305" spans="1:28">
      <c r="A305" s="68" t="s">
        <v>1363</v>
      </c>
      <c r="C305" s="60" t="s">
        <v>1073</v>
      </c>
      <c r="D305" s="60" t="s">
        <v>511</v>
      </c>
      <c r="E305" s="60" t="s">
        <v>1367</v>
      </c>
      <c r="F305" s="76">
        <f>VLOOKUP(C305,'Functional Assignment'!$C$2:$AP$780,'Functional Assignment'!$N$2,)</f>
        <v>11770778.332659373</v>
      </c>
      <c r="G305" s="76">
        <f t="shared" ref="G305:P307" si="138">IF(VLOOKUP($E305,$D$6:$AN$1131,3,)=0,0,(VLOOKUP($E305,$D$6:$AN$1131,G$2,)/VLOOKUP($E305,$D$6:$AN$1131,3,))*$F305)</f>
        <v>5230791.5018595681</v>
      </c>
      <c r="H305" s="76">
        <f t="shared" si="138"/>
        <v>1505668.7733276098</v>
      </c>
      <c r="I305" s="76">
        <f t="shared" si="138"/>
        <v>0</v>
      </c>
      <c r="J305" s="76">
        <f t="shared" si="138"/>
        <v>133779.9889594329</v>
      </c>
      <c r="K305" s="76">
        <f t="shared" si="138"/>
        <v>1552731.9142005795</v>
      </c>
      <c r="L305" s="76">
        <f t="shared" si="138"/>
        <v>0</v>
      </c>
      <c r="M305" s="76">
        <f t="shared" si="138"/>
        <v>0</v>
      </c>
      <c r="N305" s="76">
        <f t="shared" si="138"/>
        <v>1412512.2278728345</v>
      </c>
      <c r="O305" s="76">
        <f t="shared" si="138"/>
        <v>838675.62857605307</v>
      </c>
      <c r="P305" s="76">
        <f t="shared" si="138"/>
        <v>868715.03239650407</v>
      </c>
      <c r="Q305" s="76">
        <f t="shared" ref="Q305:Z307" si="139">IF(VLOOKUP($E305,$D$6:$AN$1131,3,)=0,0,(VLOOKUP($E305,$D$6:$AN$1131,Q$2,)/VLOOKUP($E305,$D$6:$AN$1131,3,))*$F305)</f>
        <v>87570.30015470217</v>
      </c>
      <c r="R305" s="76">
        <f t="shared" si="139"/>
        <v>45835.554988571217</v>
      </c>
      <c r="S305" s="76">
        <f t="shared" si="139"/>
        <v>90294.028354878552</v>
      </c>
      <c r="T305" s="76">
        <f t="shared" si="139"/>
        <v>2887.8636738089626</v>
      </c>
      <c r="U305" s="76">
        <f t="shared" si="139"/>
        <v>1315.5182948320248</v>
      </c>
      <c r="V305" s="76">
        <f t="shared" si="139"/>
        <v>0</v>
      </c>
      <c r="W305" s="76">
        <f t="shared" si="139"/>
        <v>0</v>
      </c>
      <c r="X305" s="62">
        <f t="shared" si="139"/>
        <v>0</v>
      </c>
      <c r="Y305" s="62">
        <f t="shared" si="139"/>
        <v>0</v>
      </c>
      <c r="Z305" s="62">
        <f t="shared" si="139"/>
        <v>0</v>
      </c>
      <c r="AA305" s="64">
        <f>SUM(G305:Z305)</f>
        <v>11770778.332659373</v>
      </c>
      <c r="AB305" s="58" t="str">
        <f>IF(ABS(F305-AA305)&lt;0.01,"ok","err")</f>
        <v>ok</v>
      </c>
    </row>
    <row r="306" spans="1:28" hidden="1">
      <c r="A306" s="68" t="s">
        <v>1364</v>
      </c>
      <c r="C306" s="60" t="s">
        <v>1073</v>
      </c>
      <c r="D306" s="60" t="s">
        <v>512</v>
      </c>
      <c r="E306" s="60" t="s">
        <v>188</v>
      </c>
      <c r="F306" s="79">
        <f>VLOOKUP(C306,'Functional Assignment'!$C$2:$AP$780,'Functional Assignment'!$O$2,)</f>
        <v>0</v>
      </c>
      <c r="G306" s="79">
        <f t="shared" si="138"/>
        <v>0</v>
      </c>
      <c r="H306" s="79">
        <f t="shared" si="138"/>
        <v>0</v>
      </c>
      <c r="I306" s="79">
        <f t="shared" si="138"/>
        <v>0</v>
      </c>
      <c r="J306" s="79">
        <f t="shared" si="138"/>
        <v>0</v>
      </c>
      <c r="K306" s="79">
        <f t="shared" si="138"/>
        <v>0</v>
      </c>
      <c r="L306" s="79">
        <f t="shared" si="138"/>
        <v>0</v>
      </c>
      <c r="M306" s="79">
        <f t="shared" si="138"/>
        <v>0</v>
      </c>
      <c r="N306" s="79">
        <f t="shared" si="138"/>
        <v>0</v>
      </c>
      <c r="O306" s="79">
        <f t="shared" si="138"/>
        <v>0</v>
      </c>
      <c r="P306" s="79">
        <f t="shared" si="138"/>
        <v>0</v>
      </c>
      <c r="Q306" s="79">
        <f t="shared" si="139"/>
        <v>0</v>
      </c>
      <c r="R306" s="79">
        <f t="shared" si="139"/>
        <v>0</v>
      </c>
      <c r="S306" s="79">
        <f t="shared" si="139"/>
        <v>0</v>
      </c>
      <c r="T306" s="79">
        <f t="shared" si="139"/>
        <v>0</v>
      </c>
      <c r="U306" s="79">
        <f t="shared" si="139"/>
        <v>0</v>
      </c>
      <c r="V306" s="79">
        <f t="shared" si="139"/>
        <v>0</v>
      </c>
      <c r="W306" s="79">
        <f t="shared" si="139"/>
        <v>0</v>
      </c>
      <c r="X306" s="63">
        <f t="shared" si="139"/>
        <v>0</v>
      </c>
      <c r="Y306" s="63">
        <f t="shared" si="139"/>
        <v>0</v>
      </c>
      <c r="Z306" s="63">
        <f t="shared" si="139"/>
        <v>0</v>
      </c>
      <c r="AA306" s="63">
        <f>SUM(G306:Z306)</f>
        <v>0</v>
      </c>
      <c r="AB306" s="58" t="str">
        <f>IF(ABS(F306-AA306)&lt;0.01,"ok","err")</f>
        <v>ok</v>
      </c>
    </row>
    <row r="307" spans="1:28" hidden="1">
      <c r="A307" s="68" t="s">
        <v>1364</v>
      </c>
      <c r="C307" s="60" t="s">
        <v>1073</v>
      </c>
      <c r="D307" s="60" t="s">
        <v>513</v>
      </c>
      <c r="E307" s="60" t="s">
        <v>191</v>
      </c>
      <c r="F307" s="79">
        <f>VLOOKUP(C307,'Functional Assignment'!$C$2:$AP$780,'Functional Assignment'!$P$2,)</f>
        <v>0</v>
      </c>
      <c r="G307" s="79">
        <f t="shared" si="138"/>
        <v>0</v>
      </c>
      <c r="H307" s="79">
        <f t="shared" si="138"/>
        <v>0</v>
      </c>
      <c r="I307" s="79">
        <f t="shared" si="138"/>
        <v>0</v>
      </c>
      <c r="J307" s="79">
        <f t="shared" si="138"/>
        <v>0</v>
      </c>
      <c r="K307" s="79">
        <f t="shared" si="138"/>
        <v>0</v>
      </c>
      <c r="L307" s="79">
        <f t="shared" si="138"/>
        <v>0</v>
      </c>
      <c r="M307" s="79">
        <f t="shared" si="138"/>
        <v>0</v>
      </c>
      <c r="N307" s="79">
        <f t="shared" si="138"/>
        <v>0</v>
      </c>
      <c r="O307" s="79">
        <f t="shared" si="138"/>
        <v>0</v>
      </c>
      <c r="P307" s="79">
        <f t="shared" si="138"/>
        <v>0</v>
      </c>
      <c r="Q307" s="79">
        <f t="shared" si="139"/>
        <v>0</v>
      </c>
      <c r="R307" s="79">
        <f t="shared" si="139"/>
        <v>0</v>
      </c>
      <c r="S307" s="79">
        <f t="shared" si="139"/>
        <v>0</v>
      </c>
      <c r="T307" s="79">
        <f t="shared" si="139"/>
        <v>0</v>
      </c>
      <c r="U307" s="79">
        <f t="shared" si="139"/>
        <v>0</v>
      </c>
      <c r="V307" s="79">
        <f t="shared" si="139"/>
        <v>0</v>
      </c>
      <c r="W307" s="79">
        <f t="shared" si="139"/>
        <v>0</v>
      </c>
      <c r="X307" s="63">
        <f t="shared" si="139"/>
        <v>0</v>
      </c>
      <c r="Y307" s="63">
        <f t="shared" si="139"/>
        <v>0</v>
      </c>
      <c r="Z307" s="63">
        <f t="shared" si="139"/>
        <v>0</v>
      </c>
      <c r="AA307" s="63">
        <f>SUM(G307:Z307)</f>
        <v>0</v>
      </c>
      <c r="AB307" s="58" t="str">
        <f>IF(ABS(F307-AA307)&lt;0.01,"ok","err")</f>
        <v>ok</v>
      </c>
    </row>
    <row r="308" spans="1:28" hidden="1">
      <c r="A308" s="60" t="s">
        <v>1133</v>
      </c>
      <c r="D308" s="60" t="s">
        <v>514</v>
      </c>
      <c r="F308" s="76">
        <f>SUM(F305:F307)</f>
        <v>11770778.332659373</v>
      </c>
      <c r="G308" s="76">
        <f t="shared" ref="G308:W308" si="140">SUM(G305:G307)</f>
        <v>5230791.5018595681</v>
      </c>
      <c r="H308" s="76">
        <f t="shared" si="140"/>
        <v>1505668.7733276098</v>
      </c>
      <c r="I308" s="76">
        <f t="shared" si="140"/>
        <v>0</v>
      </c>
      <c r="J308" s="76">
        <f t="shared" si="140"/>
        <v>133779.9889594329</v>
      </c>
      <c r="K308" s="76">
        <f t="shared" si="140"/>
        <v>1552731.9142005795</v>
      </c>
      <c r="L308" s="76">
        <f t="shared" si="140"/>
        <v>0</v>
      </c>
      <c r="M308" s="76">
        <f t="shared" si="140"/>
        <v>0</v>
      </c>
      <c r="N308" s="76">
        <f t="shared" si="140"/>
        <v>1412512.2278728345</v>
      </c>
      <c r="O308" s="76">
        <f>SUM(O305:O307)</f>
        <v>838675.62857605307</v>
      </c>
      <c r="P308" s="76">
        <f t="shared" si="140"/>
        <v>868715.03239650407</v>
      </c>
      <c r="Q308" s="76">
        <f t="shared" si="140"/>
        <v>87570.30015470217</v>
      </c>
      <c r="R308" s="76">
        <f t="shared" si="140"/>
        <v>45835.554988571217</v>
      </c>
      <c r="S308" s="76">
        <f t="shared" si="140"/>
        <v>90294.028354878552</v>
      </c>
      <c r="T308" s="76">
        <f t="shared" si="140"/>
        <v>2887.8636738089626</v>
      </c>
      <c r="U308" s="76">
        <f t="shared" si="140"/>
        <v>1315.5182948320248</v>
      </c>
      <c r="V308" s="76">
        <f t="shared" si="140"/>
        <v>0</v>
      </c>
      <c r="W308" s="76">
        <f t="shared" si="140"/>
        <v>0</v>
      </c>
      <c r="X308" s="62">
        <f>SUM(X305:X307)</f>
        <v>0</v>
      </c>
      <c r="Y308" s="62">
        <f>SUM(Y305:Y307)</f>
        <v>0</v>
      </c>
      <c r="Z308" s="62">
        <f>SUM(Z305:Z307)</f>
        <v>0</v>
      </c>
      <c r="AA308" s="64">
        <f>SUM(G308:Z308)</f>
        <v>11770778.332659373</v>
      </c>
      <c r="AB308" s="58" t="str">
        <f>IF(ABS(F308-AA308)&lt;0.01,"ok","err")</f>
        <v>ok</v>
      </c>
    </row>
    <row r="309" spans="1:28">
      <c r="F309" s="79"/>
      <c r="G309" s="79"/>
    </row>
    <row r="310" spans="1:28" ht="15">
      <c r="A310" s="65" t="s">
        <v>348</v>
      </c>
      <c r="F310" s="79"/>
      <c r="G310" s="79"/>
    </row>
    <row r="311" spans="1:28">
      <c r="A311" s="68" t="s">
        <v>372</v>
      </c>
      <c r="C311" s="60" t="s">
        <v>1073</v>
      </c>
      <c r="D311" s="60" t="s">
        <v>515</v>
      </c>
      <c r="E311" s="60" t="s">
        <v>1368</v>
      </c>
      <c r="F311" s="76">
        <f>VLOOKUP(C311,'Functional Assignment'!$C$2:$AP$780,'Functional Assignment'!$Q$2,)</f>
        <v>0</v>
      </c>
      <c r="G311" s="76">
        <f t="shared" ref="G311:Z311" si="141">IF(VLOOKUP($E311,$D$6:$AN$1131,3,)=0,0,(VLOOKUP($E311,$D$6:$AN$1131,G$2,)/VLOOKUP($E311,$D$6:$AN$1131,3,))*$F311)</f>
        <v>0</v>
      </c>
      <c r="H311" s="76">
        <f t="shared" si="141"/>
        <v>0</v>
      </c>
      <c r="I311" s="76">
        <f t="shared" si="141"/>
        <v>0</v>
      </c>
      <c r="J311" s="76">
        <f t="shared" si="141"/>
        <v>0</v>
      </c>
      <c r="K311" s="76">
        <f t="shared" si="141"/>
        <v>0</v>
      </c>
      <c r="L311" s="76">
        <f t="shared" si="141"/>
        <v>0</v>
      </c>
      <c r="M311" s="76">
        <f t="shared" si="141"/>
        <v>0</v>
      </c>
      <c r="N311" s="76">
        <f t="shared" si="141"/>
        <v>0</v>
      </c>
      <c r="O311" s="76">
        <f t="shared" si="141"/>
        <v>0</v>
      </c>
      <c r="P311" s="76">
        <f t="shared" si="141"/>
        <v>0</v>
      </c>
      <c r="Q311" s="76">
        <f t="shared" si="141"/>
        <v>0</v>
      </c>
      <c r="R311" s="76">
        <f t="shared" si="141"/>
        <v>0</v>
      </c>
      <c r="S311" s="76">
        <f t="shared" si="141"/>
        <v>0</v>
      </c>
      <c r="T311" s="76">
        <f t="shared" si="141"/>
        <v>0</v>
      </c>
      <c r="U311" s="76">
        <f t="shared" si="141"/>
        <v>0</v>
      </c>
      <c r="V311" s="76">
        <f t="shared" si="141"/>
        <v>0</v>
      </c>
      <c r="W311" s="76">
        <f t="shared" si="141"/>
        <v>0</v>
      </c>
      <c r="X311" s="62">
        <f t="shared" si="141"/>
        <v>0</v>
      </c>
      <c r="Y311" s="62">
        <f t="shared" si="141"/>
        <v>0</v>
      </c>
      <c r="Z311" s="62">
        <f t="shared" si="141"/>
        <v>0</v>
      </c>
      <c r="AA311" s="64">
        <f>SUM(G311:Z311)</f>
        <v>0</v>
      </c>
      <c r="AB311" s="58" t="str">
        <f>IF(ABS(F311-AA311)&lt;0.01,"ok","err")</f>
        <v>ok</v>
      </c>
    </row>
    <row r="312" spans="1:28">
      <c r="F312" s="79"/>
    </row>
    <row r="313" spans="1:28" ht="15">
      <c r="A313" s="65" t="s">
        <v>349</v>
      </c>
      <c r="F313" s="79"/>
      <c r="G313" s="79"/>
    </row>
    <row r="314" spans="1:28">
      <c r="A314" s="68" t="s">
        <v>374</v>
      </c>
      <c r="C314" s="60" t="s">
        <v>1073</v>
      </c>
      <c r="D314" s="60" t="s">
        <v>516</v>
      </c>
      <c r="E314" s="60" t="s">
        <v>1368</v>
      </c>
      <c r="F314" s="76">
        <f>VLOOKUP(C314,'Functional Assignment'!$C$2:$AP$780,'Functional Assignment'!$R$2,)</f>
        <v>4970929.1010819944</v>
      </c>
      <c r="G314" s="76">
        <f t="shared" ref="G314:Z314" si="142">IF(VLOOKUP($E314,$D$6:$AN$1131,3,)=0,0,(VLOOKUP($E314,$D$6:$AN$1131,G$2,)/VLOOKUP($E314,$D$6:$AN$1131,3,))*$F314)</f>
        <v>2385043.3612561361</v>
      </c>
      <c r="H314" s="76">
        <f t="shared" si="142"/>
        <v>686528.09250742267</v>
      </c>
      <c r="I314" s="76">
        <f t="shared" si="142"/>
        <v>0</v>
      </c>
      <c r="J314" s="76">
        <f t="shared" si="142"/>
        <v>60998.622182356827</v>
      </c>
      <c r="K314" s="76">
        <f t="shared" si="142"/>
        <v>707987.10720128578</v>
      </c>
      <c r="L314" s="76">
        <f t="shared" si="142"/>
        <v>0</v>
      </c>
      <c r="M314" s="76">
        <f t="shared" si="142"/>
        <v>0</v>
      </c>
      <c r="N314" s="76">
        <f t="shared" si="142"/>
        <v>644052.22624215845</v>
      </c>
      <c r="O314" s="76">
        <f t="shared" si="142"/>
        <v>382404.41039783851</v>
      </c>
      <c r="P314" s="76">
        <f t="shared" si="142"/>
        <v>0</v>
      </c>
      <c r="Q314" s="76">
        <f t="shared" si="142"/>
        <v>39928.749397281339</v>
      </c>
      <c r="R314" s="76">
        <f t="shared" si="142"/>
        <v>20899.281895697564</v>
      </c>
      <c r="S314" s="76">
        <f t="shared" si="142"/>
        <v>41170.666583119732</v>
      </c>
      <c r="T314" s="76">
        <f t="shared" si="142"/>
        <v>1316.7567625247964</v>
      </c>
      <c r="U314" s="76">
        <f t="shared" si="142"/>
        <v>599.82665617329508</v>
      </c>
      <c r="V314" s="76">
        <f t="shared" si="142"/>
        <v>0</v>
      </c>
      <c r="W314" s="76">
        <f t="shared" si="142"/>
        <v>0</v>
      </c>
      <c r="X314" s="62">
        <f t="shared" si="142"/>
        <v>0</v>
      </c>
      <c r="Y314" s="62">
        <f t="shared" si="142"/>
        <v>0</v>
      </c>
      <c r="Z314" s="62">
        <f t="shared" si="142"/>
        <v>0</v>
      </c>
      <c r="AA314" s="64">
        <f>SUM(G314:Z314)</f>
        <v>4970929.1010819944</v>
      </c>
      <c r="AB314" s="58" t="str">
        <f>IF(ABS(F314-AA314)&lt;0.01,"ok","err")</f>
        <v>ok</v>
      </c>
    </row>
    <row r="315" spans="1:28">
      <c r="F315" s="79"/>
    </row>
    <row r="316" spans="1:28" ht="15">
      <c r="A316" s="65" t="s">
        <v>373</v>
      </c>
      <c r="F316" s="79"/>
    </row>
    <row r="317" spans="1:28">
      <c r="A317" s="68" t="s">
        <v>623</v>
      </c>
      <c r="C317" s="60" t="s">
        <v>1073</v>
      </c>
      <c r="D317" s="60" t="s">
        <v>517</v>
      </c>
      <c r="E317" s="60" t="s">
        <v>1368</v>
      </c>
      <c r="F317" s="76">
        <f>VLOOKUP(C317,'Functional Assignment'!$C$2:$AP$780,'Functional Assignment'!$S$2,)</f>
        <v>0</v>
      </c>
      <c r="G317" s="76">
        <f t="shared" ref="G317:P321" si="143">IF(VLOOKUP($E317,$D$6:$AN$1131,3,)=0,0,(VLOOKUP($E317,$D$6:$AN$1131,G$2,)/VLOOKUP($E317,$D$6:$AN$1131,3,))*$F317)</f>
        <v>0</v>
      </c>
      <c r="H317" s="76">
        <f t="shared" si="143"/>
        <v>0</v>
      </c>
      <c r="I317" s="76">
        <f t="shared" si="143"/>
        <v>0</v>
      </c>
      <c r="J317" s="76">
        <f t="shared" si="143"/>
        <v>0</v>
      </c>
      <c r="K317" s="76">
        <f t="shared" si="143"/>
        <v>0</v>
      </c>
      <c r="L317" s="76">
        <f t="shared" si="143"/>
        <v>0</v>
      </c>
      <c r="M317" s="76">
        <f t="shared" si="143"/>
        <v>0</v>
      </c>
      <c r="N317" s="76">
        <f t="shared" si="143"/>
        <v>0</v>
      </c>
      <c r="O317" s="76">
        <f t="shared" si="143"/>
        <v>0</v>
      </c>
      <c r="P317" s="76">
        <f t="shared" si="143"/>
        <v>0</v>
      </c>
      <c r="Q317" s="76">
        <f t="shared" ref="Q317:Z321" si="144">IF(VLOOKUP($E317,$D$6:$AN$1131,3,)=0,0,(VLOOKUP($E317,$D$6:$AN$1131,Q$2,)/VLOOKUP($E317,$D$6:$AN$1131,3,))*$F317)</f>
        <v>0</v>
      </c>
      <c r="R317" s="76">
        <f t="shared" si="144"/>
        <v>0</v>
      </c>
      <c r="S317" s="76">
        <f t="shared" si="144"/>
        <v>0</v>
      </c>
      <c r="T317" s="76">
        <f t="shared" si="144"/>
        <v>0</v>
      </c>
      <c r="U317" s="76">
        <f t="shared" si="144"/>
        <v>0</v>
      </c>
      <c r="V317" s="76">
        <f t="shared" si="144"/>
        <v>0</v>
      </c>
      <c r="W317" s="76">
        <f t="shared" si="144"/>
        <v>0</v>
      </c>
      <c r="X317" s="62">
        <f t="shared" si="144"/>
        <v>0</v>
      </c>
      <c r="Y317" s="62">
        <f t="shared" si="144"/>
        <v>0</v>
      </c>
      <c r="Z317" s="62">
        <f t="shared" si="144"/>
        <v>0</v>
      </c>
      <c r="AA317" s="64">
        <f t="shared" ref="AA317:AA322" si="145">SUM(G317:Z317)</f>
        <v>0</v>
      </c>
      <c r="AB317" s="58" t="str">
        <f t="shared" ref="AB317:AB322" si="146">IF(ABS(F317-AA317)&lt;0.01,"ok","err")</f>
        <v>ok</v>
      </c>
    </row>
    <row r="318" spans="1:28">
      <c r="A318" s="68" t="s">
        <v>624</v>
      </c>
      <c r="C318" s="60" t="s">
        <v>1073</v>
      </c>
      <c r="D318" s="60" t="s">
        <v>518</v>
      </c>
      <c r="E318" s="60" t="s">
        <v>1368</v>
      </c>
      <c r="F318" s="79">
        <f>VLOOKUP(C318,'Functional Assignment'!$C$2:$AP$780,'Functional Assignment'!$T$2,)</f>
        <v>8500800.0729133934</v>
      </c>
      <c r="G318" s="79">
        <f t="shared" si="143"/>
        <v>4078669.4734500777</v>
      </c>
      <c r="H318" s="79">
        <f t="shared" si="143"/>
        <v>1174033.6545081469</v>
      </c>
      <c r="I318" s="79">
        <f t="shared" si="143"/>
        <v>0</v>
      </c>
      <c r="J318" s="79">
        <f t="shared" si="143"/>
        <v>104313.91825373819</v>
      </c>
      <c r="K318" s="79">
        <f t="shared" si="143"/>
        <v>1210730.7769101814</v>
      </c>
      <c r="L318" s="79">
        <f t="shared" si="143"/>
        <v>0</v>
      </c>
      <c r="M318" s="79">
        <f t="shared" si="143"/>
        <v>0</v>
      </c>
      <c r="N318" s="79">
        <f t="shared" si="143"/>
        <v>1101395.5541244131</v>
      </c>
      <c r="O318" s="79">
        <f t="shared" si="143"/>
        <v>653950.87592071621</v>
      </c>
      <c r="P318" s="79">
        <f t="shared" si="143"/>
        <v>0</v>
      </c>
      <c r="Q318" s="79">
        <f t="shared" si="144"/>
        <v>68282.268542890466</v>
      </c>
      <c r="R318" s="79">
        <f t="shared" si="144"/>
        <v>35739.921743022453</v>
      </c>
      <c r="S318" s="79">
        <f t="shared" si="144"/>
        <v>70406.074674349758</v>
      </c>
      <c r="T318" s="79">
        <f t="shared" si="144"/>
        <v>2251.7895055963622</v>
      </c>
      <c r="U318" s="79">
        <f t="shared" si="144"/>
        <v>1025.7652802618875</v>
      </c>
      <c r="V318" s="79">
        <f t="shared" si="144"/>
        <v>0</v>
      </c>
      <c r="W318" s="79">
        <f t="shared" si="144"/>
        <v>0</v>
      </c>
      <c r="X318" s="63">
        <f t="shared" si="144"/>
        <v>0</v>
      </c>
      <c r="Y318" s="63">
        <f t="shared" si="144"/>
        <v>0</v>
      </c>
      <c r="Z318" s="63">
        <f t="shared" si="144"/>
        <v>0</v>
      </c>
      <c r="AA318" s="63">
        <f t="shared" si="145"/>
        <v>8500800.0729133952</v>
      </c>
      <c r="AB318" s="58" t="str">
        <f t="shared" si="146"/>
        <v>ok</v>
      </c>
    </row>
    <row r="319" spans="1:28">
      <c r="A319" s="68" t="s">
        <v>625</v>
      </c>
      <c r="C319" s="60" t="s">
        <v>1073</v>
      </c>
      <c r="D319" s="60" t="s">
        <v>519</v>
      </c>
      <c r="E319" s="60" t="s">
        <v>698</v>
      </c>
      <c r="F319" s="79">
        <f>VLOOKUP(C319,'Functional Assignment'!$C$2:$AP$780,'Functional Assignment'!$U$2,)</f>
        <v>13527932.388058219</v>
      </c>
      <c r="G319" s="79">
        <f t="shared" si="143"/>
        <v>11662609.564364776</v>
      </c>
      <c r="H319" s="79">
        <f t="shared" si="143"/>
        <v>1448965.0828982224</v>
      </c>
      <c r="I319" s="79">
        <f t="shared" si="143"/>
        <v>0</v>
      </c>
      <c r="J319" s="79">
        <f t="shared" si="143"/>
        <v>2306.1981556838873</v>
      </c>
      <c r="K319" s="79">
        <f t="shared" si="143"/>
        <v>90459.554972369151</v>
      </c>
      <c r="L319" s="79">
        <f t="shared" si="143"/>
        <v>0</v>
      </c>
      <c r="M319" s="79">
        <f t="shared" si="143"/>
        <v>0</v>
      </c>
      <c r="N319" s="79">
        <f t="shared" si="143"/>
        <v>3379.2209086756961</v>
      </c>
      <c r="O319" s="79">
        <f t="shared" si="143"/>
        <v>8840.4262634549013</v>
      </c>
      <c r="P319" s="79">
        <f t="shared" si="143"/>
        <v>0</v>
      </c>
      <c r="Q319" s="79">
        <f t="shared" si="144"/>
        <v>32.030529940053988</v>
      </c>
      <c r="R319" s="79">
        <f t="shared" si="144"/>
        <v>32.030529940053988</v>
      </c>
      <c r="S319" s="79">
        <f t="shared" si="144"/>
        <v>307500.20532006054</v>
      </c>
      <c r="T319" s="79">
        <f t="shared" si="144"/>
        <v>587.22638223432307</v>
      </c>
      <c r="U319" s="79">
        <f t="shared" si="144"/>
        <v>3220.8477328609847</v>
      </c>
      <c r="V319" s="79">
        <f t="shared" si="144"/>
        <v>0</v>
      </c>
      <c r="W319" s="79">
        <f t="shared" si="144"/>
        <v>0</v>
      </c>
      <c r="X319" s="63">
        <f t="shared" si="144"/>
        <v>0</v>
      </c>
      <c r="Y319" s="63">
        <f t="shared" si="144"/>
        <v>0</v>
      </c>
      <c r="Z319" s="63">
        <f t="shared" si="144"/>
        <v>0</v>
      </c>
      <c r="AA319" s="63">
        <f t="shared" si="145"/>
        <v>13527932.388058219</v>
      </c>
      <c r="AB319" s="58" t="str">
        <f t="shared" si="146"/>
        <v>ok</v>
      </c>
    </row>
    <row r="320" spans="1:28">
      <c r="A320" s="68" t="s">
        <v>626</v>
      </c>
      <c r="C320" s="60" t="s">
        <v>1073</v>
      </c>
      <c r="D320" s="60" t="s">
        <v>520</v>
      </c>
      <c r="E320" s="60" t="s">
        <v>678</v>
      </c>
      <c r="F320" s="79">
        <f>VLOOKUP(C320,'Functional Assignment'!$C$2:$AP$780,'Functional Assignment'!$V$2,)</f>
        <v>2336901.8861824367</v>
      </c>
      <c r="G320" s="79">
        <f t="shared" si="143"/>
        <v>1961146.8018662254</v>
      </c>
      <c r="H320" s="79">
        <f t="shared" si="143"/>
        <v>358881.01933143946</v>
      </c>
      <c r="I320" s="79">
        <f t="shared" si="143"/>
        <v>0</v>
      </c>
      <c r="J320" s="79">
        <f t="shared" si="143"/>
        <v>0</v>
      </c>
      <c r="K320" s="79">
        <f t="shared" si="143"/>
        <v>0</v>
      </c>
      <c r="L320" s="79">
        <f t="shared" si="143"/>
        <v>0</v>
      </c>
      <c r="M320" s="79">
        <f t="shared" si="143"/>
        <v>0</v>
      </c>
      <c r="N320" s="79">
        <f t="shared" si="143"/>
        <v>0</v>
      </c>
      <c r="O320" s="79">
        <f t="shared" si="143"/>
        <v>0</v>
      </c>
      <c r="P320" s="79">
        <f t="shared" si="143"/>
        <v>0</v>
      </c>
      <c r="Q320" s="79">
        <f t="shared" si="144"/>
        <v>0</v>
      </c>
      <c r="R320" s="79">
        <f t="shared" si="144"/>
        <v>0</v>
      </c>
      <c r="S320" s="79">
        <f t="shared" si="144"/>
        <v>16123.482082533224</v>
      </c>
      <c r="T320" s="79">
        <f t="shared" si="144"/>
        <v>515.67549980664512</v>
      </c>
      <c r="U320" s="79">
        <f t="shared" si="144"/>
        <v>234.90740243203251</v>
      </c>
      <c r="V320" s="79">
        <f t="shared" si="144"/>
        <v>0</v>
      </c>
      <c r="W320" s="79">
        <f t="shared" si="144"/>
        <v>0</v>
      </c>
      <c r="X320" s="63">
        <f t="shared" si="144"/>
        <v>0</v>
      </c>
      <c r="Y320" s="63">
        <f t="shared" si="144"/>
        <v>0</v>
      </c>
      <c r="Z320" s="63">
        <f t="shared" si="144"/>
        <v>0</v>
      </c>
      <c r="AA320" s="63">
        <f t="shared" si="145"/>
        <v>2336901.8861824367</v>
      </c>
      <c r="AB320" s="58" t="str">
        <f t="shared" si="146"/>
        <v>ok</v>
      </c>
    </row>
    <row r="321" spans="1:28">
      <c r="A321" s="68" t="s">
        <v>627</v>
      </c>
      <c r="C321" s="60" t="s">
        <v>1073</v>
      </c>
      <c r="D321" s="60" t="s">
        <v>521</v>
      </c>
      <c r="E321" s="60" t="s">
        <v>697</v>
      </c>
      <c r="F321" s="79">
        <f>VLOOKUP(C321,'Functional Assignment'!$C$2:$AP$780,'Functional Assignment'!$W$2,)</f>
        <v>3551287.1257454674</v>
      </c>
      <c r="G321" s="79">
        <f t="shared" si="143"/>
        <v>3085572.2593054506</v>
      </c>
      <c r="H321" s="79">
        <f t="shared" si="143"/>
        <v>383352.15114752855</v>
      </c>
      <c r="I321" s="79">
        <f t="shared" si="143"/>
        <v>0</v>
      </c>
      <c r="J321" s="79">
        <f t="shared" si="143"/>
        <v>0</v>
      </c>
      <c r="K321" s="79">
        <f t="shared" si="143"/>
        <v>0</v>
      </c>
      <c r="L321" s="79">
        <f t="shared" si="143"/>
        <v>0</v>
      </c>
      <c r="M321" s="79">
        <f t="shared" si="143"/>
        <v>0</v>
      </c>
      <c r="N321" s="79">
        <f t="shared" si="143"/>
        <v>0</v>
      </c>
      <c r="O321" s="79">
        <f t="shared" si="143"/>
        <v>0</v>
      </c>
      <c r="P321" s="79">
        <f t="shared" si="143"/>
        <v>0</v>
      </c>
      <c r="Q321" s="79">
        <f t="shared" si="144"/>
        <v>0</v>
      </c>
      <c r="R321" s="79">
        <f t="shared" si="144"/>
        <v>0</v>
      </c>
      <c r="S321" s="79">
        <f t="shared" si="144"/>
        <v>81355.214545243842</v>
      </c>
      <c r="T321" s="79">
        <f t="shared" si="144"/>
        <v>155.36226476198738</v>
      </c>
      <c r="U321" s="79">
        <f t="shared" si="144"/>
        <v>852.13848248241561</v>
      </c>
      <c r="V321" s="79">
        <f t="shared" si="144"/>
        <v>0</v>
      </c>
      <c r="W321" s="79">
        <f t="shared" si="144"/>
        <v>0</v>
      </c>
      <c r="X321" s="63">
        <f t="shared" si="144"/>
        <v>0</v>
      </c>
      <c r="Y321" s="63">
        <f t="shared" si="144"/>
        <v>0</v>
      </c>
      <c r="Z321" s="63">
        <f t="shared" si="144"/>
        <v>0</v>
      </c>
      <c r="AA321" s="63">
        <f t="shared" si="145"/>
        <v>3551287.1257454678</v>
      </c>
      <c r="AB321" s="58" t="str">
        <f t="shared" si="146"/>
        <v>ok</v>
      </c>
    </row>
    <row r="322" spans="1:28">
      <c r="A322" s="60" t="s">
        <v>378</v>
      </c>
      <c r="D322" s="60" t="s">
        <v>522</v>
      </c>
      <c r="F322" s="76">
        <f>SUM(F317:F321)</f>
        <v>27916921.472899519</v>
      </c>
      <c r="G322" s="76">
        <f t="shared" ref="G322:W322" si="147">SUM(G317:G321)</f>
        <v>20787998.098986529</v>
      </c>
      <c r="H322" s="76">
        <f t="shared" si="147"/>
        <v>3365231.9078853372</v>
      </c>
      <c r="I322" s="76">
        <f t="shared" si="147"/>
        <v>0</v>
      </c>
      <c r="J322" s="76">
        <f t="shared" si="147"/>
        <v>106620.11640942207</v>
      </c>
      <c r="K322" s="76">
        <f t="shared" si="147"/>
        <v>1301190.3318825506</v>
      </c>
      <c r="L322" s="76">
        <f t="shared" si="147"/>
        <v>0</v>
      </c>
      <c r="M322" s="76">
        <f t="shared" si="147"/>
        <v>0</v>
      </c>
      <c r="N322" s="76">
        <f t="shared" si="147"/>
        <v>1104774.7750330889</v>
      </c>
      <c r="O322" s="76">
        <f>SUM(O317:O321)</f>
        <v>662791.30218417116</v>
      </c>
      <c r="P322" s="76">
        <f t="shared" si="147"/>
        <v>0</v>
      </c>
      <c r="Q322" s="76">
        <f t="shared" si="147"/>
        <v>68314.299072830516</v>
      </c>
      <c r="R322" s="76">
        <f t="shared" si="147"/>
        <v>35771.95227296251</v>
      </c>
      <c r="S322" s="76">
        <f t="shared" si="147"/>
        <v>475384.97662218736</v>
      </c>
      <c r="T322" s="76">
        <f t="shared" si="147"/>
        <v>3510.0536523993173</v>
      </c>
      <c r="U322" s="76">
        <f t="shared" si="147"/>
        <v>5333.6588980373199</v>
      </c>
      <c r="V322" s="76">
        <f t="shared" si="147"/>
        <v>0</v>
      </c>
      <c r="W322" s="76">
        <f t="shared" si="147"/>
        <v>0</v>
      </c>
      <c r="X322" s="62">
        <f>SUM(X317:X321)</f>
        <v>0</v>
      </c>
      <c r="Y322" s="62">
        <f>SUM(Y317:Y321)</f>
        <v>0</v>
      </c>
      <c r="Z322" s="62">
        <f>SUM(Z317:Z321)</f>
        <v>0</v>
      </c>
      <c r="AA322" s="64">
        <f t="shared" si="145"/>
        <v>27916921.472899515</v>
      </c>
      <c r="AB322" s="58" t="str">
        <f t="shared" si="146"/>
        <v>ok</v>
      </c>
    </row>
    <row r="323" spans="1:28">
      <c r="F323" s="79"/>
    </row>
    <row r="324" spans="1:28" ht="15">
      <c r="A324" s="65" t="s">
        <v>634</v>
      </c>
      <c r="F324" s="79"/>
    </row>
    <row r="325" spans="1:28">
      <c r="A325" s="68" t="s">
        <v>1090</v>
      </c>
      <c r="C325" s="60" t="s">
        <v>1073</v>
      </c>
      <c r="D325" s="60" t="s">
        <v>523</v>
      </c>
      <c r="E325" s="60" t="s">
        <v>1336</v>
      </c>
      <c r="F325" s="76">
        <f>VLOOKUP(C325,'Functional Assignment'!$C$2:$AP$780,'Functional Assignment'!$X$2,)</f>
        <v>3230303.464011176</v>
      </c>
      <c r="G325" s="76">
        <f t="shared" ref="G325:P326" si="148">IF(VLOOKUP($E325,$D$6:$AN$1131,3,)=0,0,(VLOOKUP($E325,$D$6:$AN$1131,G$2,)/VLOOKUP($E325,$D$6:$AN$1131,3,))*$F325)</f>
        <v>2241186.9060360873</v>
      </c>
      <c r="H325" s="76">
        <f t="shared" si="148"/>
        <v>410127.09532255126</v>
      </c>
      <c r="I325" s="76">
        <f t="shared" si="148"/>
        <v>0</v>
      </c>
      <c r="J325" s="76">
        <f t="shared" si="148"/>
        <v>0</v>
      </c>
      <c r="K325" s="76">
        <f t="shared" si="148"/>
        <v>361201.83749819291</v>
      </c>
      <c r="L325" s="76">
        <f t="shared" si="148"/>
        <v>0</v>
      </c>
      <c r="M325" s="76">
        <f t="shared" si="148"/>
        <v>0</v>
      </c>
      <c r="N325" s="76">
        <f t="shared" si="148"/>
        <v>0</v>
      </c>
      <c r="O325" s="76">
        <f t="shared" si="148"/>
        <v>198504.0440070871</v>
      </c>
      <c r="P325" s="76">
        <f t="shared" si="148"/>
        <v>0</v>
      </c>
      <c r="Q325" s="76">
        <f t="shared" ref="Q325:Z326" si="149">IF(VLOOKUP($E325,$D$6:$AN$1131,3,)=0,0,(VLOOKUP($E325,$D$6:$AN$1131,Q$2,)/VLOOKUP($E325,$D$6:$AN$1131,3,))*$F325)</f>
        <v>0</v>
      </c>
      <c r="R325" s="76">
        <f t="shared" si="149"/>
        <v>0</v>
      </c>
      <c r="S325" s="76">
        <f t="shared" si="149"/>
        <v>18425.819468840473</v>
      </c>
      <c r="T325" s="76">
        <f t="shared" si="149"/>
        <v>589.31089545692384</v>
      </c>
      <c r="U325" s="76">
        <f t="shared" si="149"/>
        <v>268.45078296057761</v>
      </c>
      <c r="V325" s="76">
        <f t="shared" si="149"/>
        <v>0</v>
      </c>
      <c r="W325" s="76">
        <f t="shared" si="149"/>
        <v>0</v>
      </c>
      <c r="X325" s="62">
        <f t="shared" si="149"/>
        <v>0</v>
      </c>
      <c r="Y325" s="62">
        <f t="shared" si="149"/>
        <v>0</v>
      </c>
      <c r="Z325" s="62">
        <f t="shared" si="149"/>
        <v>0</v>
      </c>
      <c r="AA325" s="64">
        <f>SUM(G325:Z325)</f>
        <v>3230303.4640111765</v>
      </c>
      <c r="AB325" s="58" t="str">
        <f>IF(ABS(F325-AA325)&lt;0.01,"ok","err")</f>
        <v>ok</v>
      </c>
    </row>
    <row r="326" spans="1:28">
      <c r="A326" s="68" t="s">
        <v>1093</v>
      </c>
      <c r="C326" s="60" t="s">
        <v>1073</v>
      </c>
      <c r="D326" s="60" t="s">
        <v>524</v>
      </c>
      <c r="E326" s="60" t="s">
        <v>1334</v>
      </c>
      <c r="F326" s="79">
        <f>VLOOKUP(C326,'Functional Assignment'!$C$2:$AP$780,'Functional Assignment'!$Y$2,)</f>
        <v>2259120.3319751727</v>
      </c>
      <c r="G326" s="79">
        <f t="shared" si="148"/>
        <v>1948445.6444739888</v>
      </c>
      <c r="H326" s="79">
        <f t="shared" si="148"/>
        <v>242075.29963056819</v>
      </c>
      <c r="I326" s="79">
        <f t="shared" si="148"/>
        <v>0</v>
      </c>
      <c r="J326" s="79">
        <f t="shared" si="148"/>
        <v>0</v>
      </c>
      <c r="K326" s="79">
        <f t="shared" si="148"/>
        <v>15112.872030417497</v>
      </c>
      <c r="L326" s="79">
        <f t="shared" si="148"/>
        <v>0</v>
      </c>
      <c r="M326" s="79">
        <f t="shared" si="148"/>
        <v>0</v>
      </c>
      <c r="N326" s="79">
        <f t="shared" si="148"/>
        <v>0</v>
      </c>
      <c r="O326" s="79">
        <f t="shared" si="148"/>
        <v>1476.9499015857998</v>
      </c>
      <c r="P326" s="79">
        <f t="shared" si="148"/>
        <v>0</v>
      </c>
      <c r="Q326" s="79">
        <f t="shared" si="149"/>
        <v>0</v>
      </c>
      <c r="R326" s="79">
        <f t="shared" si="149"/>
        <v>0</v>
      </c>
      <c r="S326" s="79">
        <f t="shared" si="149"/>
        <v>51373.359660554059</v>
      </c>
      <c r="T326" s="79">
        <f t="shared" si="149"/>
        <v>98.106575588428711</v>
      </c>
      <c r="U326" s="79">
        <f t="shared" si="149"/>
        <v>538.09970246986666</v>
      </c>
      <c r="V326" s="79">
        <f t="shared" si="149"/>
        <v>0</v>
      </c>
      <c r="W326" s="79">
        <f t="shared" si="149"/>
        <v>0</v>
      </c>
      <c r="X326" s="63">
        <f t="shared" si="149"/>
        <v>0</v>
      </c>
      <c r="Y326" s="63">
        <f t="shared" si="149"/>
        <v>0</v>
      </c>
      <c r="Z326" s="63">
        <f t="shared" si="149"/>
        <v>0</v>
      </c>
      <c r="AA326" s="63">
        <f>SUM(G326:Z326)</f>
        <v>2259120.3319751727</v>
      </c>
      <c r="AB326" s="58" t="str">
        <f>IF(ABS(F326-AA326)&lt;0.01,"ok","err")</f>
        <v>ok</v>
      </c>
    </row>
    <row r="327" spans="1:28">
      <c r="A327" s="60" t="s">
        <v>712</v>
      </c>
      <c r="D327" s="60" t="s">
        <v>525</v>
      </c>
      <c r="F327" s="76">
        <f>F325+F326</f>
        <v>5489423.7959863488</v>
      </c>
      <c r="G327" s="76">
        <f t="shared" ref="G327:W327" si="150">G325+G326</f>
        <v>4189632.5505100759</v>
      </c>
      <c r="H327" s="76">
        <f t="shared" si="150"/>
        <v>652202.39495311945</v>
      </c>
      <c r="I327" s="76">
        <f t="shared" si="150"/>
        <v>0</v>
      </c>
      <c r="J327" s="76">
        <f t="shared" si="150"/>
        <v>0</v>
      </c>
      <c r="K327" s="76">
        <f t="shared" si="150"/>
        <v>376314.7095286104</v>
      </c>
      <c r="L327" s="76">
        <f t="shared" si="150"/>
        <v>0</v>
      </c>
      <c r="M327" s="76">
        <f t="shared" si="150"/>
        <v>0</v>
      </c>
      <c r="N327" s="76">
        <f t="shared" si="150"/>
        <v>0</v>
      </c>
      <c r="O327" s="76">
        <f>O325+O326</f>
        <v>199980.99390867288</v>
      </c>
      <c r="P327" s="76">
        <f t="shared" si="150"/>
        <v>0</v>
      </c>
      <c r="Q327" s="76">
        <f t="shared" si="150"/>
        <v>0</v>
      </c>
      <c r="R327" s="76">
        <f t="shared" si="150"/>
        <v>0</v>
      </c>
      <c r="S327" s="76">
        <f t="shared" si="150"/>
        <v>69799.179129394528</v>
      </c>
      <c r="T327" s="76">
        <f t="shared" si="150"/>
        <v>687.41747104535261</v>
      </c>
      <c r="U327" s="76">
        <f t="shared" si="150"/>
        <v>806.55048543044427</v>
      </c>
      <c r="V327" s="76">
        <f t="shared" si="150"/>
        <v>0</v>
      </c>
      <c r="W327" s="76">
        <f t="shared" si="150"/>
        <v>0</v>
      </c>
      <c r="X327" s="62">
        <f>X325+X326</f>
        <v>0</v>
      </c>
      <c r="Y327" s="62">
        <f>Y325+Y326</f>
        <v>0</v>
      </c>
      <c r="Z327" s="62">
        <f>Z325+Z326</f>
        <v>0</v>
      </c>
      <c r="AA327" s="64">
        <f>SUM(G327:Z327)</f>
        <v>5489423.7959863488</v>
      </c>
      <c r="AB327" s="58" t="str">
        <f>IF(ABS(F327-AA327)&lt;0.01,"ok","err")</f>
        <v>ok</v>
      </c>
    </row>
    <row r="328" spans="1:28">
      <c r="F328" s="79"/>
    </row>
    <row r="329" spans="1:28" ht="15">
      <c r="A329" s="65" t="s">
        <v>354</v>
      </c>
      <c r="F329" s="79"/>
    </row>
    <row r="330" spans="1:28">
      <c r="A330" s="68" t="s">
        <v>1093</v>
      </c>
      <c r="C330" s="60" t="s">
        <v>1073</v>
      </c>
      <c r="D330" s="60" t="s">
        <v>526</v>
      </c>
      <c r="E330" s="60" t="s">
        <v>1095</v>
      </c>
      <c r="F330" s="76">
        <f>VLOOKUP(C330,'Functional Assignment'!$C$2:$AP$780,'Functional Assignment'!$Z$2,)</f>
        <v>1121921.3970883086</v>
      </c>
      <c r="G330" s="76">
        <f t="shared" ref="G330:Z330" si="151">IF(VLOOKUP($E330,$D$6:$AN$1131,3,)=0,0,(VLOOKUP($E330,$D$6:$AN$1131,G$2,)/VLOOKUP($E330,$D$6:$AN$1131,3,))*$F330)</f>
        <v>862327.18603707431</v>
      </c>
      <c r="H330" s="76">
        <f t="shared" si="151"/>
        <v>217020.38436520658</v>
      </c>
      <c r="I330" s="76">
        <f t="shared" si="151"/>
        <v>0</v>
      </c>
      <c r="J330" s="76">
        <f t="shared" si="151"/>
        <v>0</v>
      </c>
      <c r="K330" s="76">
        <f t="shared" si="151"/>
        <v>37860.596574806492</v>
      </c>
      <c r="L330" s="76">
        <f t="shared" si="151"/>
        <v>0</v>
      </c>
      <c r="M330" s="76">
        <f t="shared" si="151"/>
        <v>0</v>
      </c>
      <c r="N330" s="76">
        <f t="shared" si="151"/>
        <v>0</v>
      </c>
      <c r="O330" s="76">
        <f t="shared" si="151"/>
        <v>4713.2301112210152</v>
      </c>
      <c r="P330" s="76">
        <f t="shared" si="151"/>
        <v>0</v>
      </c>
      <c r="Q330" s="76">
        <f t="shared" si="151"/>
        <v>0</v>
      </c>
      <c r="R330" s="76">
        <f t="shared" si="151"/>
        <v>0</v>
      </c>
      <c r="S330" s="76">
        <f t="shared" si="151"/>
        <v>0</v>
      </c>
      <c r="T330" s="76">
        <f t="shared" si="151"/>
        <v>0</v>
      </c>
      <c r="U330" s="76">
        <f t="shared" si="151"/>
        <v>0</v>
      </c>
      <c r="V330" s="76">
        <f t="shared" si="151"/>
        <v>0</v>
      </c>
      <c r="W330" s="76">
        <f t="shared" si="151"/>
        <v>0</v>
      </c>
      <c r="X330" s="62">
        <f t="shared" si="151"/>
        <v>0</v>
      </c>
      <c r="Y330" s="62">
        <f t="shared" si="151"/>
        <v>0</v>
      </c>
      <c r="Z330" s="62">
        <f t="shared" si="151"/>
        <v>0</v>
      </c>
      <c r="AA330" s="64">
        <f>SUM(G330:Z330)</f>
        <v>1121921.3970883086</v>
      </c>
      <c r="AB330" s="58" t="str">
        <f>IF(ABS(F330-AA330)&lt;0.01,"ok","err")</f>
        <v>ok</v>
      </c>
    </row>
    <row r="331" spans="1:28">
      <c r="F331" s="79"/>
    </row>
    <row r="332" spans="1:28" ht="15">
      <c r="A332" s="65" t="s">
        <v>353</v>
      </c>
      <c r="F332" s="79"/>
    </row>
    <row r="333" spans="1:28">
      <c r="A333" s="68" t="s">
        <v>1093</v>
      </c>
      <c r="C333" s="60" t="s">
        <v>1073</v>
      </c>
      <c r="D333" s="60" t="s">
        <v>527</v>
      </c>
      <c r="E333" s="60" t="s">
        <v>1096</v>
      </c>
      <c r="F333" s="76">
        <f>VLOOKUP(C333,'Functional Assignment'!$C$2:$AP$780,'Functional Assignment'!$AA$2,)</f>
        <v>1301397.4831913491</v>
      </c>
      <c r="G333" s="76">
        <f t="shared" ref="G333:Z333" si="152">IF(VLOOKUP($E333,$D$6:$AN$1131,3,)=0,0,(VLOOKUP($E333,$D$6:$AN$1131,G$2,)/VLOOKUP($E333,$D$6:$AN$1131,3,))*$F333)</f>
        <v>910874.07727906585</v>
      </c>
      <c r="H333" s="76">
        <f t="shared" si="152"/>
        <v>267802.20714278496</v>
      </c>
      <c r="I333" s="76">
        <f t="shared" si="152"/>
        <v>0</v>
      </c>
      <c r="J333" s="76">
        <f t="shared" si="152"/>
        <v>10425.103719729314</v>
      </c>
      <c r="K333" s="76">
        <f t="shared" si="152"/>
        <v>72041.346807462018</v>
      </c>
      <c r="L333" s="76">
        <f t="shared" si="152"/>
        <v>0</v>
      </c>
      <c r="M333" s="76">
        <f t="shared" si="152"/>
        <v>0</v>
      </c>
      <c r="N333" s="76">
        <f t="shared" si="152"/>
        <v>16324.722697761943</v>
      </c>
      <c r="O333" s="76">
        <f t="shared" si="152"/>
        <v>7589.5034352562661</v>
      </c>
      <c r="P333" s="76">
        <f t="shared" si="152"/>
        <v>13354.282075087158</v>
      </c>
      <c r="Q333" s="76">
        <f t="shared" si="152"/>
        <v>154.73670803565824</v>
      </c>
      <c r="R333" s="76">
        <f t="shared" si="152"/>
        <v>154.73670803565824</v>
      </c>
      <c r="S333" s="76">
        <f t="shared" si="152"/>
        <v>0</v>
      </c>
      <c r="T333" s="76">
        <f t="shared" si="152"/>
        <v>412.77242242197286</v>
      </c>
      <c r="U333" s="76">
        <f t="shared" si="152"/>
        <v>2263.994195708397</v>
      </c>
      <c r="V333" s="76">
        <f t="shared" si="152"/>
        <v>0</v>
      </c>
      <c r="W333" s="76">
        <f t="shared" si="152"/>
        <v>0</v>
      </c>
      <c r="X333" s="62">
        <f t="shared" si="152"/>
        <v>0</v>
      </c>
      <c r="Y333" s="62">
        <f t="shared" si="152"/>
        <v>0</v>
      </c>
      <c r="Z333" s="62">
        <f t="shared" si="152"/>
        <v>0</v>
      </c>
      <c r="AA333" s="64">
        <f>SUM(G333:Z333)</f>
        <v>1301397.4831913488</v>
      </c>
      <c r="AB333" s="58" t="str">
        <f>IF(ABS(F333-AA333)&lt;0.01,"ok","err")</f>
        <v>ok</v>
      </c>
    </row>
    <row r="334" spans="1:28">
      <c r="F334" s="79"/>
    </row>
    <row r="335" spans="1:28" ht="15">
      <c r="A335" s="65" t="s">
        <v>371</v>
      </c>
      <c r="F335" s="79"/>
    </row>
    <row r="336" spans="1:28">
      <c r="A336" s="68" t="s">
        <v>1093</v>
      </c>
      <c r="C336" s="60" t="s">
        <v>1073</v>
      </c>
      <c r="D336" s="60" t="s">
        <v>528</v>
      </c>
      <c r="E336" s="60" t="s">
        <v>1097</v>
      </c>
      <c r="F336" s="76">
        <f>VLOOKUP(C336,'Functional Assignment'!$C$2:$AP$780,'Functional Assignment'!$AB$2,)</f>
        <v>3565925.2438173825</v>
      </c>
      <c r="G336" s="76">
        <f t="shared" ref="G336:Z336" si="153">IF(VLOOKUP($E336,$D$6:$AN$1131,3,)=0,0,(VLOOKUP($E336,$D$6:$AN$1131,G$2,)/VLOOKUP($E336,$D$6:$AN$1131,3,))*$F336)</f>
        <v>0</v>
      </c>
      <c r="H336" s="76">
        <f t="shared" si="153"/>
        <v>0</v>
      </c>
      <c r="I336" s="76">
        <f t="shared" si="153"/>
        <v>0</v>
      </c>
      <c r="J336" s="76">
        <f t="shared" si="153"/>
        <v>0</v>
      </c>
      <c r="K336" s="76">
        <f t="shared" si="153"/>
        <v>0</v>
      </c>
      <c r="L336" s="76">
        <f t="shared" si="153"/>
        <v>0</v>
      </c>
      <c r="M336" s="76">
        <f t="shared" si="153"/>
        <v>0</v>
      </c>
      <c r="N336" s="76">
        <f t="shared" si="153"/>
        <v>0</v>
      </c>
      <c r="O336" s="76">
        <f t="shared" si="153"/>
        <v>0</v>
      </c>
      <c r="P336" s="76">
        <f t="shared" si="153"/>
        <v>0</v>
      </c>
      <c r="Q336" s="76">
        <f t="shared" si="153"/>
        <v>0</v>
      </c>
      <c r="R336" s="76">
        <f t="shared" si="153"/>
        <v>0</v>
      </c>
      <c r="S336" s="76">
        <f t="shared" si="153"/>
        <v>3565925.2438173825</v>
      </c>
      <c r="T336" s="76">
        <f t="shared" si="153"/>
        <v>0</v>
      </c>
      <c r="U336" s="76">
        <f t="shared" si="153"/>
        <v>0</v>
      </c>
      <c r="V336" s="76">
        <f t="shared" si="153"/>
        <v>0</v>
      </c>
      <c r="W336" s="76">
        <f t="shared" si="153"/>
        <v>0</v>
      </c>
      <c r="X336" s="62">
        <f t="shared" si="153"/>
        <v>0</v>
      </c>
      <c r="Y336" s="62">
        <f t="shared" si="153"/>
        <v>0</v>
      </c>
      <c r="Z336" s="62">
        <f t="shared" si="153"/>
        <v>0</v>
      </c>
      <c r="AA336" s="64">
        <f>SUM(G336:Z336)</f>
        <v>3565925.2438173825</v>
      </c>
      <c r="AB336" s="58" t="str">
        <f>IF(ABS(F336-AA336)&lt;0.01,"ok","err")</f>
        <v>ok</v>
      </c>
    </row>
    <row r="337" spans="1:28">
      <c r="F337" s="79"/>
    </row>
    <row r="338" spans="1:28" ht="15">
      <c r="A338" s="65" t="s">
        <v>1025</v>
      </c>
      <c r="F338" s="79"/>
    </row>
    <row r="339" spans="1:28">
      <c r="A339" s="68" t="s">
        <v>1093</v>
      </c>
      <c r="C339" s="60" t="s">
        <v>1073</v>
      </c>
      <c r="D339" s="60" t="s">
        <v>529</v>
      </c>
      <c r="E339" s="60" t="s">
        <v>1098</v>
      </c>
      <c r="F339" s="76">
        <f>VLOOKUP(C339,'Functional Assignment'!$C$2:$AP$780,'Functional Assignment'!$AC$2,)</f>
        <v>0</v>
      </c>
      <c r="G339" s="76">
        <f t="shared" ref="G339:Z339" si="154">IF(VLOOKUP($E339,$D$6:$AN$1131,3,)=0,0,(VLOOKUP($E339,$D$6:$AN$1131,G$2,)/VLOOKUP($E339,$D$6:$AN$1131,3,))*$F339)</f>
        <v>0</v>
      </c>
      <c r="H339" s="76">
        <f t="shared" si="154"/>
        <v>0</v>
      </c>
      <c r="I339" s="76">
        <f t="shared" si="154"/>
        <v>0</v>
      </c>
      <c r="J339" s="76">
        <f t="shared" si="154"/>
        <v>0</v>
      </c>
      <c r="K339" s="76">
        <f t="shared" si="154"/>
        <v>0</v>
      </c>
      <c r="L339" s="76">
        <f t="shared" si="154"/>
        <v>0</v>
      </c>
      <c r="M339" s="76">
        <f t="shared" si="154"/>
        <v>0</v>
      </c>
      <c r="N339" s="76">
        <f t="shared" si="154"/>
        <v>0</v>
      </c>
      <c r="O339" s="76">
        <f t="shared" si="154"/>
        <v>0</v>
      </c>
      <c r="P339" s="76">
        <f t="shared" si="154"/>
        <v>0</v>
      </c>
      <c r="Q339" s="76">
        <f t="shared" si="154"/>
        <v>0</v>
      </c>
      <c r="R339" s="76">
        <f t="shared" si="154"/>
        <v>0</v>
      </c>
      <c r="S339" s="76">
        <f t="shared" si="154"/>
        <v>0</v>
      </c>
      <c r="T339" s="76">
        <f t="shared" si="154"/>
        <v>0</v>
      </c>
      <c r="U339" s="76">
        <f t="shared" si="154"/>
        <v>0</v>
      </c>
      <c r="V339" s="76">
        <f t="shared" si="154"/>
        <v>0</v>
      </c>
      <c r="W339" s="76">
        <f t="shared" si="154"/>
        <v>0</v>
      </c>
      <c r="X339" s="62">
        <f t="shared" si="154"/>
        <v>0</v>
      </c>
      <c r="Y339" s="62">
        <f t="shared" si="154"/>
        <v>0</v>
      </c>
      <c r="Z339" s="62">
        <f t="shared" si="154"/>
        <v>0</v>
      </c>
      <c r="AA339" s="64">
        <f>SUM(G339:Z339)</f>
        <v>0</v>
      </c>
      <c r="AB339" s="58" t="str">
        <f>IF(ABS(F339-AA339)&lt;0.01,"ok","err")</f>
        <v>ok</v>
      </c>
    </row>
    <row r="340" spans="1:28">
      <c r="F340" s="79"/>
    </row>
    <row r="341" spans="1:28" ht="15">
      <c r="A341" s="65" t="s">
        <v>351</v>
      </c>
      <c r="F341" s="79"/>
    </row>
    <row r="342" spans="1:28">
      <c r="A342" s="68" t="s">
        <v>1093</v>
      </c>
      <c r="C342" s="60" t="s">
        <v>1073</v>
      </c>
      <c r="D342" s="60" t="s">
        <v>530</v>
      </c>
      <c r="E342" s="60" t="s">
        <v>1098</v>
      </c>
      <c r="F342" s="76">
        <f>VLOOKUP(C342,'Functional Assignment'!$C$2:$AP$780,'Functional Assignment'!$AD$2,)</f>
        <v>0</v>
      </c>
      <c r="G342" s="76">
        <f t="shared" ref="G342:Z342" si="155">IF(VLOOKUP($E342,$D$6:$AN$1131,3,)=0,0,(VLOOKUP($E342,$D$6:$AN$1131,G$2,)/VLOOKUP($E342,$D$6:$AN$1131,3,))*$F342)</f>
        <v>0</v>
      </c>
      <c r="H342" s="76">
        <f t="shared" si="155"/>
        <v>0</v>
      </c>
      <c r="I342" s="76">
        <f t="shared" si="155"/>
        <v>0</v>
      </c>
      <c r="J342" s="76">
        <f t="shared" si="155"/>
        <v>0</v>
      </c>
      <c r="K342" s="76">
        <f t="shared" si="155"/>
        <v>0</v>
      </c>
      <c r="L342" s="76">
        <f t="shared" si="155"/>
        <v>0</v>
      </c>
      <c r="M342" s="76">
        <f t="shared" si="155"/>
        <v>0</v>
      </c>
      <c r="N342" s="76">
        <f t="shared" si="155"/>
        <v>0</v>
      </c>
      <c r="O342" s="76">
        <f t="shared" si="155"/>
        <v>0</v>
      </c>
      <c r="P342" s="76">
        <f t="shared" si="155"/>
        <v>0</v>
      </c>
      <c r="Q342" s="76">
        <f t="shared" si="155"/>
        <v>0</v>
      </c>
      <c r="R342" s="76">
        <f t="shared" si="155"/>
        <v>0</v>
      </c>
      <c r="S342" s="76">
        <f t="shared" si="155"/>
        <v>0</v>
      </c>
      <c r="T342" s="76">
        <f t="shared" si="155"/>
        <v>0</v>
      </c>
      <c r="U342" s="76">
        <f t="shared" si="155"/>
        <v>0</v>
      </c>
      <c r="V342" s="76">
        <f t="shared" si="155"/>
        <v>0</v>
      </c>
      <c r="W342" s="76">
        <f t="shared" si="155"/>
        <v>0</v>
      </c>
      <c r="X342" s="62">
        <f t="shared" si="155"/>
        <v>0</v>
      </c>
      <c r="Y342" s="62">
        <f t="shared" si="155"/>
        <v>0</v>
      </c>
      <c r="Z342" s="62">
        <f t="shared" si="155"/>
        <v>0</v>
      </c>
      <c r="AA342" s="64">
        <f>SUM(G342:Z342)</f>
        <v>0</v>
      </c>
      <c r="AB342" s="58" t="str">
        <f>IF(ABS(F342-AA342)&lt;0.01,"ok","err")</f>
        <v>ok</v>
      </c>
    </row>
    <row r="343" spans="1:28">
      <c r="F343" s="79"/>
    </row>
    <row r="344" spans="1:28" ht="15">
      <c r="A344" s="65" t="s">
        <v>350</v>
      </c>
      <c r="F344" s="79"/>
    </row>
    <row r="345" spans="1:28">
      <c r="A345" s="68" t="s">
        <v>1093</v>
      </c>
      <c r="C345" s="60" t="s">
        <v>1073</v>
      </c>
      <c r="D345" s="60" t="s">
        <v>531</v>
      </c>
      <c r="E345" s="60" t="s">
        <v>1099</v>
      </c>
      <c r="F345" s="76">
        <f>VLOOKUP(C345,'Functional Assignment'!$C$2:$AP$780,'Functional Assignment'!$AE$2,)</f>
        <v>0</v>
      </c>
      <c r="G345" s="76">
        <f t="shared" ref="G345:Z345" si="156">IF(VLOOKUP($E345,$D$6:$AN$1131,3,)=0,0,(VLOOKUP($E345,$D$6:$AN$1131,G$2,)/VLOOKUP($E345,$D$6:$AN$1131,3,))*$F345)</f>
        <v>0</v>
      </c>
      <c r="H345" s="76">
        <f t="shared" si="156"/>
        <v>0</v>
      </c>
      <c r="I345" s="76">
        <f t="shared" si="156"/>
        <v>0</v>
      </c>
      <c r="J345" s="76">
        <f t="shared" si="156"/>
        <v>0</v>
      </c>
      <c r="K345" s="76">
        <f t="shared" si="156"/>
        <v>0</v>
      </c>
      <c r="L345" s="76">
        <f t="shared" si="156"/>
        <v>0</v>
      </c>
      <c r="M345" s="76">
        <f t="shared" si="156"/>
        <v>0</v>
      </c>
      <c r="N345" s="76">
        <f t="shared" si="156"/>
        <v>0</v>
      </c>
      <c r="O345" s="76">
        <f t="shared" si="156"/>
        <v>0</v>
      </c>
      <c r="P345" s="76">
        <f t="shared" si="156"/>
        <v>0</v>
      </c>
      <c r="Q345" s="76">
        <f t="shared" si="156"/>
        <v>0</v>
      </c>
      <c r="R345" s="76">
        <f t="shared" si="156"/>
        <v>0</v>
      </c>
      <c r="S345" s="76">
        <f t="shared" si="156"/>
        <v>0</v>
      </c>
      <c r="T345" s="76">
        <f t="shared" si="156"/>
        <v>0</v>
      </c>
      <c r="U345" s="76">
        <f t="shared" si="156"/>
        <v>0</v>
      </c>
      <c r="V345" s="76">
        <f t="shared" si="156"/>
        <v>0</v>
      </c>
      <c r="W345" s="76">
        <f t="shared" si="156"/>
        <v>0</v>
      </c>
      <c r="X345" s="62">
        <f t="shared" si="156"/>
        <v>0</v>
      </c>
      <c r="Y345" s="62">
        <f t="shared" si="156"/>
        <v>0</v>
      </c>
      <c r="Z345" s="62">
        <f t="shared" si="156"/>
        <v>0</v>
      </c>
      <c r="AA345" s="64">
        <f>SUM(G345:Z345)</f>
        <v>0</v>
      </c>
      <c r="AB345" s="58" t="str">
        <f>IF(ABS(F345-AA345)&lt;0.01,"ok","err")</f>
        <v>ok</v>
      </c>
    </row>
    <row r="346" spans="1:28">
      <c r="F346" s="79"/>
    </row>
    <row r="347" spans="1:28">
      <c r="A347" s="60" t="s">
        <v>922</v>
      </c>
      <c r="D347" s="60" t="s">
        <v>532</v>
      </c>
      <c r="F347" s="76">
        <f>F302+F308+F311+F314+F322+F327+F330+F333+F336+F339+F342+F345</f>
        <v>138842526.50563762</v>
      </c>
      <c r="G347" s="76">
        <f t="shared" ref="G347:Z347" si="157">G302+G308+G311+G314+G322+G327+G330+G333+G336+G339+G342+G345</f>
        <v>66956528.663069092</v>
      </c>
      <c r="H347" s="76">
        <f t="shared" si="157"/>
        <v>17662359.026010059</v>
      </c>
      <c r="I347" s="76">
        <f t="shared" si="157"/>
        <v>0</v>
      </c>
      <c r="J347" s="76">
        <f t="shared" si="157"/>
        <v>1319207.819514378</v>
      </c>
      <c r="K347" s="76">
        <f t="shared" si="157"/>
        <v>17047245.359047126</v>
      </c>
      <c r="L347" s="76">
        <f t="shared" si="157"/>
        <v>0</v>
      </c>
      <c r="M347" s="76">
        <f t="shared" si="157"/>
        <v>0</v>
      </c>
      <c r="N347" s="76">
        <f t="shared" si="157"/>
        <v>14147537.382176131</v>
      </c>
      <c r="O347" s="76">
        <f>O302+O308+O311+O314+O322+O327+O330+O333+O336+O339+O342+O345</f>
        <v>8439638.5688393302</v>
      </c>
      <c r="P347" s="76">
        <f t="shared" si="157"/>
        <v>7431299.1513437964</v>
      </c>
      <c r="Q347" s="76">
        <f t="shared" si="157"/>
        <v>890538.01548429963</v>
      </c>
      <c r="R347" s="76">
        <f t="shared" si="157"/>
        <v>410588.53529443557</v>
      </c>
      <c r="S347" s="76">
        <f t="shared" si="157"/>
        <v>4493023.2657757187</v>
      </c>
      <c r="T347" s="76">
        <f t="shared" si="157"/>
        <v>16978.565610219943</v>
      </c>
      <c r="U347" s="76">
        <f t="shared" si="157"/>
        <v>27582.153473022237</v>
      </c>
      <c r="V347" s="76">
        <f t="shared" si="157"/>
        <v>0</v>
      </c>
      <c r="W347" s="76">
        <f t="shared" si="157"/>
        <v>0</v>
      </c>
      <c r="X347" s="62">
        <f t="shared" si="157"/>
        <v>0</v>
      </c>
      <c r="Y347" s="62">
        <f t="shared" si="157"/>
        <v>0</v>
      </c>
      <c r="Z347" s="62">
        <f t="shared" si="157"/>
        <v>0</v>
      </c>
      <c r="AA347" s="64">
        <f>SUM(G347:Z347)</f>
        <v>138842526.50563762</v>
      </c>
      <c r="AB347" s="58" t="str">
        <f>IF(ABS(F347-AA347)&lt;0.01,"ok","err")</f>
        <v>ok</v>
      </c>
    </row>
    <row r="350" spans="1:28" ht="15">
      <c r="A350" s="231" t="s">
        <v>759</v>
      </c>
    </row>
    <row r="352" spans="1:28" ht="15">
      <c r="A352" s="65" t="s">
        <v>364</v>
      </c>
    </row>
    <row r="353" spans="1:28">
      <c r="A353" s="68" t="s">
        <v>359</v>
      </c>
      <c r="C353" s="111" t="s">
        <v>765</v>
      </c>
      <c r="D353" s="60" t="s">
        <v>766</v>
      </c>
      <c r="E353" s="60" t="s">
        <v>869</v>
      </c>
      <c r="F353" s="76">
        <f>VLOOKUP(C353,'Functional Assignment'!$C$2:$AP$780,'Functional Assignment'!$H$2,)</f>
        <v>0</v>
      </c>
      <c r="G353" s="76">
        <f t="shared" ref="G353:P358" si="158">IF(VLOOKUP($E353,$D$6:$AN$1131,3,)=0,0,(VLOOKUP($E353,$D$6:$AN$1131,G$2,)/VLOOKUP($E353,$D$6:$AN$1131,3,))*$F353)</f>
        <v>0</v>
      </c>
      <c r="H353" s="76">
        <f t="shared" si="158"/>
        <v>0</v>
      </c>
      <c r="I353" s="76">
        <f t="shared" si="158"/>
        <v>0</v>
      </c>
      <c r="J353" s="76">
        <f t="shared" si="158"/>
        <v>0</v>
      </c>
      <c r="K353" s="76">
        <f t="shared" si="158"/>
        <v>0</v>
      </c>
      <c r="L353" s="76">
        <f t="shared" si="158"/>
        <v>0</v>
      </c>
      <c r="M353" s="76">
        <f t="shared" si="158"/>
        <v>0</v>
      </c>
      <c r="N353" s="76">
        <f t="shared" si="158"/>
        <v>0</v>
      </c>
      <c r="O353" s="76">
        <f t="shared" si="158"/>
        <v>0</v>
      </c>
      <c r="P353" s="76">
        <f t="shared" si="158"/>
        <v>0</v>
      </c>
      <c r="Q353" s="76">
        <f t="shared" ref="Q353:Z358" si="159">IF(VLOOKUP($E353,$D$6:$AN$1131,3,)=0,0,(VLOOKUP($E353,$D$6:$AN$1131,Q$2,)/VLOOKUP($E353,$D$6:$AN$1131,3,))*$F353)</f>
        <v>0</v>
      </c>
      <c r="R353" s="76">
        <f t="shared" si="159"/>
        <v>0</v>
      </c>
      <c r="S353" s="76">
        <f t="shared" si="159"/>
        <v>0</v>
      </c>
      <c r="T353" s="76">
        <f t="shared" si="159"/>
        <v>0</v>
      </c>
      <c r="U353" s="76">
        <f t="shared" si="159"/>
        <v>0</v>
      </c>
      <c r="V353" s="76">
        <f t="shared" si="159"/>
        <v>0</v>
      </c>
      <c r="W353" s="76">
        <f t="shared" si="159"/>
        <v>0</v>
      </c>
      <c r="X353" s="62">
        <f t="shared" si="159"/>
        <v>0</v>
      </c>
      <c r="Y353" s="62">
        <f t="shared" si="159"/>
        <v>0</v>
      </c>
      <c r="Z353" s="62">
        <f t="shared" si="159"/>
        <v>0</v>
      </c>
      <c r="AA353" s="64">
        <f t="shared" ref="AA353:AA359" si="160">SUM(G353:Z353)</f>
        <v>0</v>
      </c>
      <c r="AB353" s="58" t="str">
        <f t="shared" ref="AB353:AB359" si="161">IF(ABS(F353-AA353)&lt;0.01,"ok","err")</f>
        <v>ok</v>
      </c>
    </row>
    <row r="354" spans="1:28">
      <c r="A354" s="68" t="s">
        <v>1255</v>
      </c>
      <c r="C354" s="111" t="s">
        <v>765</v>
      </c>
      <c r="D354" s="60" t="s">
        <v>767</v>
      </c>
      <c r="E354" s="60" t="s">
        <v>188</v>
      </c>
      <c r="F354" s="79">
        <f>VLOOKUP(C354,'Functional Assignment'!$C$2:$AP$780,'Functional Assignment'!$I$2,)</f>
        <v>0</v>
      </c>
      <c r="G354" s="79">
        <f t="shared" si="158"/>
        <v>0</v>
      </c>
      <c r="H354" s="79">
        <f t="shared" si="158"/>
        <v>0</v>
      </c>
      <c r="I354" s="79">
        <f t="shared" si="158"/>
        <v>0</v>
      </c>
      <c r="J354" s="79">
        <f t="shared" si="158"/>
        <v>0</v>
      </c>
      <c r="K354" s="79">
        <f t="shared" si="158"/>
        <v>0</v>
      </c>
      <c r="L354" s="79">
        <f t="shared" si="158"/>
        <v>0</v>
      </c>
      <c r="M354" s="79">
        <f t="shared" si="158"/>
        <v>0</v>
      </c>
      <c r="N354" s="79">
        <f t="shared" si="158"/>
        <v>0</v>
      </c>
      <c r="O354" s="79">
        <f t="shared" si="158"/>
        <v>0</v>
      </c>
      <c r="P354" s="79">
        <f t="shared" si="158"/>
        <v>0</v>
      </c>
      <c r="Q354" s="79">
        <f t="shared" si="159"/>
        <v>0</v>
      </c>
      <c r="R354" s="79">
        <f t="shared" si="159"/>
        <v>0</v>
      </c>
      <c r="S354" s="79">
        <f t="shared" si="159"/>
        <v>0</v>
      </c>
      <c r="T354" s="79">
        <f t="shared" si="159"/>
        <v>0</v>
      </c>
      <c r="U354" s="79">
        <f t="shared" si="159"/>
        <v>0</v>
      </c>
      <c r="V354" s="79">
        <f t="shared" si="159"/>
        <v>0</v>
      </c>
      <c r="W354" s="79">
        <f t="shared" si="159"/>
        <v>0</v>
      </c>
      <c r="X354" s="63">
        <f t="shared" si="159"/>
        <v>0</v>
      </c>
      <c r="Y354" s="63">
        <f t="shared" si="159"/>
        <v>0</v>
      </c>
      <c r="Z354" s="63">
        <f t="shared" si="159"/>
        <v>0</v>
      </c>
      <c r="AA354" s="63">
        <f t="shared" si="160"/>
        <v>0</v>
      </c>
      <c r="AB354" s="58" t="str">
        <f t="shared" si="161"/>
        <v>ok</v>
      </c>
    </row>
    <row r="355" spans="1:28">
      <c r="A355" s="68" t="s">
        <v>1256</v>
      </c>
      <c r="C355" s="111" t="s">
        <v>765</v>
      </c>
      <c r="D355" s="60" t="s">
        <v>768</v>
      </c>
      <c r="E355" s="60" t="s">
        <v>191</v>
      </c>
      <c r="F355" s="79">
        <f>VLOOKUP(C355,'Functional Assignment'!$C$2:$AP$780,'Functional Assignment'!$J$2,)</f>
        <v>0</v>
      </c>
      <c r="G355" s="79">
        <f t="shared" si="158"/>
        <v>0</v>
      </c>
      <c r="H355" s="79">
        <f t="shared" si="158"/>
        <v>0</v>
      </c>
      <c r="I355" s="79">
        <f t="shared" si="158"/>
        <v>0</v>
      </c>
      <c r="J355" s="79">
        <f t="shared" si="158"/>
        <v>0</v>
      </c>
      <c r="K355" s="79">
        <f t="shared" si="158"/>
        <v>0</v>
      </c>
      <c r="L355" s="79">
        <f t="shared" si="158"/>
        <v>0</v>
      </c>
      <c r="M355" s="79">
        <f t="shared" si="158"/>
        <v>0</v>
      </c>
      <c r="N355" s="79">
        <f t="shared" si="158"/>
        <v>0</v>
      </c>
      <c r="O355" s="79">
        <f t="shared" si="158"/>
        <v>0</v>
      </c>
      <c r="P355" s="79">
        <f t="shared" si="158"/>
        <v>0</v>
      </c>
      <c r="Q355" s="79">
        <f t="shared" si="159"/>
        <v>0</v>
      </c>
      <c r="R355" s="79">
        <f t="shared" si="159"/>
        <v>0</v>
      </c>
      <c r="S355" s="79">
        <f t="shared" si="159"/>
        <v>0</v>
      </c>
      <c r="T355" s="79">
        <f t="shared" si="159"/>
        <v>0</v>
      </c>
      <c r="U355" s="79">
        <f t="shared" si="159"/>
        <v>0</v>
      </c>
      <c r="V355" s="79">
        <f t="shared" si="159"/>
        <v>0</v>
      </c>
      <c r="W355" s="79">
        <f t="shared" si="159"/>
        <v>0</v>
      </c>
      <c r="X355" s="63">
        <f t="shared" si="159"/>
        <v>0</v>
      </c>
      <c r="Y355" s="63">
        <f t="shared" si="159"/>
        <v>0</v>
      </c>
      <c r="Z355" s="63">
        <f t="shared" si="159"/>
        <v>0</v>
      </c>
      <c r="AA355" s="63">
        <f t="shared" si="160"/>
        <v>0</v>
      </c>
      <c r="AB355" s="58" t="str">
        <f t="shared" si="161"/>
        <v>ok</v>
      </c>
    </row>
    <row r="356" spans="1:28">
      <c r="A356" s="68" t="s">
        <v>1257</v>
      </c>
      <c r="C356" s="111" t="s">
        <v>765</v>
      </c>
      <c r="D356" s="60" t="s">
        <v>769</v>
      </c>
      <c r="E356" s="60" t="s">
        <v>1091</v>
      </c>
      <c r="F356" s="79">
        <f>VLOOKUP(C356,'Functional Assignment'!$C$2:$AP$780,'Functional Assignment'!$K$2,)</f>
        <v>0</v>
      </c>
      <c r="G356" s="79">
        <f t="shared" si="158"/>
        <v>0</v>
      </c>
      <c r="H356" s="79">
        <f t="shared" si="158"/>
        <v>0</v>
      </c>
      <c r="I356" s="79">
        <f t="shared" si="158"/>
        <v>0</v>
      </c>
      <c r="J356" s="79">
        <f t="shared" si="158"/>
        <v>0</v>
      </c>
      <c r="K356" s="79">
        <f t="shared" si="158"/>
        <v>0</v>
      </c>
      <c r="L356" s="79">
        <f t="shared" si="158"/>
        <v>0</v>
      </c>
      <c r="M356" s="79">
        <f t="shared" si="158"/>
        <v>0</v>
      </c>
      <c r="N356" s="79">
        <f t="shared" si="158"/>
        <v>0</v>
      </c>
      <c r="O356" s="79">
        <f t="shared" si="158"/>
        <v>0</v>
      </c>
      <c r="P356" s="79">
        <f t="shared" si="158"/>
        <v>0</v>
      </c>
      <c r="Q356" s="79">
        <f t="shared" si="159"/>
        <v>0</v>
      </c>
      <c r="R356" s="79">
        <f t="shared" si="159"/>
        <v>0</v>
      </c>
      <c r="S356" s="79">
        <f t="shared" si="159"/>
        <v>0</v>
      </c>
      <c r="T356" s="79">
        <f t="shared" si="159"/>
        <v>0</v>
      </c>
      <c r="U356" s="79">
        <f t="shared" si="159"/>
        <v>0</v>
      </c>
      <c r="V356" s="79">
        <f t="shared" si="159"/>
        <v>0</v>
      </c>
      <c r="W356" s="79">
        <f t="shared" si="159"/>
        <v>0</v>
      </c>
      <c r="X356" s="63">
        <f t="shared" si="159"/>
        <v>0</v>
      </c>
      <c r="Y356" s="63">
        <f t="shared" si="159"/>
        <v>0</v>
      </c>
      <c r="Z356" s="63">
        <f t="shared" si="159"/>
        <v>0</v>
      </c>
      <c r="AA356" s="63">
        <f t="shared" si="160"/>
        <v>0</v>
      </c>
      <c r="AB356" s="58" t="str">
        <f t="shared" si="161"/>
        <v>ok</v>
      </c>
    </row>
    <row r="357" spans="1:28">
      <c r="A357" s="68" t="s">
        <v>1258</v>
      </c>
      <c r="C357" s="111" t="s">
        <v>765</v>
      </c>
      <c r="D357" s="60" t="s">
        <v>770</v>
      </c>
      <c r="E357" s="60" t="s">
        <v>1091</v>
      </c>
      <c r="F357" s="79">
        <f>VLOOKUP(C357,'Functional Assignment'!$C$2:$AP$780,'Functional Assignment'!$L$2,)</f>
        <v>0</v>
      </c>
      <c r="G357" s="79">
        <f t="shared" si="158"/>
        <v>0</v>
      </c>
      <c r="H357" s="79">
        <f t="shared" si="158"/>
        <v>0</v>
      </c>
      <c r="I357" s="79">
        <f t="shared" si="158"/>
        <v>0</v>
      </c>
      <c r="J357" s="79">
        <f t="shared" si="158"/>
        <v>0</v>
      </c>
      <c r="K357" s="79">
        <f t="shared" si="158"/>
        <v>0</v>
      </c>
      <c r="L357" s="79">
        <f t="shared" si="158"/>
        <v>0</v>
      </c>
      <c r="M357" s="79">
        <f t="shared" si="158"/>
        <v>0</v>
      </c>
      <c r="N357" s="79">
        <f t="shared" si="158"/>
        <v>0</v>
      </c>
      <c r="O357" s="79">
        <f t="shared" si="158"/>
        <v>0</v>
      </c>
      <c r="P357" s="79">
        <f t="shared" si="158"/>
        <v>0</v>
      </c>
      <c r="Q357" s="79">
        <f t="shared" si="159"/>
        <v>0</v>
      </c>
      <c r="R357" s="79">
        <f t="shared" si="159"/>
        <v>0</v>
      </c>
      <c r="S357" s="79">
        <f t="shared" si="159"/>
        <v>0</v>
      </c>
      <c r="T357" s="79">
        <f t="shared" si="159"/>
        <v>0</v>
      </c>
      <c r="U357" s="79">
        <f t="shared" si="159"/>
        <v>0</v>
      </c>
      <c r="V357" s="79">
        <f t="shared" si="159"/>
        <v>0</v>
      </c>
      <c r="W357" s="79">
        <f t="shared" si="159"/>
        <v>0</v>
      </c>
      <c r="X357" s="63">
        <f t="shared" si="159"/>
        <v>0</v>
      </c>
      <c r="Y357" s="63">
        <f t="shared" si="159"/>
        <v>0</v>
      </c>
      <c r="Z357" s="63">
        <f t="shared" si="159"/>
        <v>0</v>
      </c>
      <c r="AA357" s="63">
        <f t="shared" si="160"/>
        <v>0</v>
      </c>
      <c r="AB357" s="58" t="str">
        <f t="shared" si="161"/>
        <v>ok</v>
      </c>
    </row>
    <row r="358" spans="1:28">
      <c r="A358" s="68" t="s">
        <v>1258</v>
      </c>
      <c r="C358" s="111" t="s">
        <v>765</v>
      </c>
      <c r="D358" s="60" t="s">
        <v>771</v>
      </c>
      <c r="E358" s="60" t="s">
        <v>1091</v>
      </c>
      <c r="F358" s="79">
        <f>VLOOKUP(C358,'Functional Assignment'!$C$2:$AP$780,'Functional Assignment'!$M$2,)</f>
        <v>0</v>
      </c>
      <c r="G358" s="79">
        <f t="shared" si="158"/>
        <v>0</v>
      </c>
      <c r="H358" s="79">
        <f t="shared" si="158"/>
        <v>0</v>
      </c>
      <c r="I358" s="79">
        <f t="shared" si="158"/>
        <v>0</v>
      </c>
      <c r="J358" s="79">
        <f t="shared" si="158"/>
        <v>0</v>
      </c>
      <c r="K358" s="79">
        <f t="shared" si="158"/>
        <v>0</v>
      </c>
      <c r="L358" s="79">
        <f t="shared" si="158"/>
        <v>0</v>
      </c>
      <c r="M358" s="79">
        <f t="shared" si="158"/>
        <v>0</v>
      </c>
      <c r="N358" s="79">
        <f t="shared" si="158"/>
        <v>0</v>
      </c>
      <c r="O358" s="79">
        <f t="shared" si="158"/>
        <v>0</v>
      </c>
      <c r="P358" s="79">
        <f t="shared" si="158"/>
        <v>0</v>
      </c>
      <c r="Q358" s="79">
        <f t="shared" si="159"/>
        <v>0</v>
      </c>
      <c r="R358" s="79">
        <f t="shared" si="159"/>
        <v>0</v>
      </c>
      <c r="S358" s="79">
        <f t="shared" si="159"/>
        <v>0</v>
      </c>
      <c r="T358" s="79">
        <f t="shared" si="159"/>
        <v>0</v>
      </c>
      <c r="U358" s="79">
        <f t="shared" si="159"/>
        <v>0</v>
      </c>
      <c r="V358" s="79">
        <f t="shared" si="159"/>
        <v>0</v>
      </c>
      <c r="W358" s="79">
        <f t="shared" si="159"/>
        <v>0</v>
      </c>
      <c r="X358" s="63">
        <f t="shared" si="159"/>
        <v>0</v>
      </c>
      <c r="Y358" s="63">
        <f t="shared" si="159"/>
        <v>0</v>
      </c>
      <c r="Z358" s="63">
        <f t="shared" si="159"/>
        <v>0</v>
      </c>
      <c r="AA358" s="63">
        <f t="shared" si="160"/>
        <v>0</v>
      </c>
      <c r="AB358" s="58" t="str">
        <f t="shared" si="161"/>
        <v>ok</v>
      </c>
    </row>
    <row r="359" spans="1:28">
      <c r="A359" s="60" t="s">
        <v>387</v>
      </c>
      <c r="D359" s="60" t="s">
        <v>772</v>
      </c>
      <c r="F359" s="76">
        <f t="shared" ref="F359:P359" si="162">SUM(F353:F358)</f>
        <v>0</v>
      </c>
      <c r="G359" s="76">
        <f t="shared" si="162"/>
        <v>0</v>
      </c>
      <c r="H359" s="76">
        <f t="shared" si="162"/>
        <v>0</v>
      </c>
      <c r="I359" s="76">
        <f t="shared" si="162"/>
        <v>0</v>
      </c>
      <c r="J359" s="76">
        <f t="shared" si="162"/>
        <v>0</v>
      </c>
      <c r="K359" s="76">
        <f t="shared" si="162"/>
        <v>0</v>
      </c>
      <c r="L359" s="76">
        <f t="shared" si="162"/>
        <v>0</v>
      </c>
      <c r="M359" s="76">
        <f t="shared" si="162"/>
        <v>0</v>
      </c>
      <c r="N359" s="76">
        <f t="shared" si="162"/>
        <v>0</v>
      </c>
      <c r="O359" s="76">
        <f>SUM(O353:O358)</f>
        <v>0</v>
      </c>
      <c r="P359" s="76">
        <f t="shared" si="162"/>
        <v>0</v>
      </c>
      <c r="Q359" s="76">
        <f t="shared" ref="Q359:Z359" si="163">SUM(Q353:Q358)</f>
        <v>0</v>
      </c>
      <c r="R359" s="76">
        <f t="shared" si="163"/>
        <v>0</v>
      </c>
      <c r="S359" s="76">
        <f t="shared" si="163"/>
        <v>0</v>
      </c>
      <c r="T359" s="76">
        <f t="shared" si="163"/>
        <v>0</v>
      </c>
      <c r="U359" s="76">
        <f t="shared" si="163"/>
        <v>0</v>
      </c>
      <c r="V359" s="76">
        <f t="shared" si="163"/>
        <v>0</v>
      </c>
      <c r="W359" s="76">
        <f t="shared" si="163"/>
        <v>0</v>
      </c>
      <c r="X359" s="62">
        <f t="shared" si="163"/>
        <v>0</v>
      </c>
      <c r="Y359" s="62">
        <f t="shared" si="163"/>
        <v>0</v>
      </c>
      <c r="Z359" s="62">
        <f t="shared" si="163"/>
        <v>0</v>
      </c>
      <c r="AA359" s="64">
        <f t="shared" si="160"/>
        <v>0</v>
      </c>
      <c r="AB359" s="58" t="str">
        <f t="shared" si="161"/>
        <v>ok</v>
      </c>
    </row>
    <row r="360" spans="1:28">
      <c r="F360" s="79"/>
      <c r="G360" s="79"/>
    </row>
    <row r="361" spans="1:28" ht="15">
      <c r="A361" s="65" t="s">
        <v>1131</v>
      </c>
      <c r="F361" s="79"/>
      <c r="G361" s="79"/>
    </row>
    <row r="362" spans="1:28">
      <c r="A362" s="68" t="s">
        <v>1363</v>
      </c>
      <c r="C362" s="111" t="s">
        <v>765</v>
      </c>
      <c r="D362" s="60" t="s">
        <v>773</v>
      </c>
      <c r="E362" s="60" t="s">
        <v>1367</v>
      </c>
      <c r="F362" s="76">
        <f>VLOOKUP(C362,'Functional Assignment'!$C$2:$AP$780,'Functional Assignment'!$N$2,)</f>
        <v>0</v>
      </c>
      <c r="G362" s="76">
        <f t="shared" ref="G362:P364" si="164">IF(VLOOKUP($E362,$D$6:$AN$1131,3,)=0,0,(VLOOKUP($E362,$D$6:$AN$1131,G$2,)/VLOOKUP($E362,$D$6:$AN$1131,3,))*$F362)</f>
        <v>0</v>
      </c>
      <c r="H362" s="76">
        <f t="shared" si="164"/>
        <v>0</v>
      </c>
      <c r="I362" s="76">
        <f t="shared" si="164"/>
        <v>0</v>
      </c>
      <c r="J362" s="76">
        <f t="shared" si="164"/>
        <v>0</v>
      </c>
      <c r="K362" s="76">
        <f t="shared" si="164"/>
        <v>0</v>
      </c>
      <c r="L362" s="76">
        <f t="shared" si="164"/>
        <v>0</v>
      </c>
      <c r="M362" s="76">
        <f t="shared" si="164"/>
        <v>0</v>
      </c>
      <c r="N362" s="76">
        <f t="shared" si="164"/>
        <v>0</v>
      </c>
      <c r="O362" s="76">
        <f t="shared" si="164"/>
        <v>0</v>
      </c>
      <c r="P362" s="76">
        <f t="shared" si="164"/>
        <v>0</v>
      </c>
      <c r="Q362" s="76">
        <f t="shared" ref="Q362:Z364" si="165">IF(VLOOKUP($E362,$D$6:$AN$1131,3,)=0,0,(VLOOKUP($E362,$D$6:$AN$1131,Q$2,)/VLOOKUP($E362,$D$6:$AN$1131,3,))*$F362)</f>
        <v>0</v>
      </c>
      <c r="R362" s="76">
        <f t="shared" si="165"/>
        <v>0</v>
      </c>
      <c r="S362" s="76">
        <f t="shared" si="165"/>
        <v>0</v>
      </c>
      <c r="T362" s="76">
        <f t="shared" si="165"/>
        <v>0</v>
      </c>
      <c r="U362" s="76">
        <f t="shared" si="165"/>
        <v>0</v>
      </c>
      <c r="V362" s="76">
        <f t="shared" si="165"/>
        <v>0</v>
      </c>
      <c r="W362" s="76">
        <f t="shared" si="165"/>
        <v>0</v>
      </c>
      <c r="X362" s="62">
        <f t="shared" si="165"/>
        <v>0</v>
      </c>
      <c r="Y362" s="62">
        <f t="shared" si="165"/>
        <v>0</v>
      </c>
      <c r="Z362" s="62">
        <f t="shared" si="165"/>
        <v>0</v>
      </c>
      <c r="AA362" s="64">
        <f>SUM(G362:Z362)</f>
        <v>0</v>
      </c>
      <c r="AB362" s="58" t="str">
        <f>IF(ABS(F362-AA362)&lt;0.01,"ok","err")</f>
        <v>ok</v>
      </c>
    </row>
    <row r="363" spans="1:28" hidden="1">
      <c r="A363" s="68" t="s">
        <v>1364</v>
      </c>
      <c r="C363" s="111" t="s">
        <v>765</v>
      </c>
      <c r="D363" s="60" t="s">
        <v>774</v>
      </c>
      <c r="E363" s="60" t="s">
        <v>188</v>
      </c>
      <c r="F363" s="79">
        <f>VLOOKUP(C363,'Functional Assignment'!$C$2:$AP$780,'Functional Assignment'!$O$2,)</f>
        <v>0</v>
      </c>
      <c r="G363" s="79">
        <f t="shared" si="164"/>
        <v>0</v>
      </c>
      <c r="H363" s="79">
        <f t="shared" si="164"/>
        <v>0</v>
      </c>
      <c r="I363" s="79">
        <f t="shared" si="164"/>
        <v>0</v>
      </c>
      <c r="J363" s="79">
        <f t="shared" si="164"/>
        <v>0</v>
      </c>
      <c r="K363" s="79">
        <f t="shared" si="164"/>
        <v>0</v>
      </c>
      <c r="L363" s="79">
        <f t="shared" si="164"/>
        <v>0</v>
      </c>
      <c r="M363" s="79">
        <f t="shared" si="164"/>
        <v>0</v>
      </c>
      <c r="N363" s="79">
        <f t="shared" si="164"/>
        <v>0</v>
      </c>
      <c r="O363" s="79">
        <f t="shared" si="164"/>
        <v>0</v>
      </c>
      <c r="P363" s="79">
        <f t="shared" si="164"/>
        <v>0</v>
      </c>
      <c r="Q363" s="79">
        <f t="shared" si="165"/>
        <v>0</v>
      </c>
      <c r="R363" s="79">
        <f t="shared" si="165"/>
        <v>0</v>
      </c>
      <c r="S363" s="79">
        <f t="shared" si="165"/>
        <v>0</v>
      </c>
      <c r="T363" s="79">
        <f t="shared" si="165"/>
        <v>0</v>
      </c>
      <c r="U363" s="79">
        <f t="shared" si="165"/>
        <v>0</v>
      </c>
      <c r="V363" s="79">
        <f t="shared" si="165"/>
        <v>0</v>
      </c>
      <c r="W363" s="79">
        <f t="shared" si="165"/>
        <v>0</v>
      </c>
      <c r="X363" s="63">
        <f t="shared" si="165"/>
        <v>0</v>
      </c>
      <c r="Y363" s="63">
        <f t="shared" si="165"/>
        <v>0</v>
      </c>
      <c r="Z363" s="63">
        <f t="shared" si="165"/>
        <v>0</v>
      </c>
      <c r="AA363" s="63">
        <f>SUM(G363:Z363)</f>
        <v>0</v>
      </c>
      <c r="AB363" s="58" t="str">
        <f>IF(ABS(F363-AA363)&lt;0.01,"ok","err")</f>
        <v>ok</v>
      </c>
    </row>
    <row r="364" spans="1:28" hidden="1">
      <c r="A364" s="68" t="s">
        <v>1364</v>
      </c>
      <c r="C364" s="111" t="s">
        <v>765</v>
      </c>
      <c r="D364" s="60" t="s">
        <v>775</v>
      </c>
      <c r="E364" s="60" t="s">
        <v>191</v>
      </c>
      <c r="F364" s="79">
        <f>VLOOKUP(C364,'Functional Assignment'!$C$2:$AP$780,'Functional Assignment'!$P$2,)</f>
        <v>0</v>
      </c>
      <c r="G364" s="79">
        <f t="shared" si="164"/>
        <v>0</v>
      </c>
      <c r="H364" s="79">
        <f t="shared" si="164"/>
        <v>0</v>
      </c>
      <c r="I364" s="79">
        <f t="shared" si="164"/>
        <v>0</v>
      </c>
      <c r="J364" s="79">
        <f t="shared" si="164"/>
        <v>0</v>
      </c>
      <c r="K364" s="79">
        <f t="shared" si="164"/>
        <v>0</v>
      </c>
      <c r="L364" s="79">
        <f t="shared" si="164"/>
        <v>0</v>
      </c>
      <c r="M364" s="79">
        <f t="shared" si="164"/>
        <v>0</v>
      </c>
      <c r="N364" s="79">
        <f t="shared" si="164"/>
        <v>0</v>
      </c>
      <c r="O364" s="79">
        <f t="shared" si="164"/>
        <v>0</v>
      </c>
      <c r="P364" s="79">
        <f t="shared" si="164"/>
        <v>0</v>
      </c>
      <c r="Q364" s="79">
        <f t="shared" si="165"/>
        <v>0</v>
      </c>
      <c r="R364" s="79">
        <f t="shared" si="165"/>
        <v>0</v>
      </c>
      <c r="S364" s="79">
        <f t="shared" si="165"/>
        <v>0</v>
      </c>
      <c r="T364" s="79">
        <f t="shared" si="165"/>
        <v>0</v>
      </c>
      <c r="U364" s="79">
        <f t="shared" si="165"/>
        <v>0</v>
      </c>
      <c r="V364" s="79">
        <f t="shared" si="165"/>
        <v>0</v>
      </c>
      <c r="W364" s="79">
        <f t="shared" si="165"/>
        <v>0</v>
      </c>
      <c r="X364" s="63">
        <f t="shared" si="165"/>
        <v>0</v>
      </c>
      <c r="Y364" s="63">
        <f t="shared" si="165"/>
        <v>0</v>
      </c>
      <c r="Z364" s="63">
        <f t="shared" si="165"/>
        <v>0</v>
      </c>
      <c r="AA364" s="63">
        <f>SUM(G364:Z364)</f>
        <v>0</v>
      </c>
      <c r="AB364" s="58" t="str">
        <f>IF(ABS(F364-AA364)&lt;0.01,"ok","err")</f>
        <v>ok</v>
      </c>
    </row>
    <row r="365" spans="1:28" hidden="1">
      <c r="A365" s="60" t="s">
        <v>1133</v>
      </c>
      <c r="D365" s="60" t="s">
        <v>776</v>
      </c>
      <c r="F365" s="76">
        <f t="shared" ref="F365:P365" si="166">SUM(F362:F364)</f>
        <v>0</v>
      </c>
      <c r="G365" s="76">
        <f t="shared" si="166"/>
        <v>0</v>
      </c>
      <c r="H365" s="76">
        <f t="shared" si="166"/>
        <v>0</v>
      </c>
      <c r="I365" s="76">
        <f t="shared" si="166"/>
        <v>0</v>
      </c>
      <c r="J365" s="76">
        <f t="shared" si="166"/>
        <v>0</v>
      </c>
      <c r="K365" s="76">
        <f t="shared" si="166"/>
        <v>0</v>
      </c>
      <c r="L365" s="76">
        <f t="shared" si="166"/>
        <v>0</v>
      </c>
      <c r="M365" s="76">
        <f t="shared" si="166"/>
        <v>0</v>
      </c>
      <c r="N365" s="76">
        <f t="shared" si="166"/>
        <v>0</v>
      </c>
      <c r="O365" s="76">
        <f>SUM(O362:O364)</f>
        <v>0</v>
      </c>
      <c r="P365" s="76">
        <f t="shared" si="166"/>
        <v>0</v>
      </c>
      <c r="Q365" s="76">
        <f t="shared" ref="Q365:Z365" si="167">SUM(Q362:Q364)</f>
        <v>0</v>
      </c>
      <c r="R365" s="76">
        <f t="shared" si="167"/>
        <v>0</v>
      </c>
      <c r="S365" s="76">
        <f t="shared" si="167"/>
        <v>0</v>
      </c>
      <c r="T365" s="76">
        <f t="shared" si="167"/>
        <v>0</v>
      </c>
      <c r="U365" s="76">
        <f t="shared" si="167"/>
        <v>0</v>
      </c>
      <c r="V365" s="76">
        <f t="shared" si="167"/>
        <v>0</v>
      </c>
      <c r="W365" s="76">
        <f t="shared" si="167"/>
        <v>0</v>
      </c>
      <c r="X365" s="62">
        <f t="shared" si="167"/>
        <v>0</v>
      </c>
      <c r="Y365" s="62">
        <f t="shared" si="167"/>
        <v>0</v>
      </c>
      <c r="Z365" s="62">
        <f t="shared" si="167"/>
        <v>0</v>
      </c>
      <c r="AA365" s="64">
        <f>SUM(G365:Z365)</f>
        <v>0</v>
      </c>
      <c r="AB365" s="58" t="str">
        <f>IF(ABS(F365-AA365)&lt;0.01,"ok","err")</f>
        <v>ok</v>
      </c>
    </row>
    <row r="366" spans="1:28">
      <c r="F366" s="79"/>
      <c r="G366" s="79"/>
    </row>
    <row r="367" spans="1:28" ht="15">
      <c r="A367" s="65" t="s">
        <v>348</v>
      </c>
      <c r="F367" s="79"/>
      <c r="G367" s="79"/>
    </row>
    <row r="368" spans="1:28">
      <c r="A368" s="68" t="s">
        <v>372</v>
      </c>
      <c r="C368" s="111" t="s">
        <v>765</v>
      </c>
      <c r="D368" s="60" t="s">
        <v>777</v>
      </c>
      <c r="E368" s="60" t="s">
        <v>1368</v>
      </c>
      <c r="F368" s="76">
        <f>VLOOKUP(C368,'Functional Assignment'!$C$2:$AP$780,'Functional Assignment'!$Q$2,)</f>
        <v>0</v>
      </c>
      <c r="G368" s="76">
        <f t="shared" ref="G368:Z368" si="168">IF(VLOOKUP($E368,$D$6:$AN$1131,3,)=0,0,(VLOOKUP($E368,$D$6:$AN$1131,G$2,)/VLOOKUP($E368,$D$6:$AN$1131,3,))*$F368)</f>
        <v>0</v>
      </c>
      <c r="H368" s="76">
        <f t="shared" si="168"/>
        <v>0</v>
      </c>
      <c r="I368" s="76">
        <f t="shared" si="168"/>
        <v>0</v>
      </c>
      <c r="J368" s="76">
        <f t="shared" si="168"/>
        <v>0</v>
      </c>
      <c r="K368" s="76">
        <f t="shared" si="168"/>
        <v>0</v>
      </c>
      <c r="L368" s="76">
        <f t="shared" si="168"/>
        <v>0</v>
      </c>
      <c r="M368" s="76">
        <f t="shared" si="168"/>
        <v>0</v>
      </c>
      <c r="N368" s="76">
        <f t="shared" si="168"/>
        <v>0</v>
      </c>
      <c r="O368" s="76">
        <f t="shared" si="168"/>
        <v>0</v>
      </c>
      <c r="P368" s="76">
        <f t="shared" si="168"/>
        <v>0</v>
      </c>
      <c r="Q368" s="76">
        <f t="shared" si="168"/>
        <v>0</v>
      </c>
      <c r="R368" s="76">
        <f t="shared" si="168"/>
        <v>0</v>
      </c>
      <c r="S368" s="76">
        <f t="shared" si="168"/>
        <v>0</v>
      </c>
      <c r="T368" s="76">
        <f t="shared" si="168"/>
        <v>0</v>
      </c>
      <c r="U368" s="76">
        <f t="shared" si="168"/>
        <v>0</v>
      </c>
      <c r="V368" s="76">
        <f t="shared" si="168"/>
        <v>0</v>
      </c>
      <c r="W368" s="76">
        <f t="shared" si="168"/>
        <v>0</v>
      </c>
      <c r="X368" s="62">
        <f t="shared" si="168"/>
        <v>0</v>
      </c>
      <c r="Y368" s="62">
        <f t="shared" si="168"/>
        <v>0</v>
      </c>
      <c r="Z368" s="62">
        <f t="shared" si="168"/>
        <v>0</v>
      </c>
      <c r="AA368" s="64">
        <f>SUM(G368:Z368)</f>
        <v>0</v>
      </c>
      <c r="AB368" s="58" t="str">
        <f>IF(ABS(F368-AA368)&lt;0.01,"ok","err")</f>
        <v>ok</v>
      </c>
    </row>
    <row r="369" spans="1:28">
      <c r="F369" s="79"/>
    </row>
    <row r="370" spans="1:28" ht="15">
      <c r="A370" s="65" t="s">
        <v>349</v>
      </c>
      <c r="F370" s="79"/>
      <c r="G370" s="79"/>
    </row>
    <row r="371" spans="1:28">
      <c r="A371" s="68" t="s">
        <v>374</v>
      </c>
      <c r="C371" s="111" t="s">
        <v>765</v>
      </c>
      <c r="D371" s="60" t="s">
        <v>778</v>
      </c>
      <c r="E371" s="60" t="s">
        <v>1368</v>
      </c>
      <c r="F371" s="76">
        <f>VLOOKUP(C371,'Functional Assignment'!$C$2:$AP$780,'Functional Assignment'!$R$2,)</f>
        <v>0</v>
      </c>
      <c r="G371" s="76">
        <f t="shared" ref="G371:Z371" si="169">IF(VLOOKUP($E371,$D$6:$AN$1131,3,)=0,0,(VLOOKUP($E371,$D$6:$AN$1131,G$2,)/VLOOKUP($E371,$D$6:$AN$1131,3,))*$F371)</f>
        <v>0</v>
      </c>
      <c r="H371" s="76">
        <f t="shared" si="169"/>
        <v>0</v>
      </c>
      <c r="I371" s="76">
        <f t="shared" si="169"/>
        <v>0</v>
      </c>
      <c r="J371" s="76">
        <f t="shared" si="169"/>
        <v>0</v>
      </c>
      <c r="K371" s="76">
        <f t="shared" si="169"/>
        <v>0</v>
      </c>
      <c r="L371" s="76">
        <f t="shared" si="169"/>
        <v>0</v>
      </c>
      <c r="M371" s="76">
        <f t="shared" si="169"/>
        <v>0</v>
      </c>
      <c r="N371" s="76">
        <f t="shared" si="169"/>
        <v>0</v>
      </c>
      <c r="O371" s="76">
        <f t="shared" si="169"/>
        <v>0</v>
      </c>
      <c r="P371" s="76">
        <f t="shared" si="169"/>
        <v>0</v>
      </c>
      <c r="Q371" s="76">
        <f t="shared" si="169"/>
        <v>0</v>
      </c>
      <c r="R371" s="76">
        <f t="shared" si="169"/>
        <v>0</v>
      </c>
      <c r="S371" s="76">
        <f t="shared" si="169"/>
        <v>0</v>
      </c>
      <c r="T371" s="76">
        <f t="shared" si="169"/>
        <v>0</v>
      </c>
      <c r="U371" s="76">
        <f t="shared" si="169"/>
        <v>0</v>
      </c>
      <c r="V371" s="76">
        <f t="shared" si="169"/>
        <v>0</v>
      </c>
      <c r="W371" s="76">
        <f t="shared" si="169"/>
        <v>0</v>
      </c>
      <c r="X371" s="62">
        <f t="shared" si="169"/>
        <v>0</v>
      </c>
      <c r="Y371" s="62">
        <f t="shared" si="169"/>
        <v>0</v>
      </c>
      <c r="Z371" s="62">
        <f t="shared" si="169"/>
        <v>0</v>
      </c>
      <c r="AA371" s="64">
        <f>SUM(G371:Z371)</f>
        <v>0</v>
      </c>
      <c r="AB371" s="58" t="str">
        <f>IF(ABS(F371-AA371)&lt;0.01,"ok","err")</f>
        <v>ok</v>
      </c>
    </row>
    <row r="372" spans="1:28">
      <c r="F372" s="79"/>
    </row>
    <row r="373" spans="1:28" ht="15">
      <c r="A373" s="65" t="s">
        <v>373</v>
      </c>
      <c r="F373" s="79"/>
    </row>
    <row r="374" spans="1:28">
      <c r="A374" s="68" t="s">
        <v>623</v>
      </c>
      <c r="C374" s="111" t="s">
        <v>765</v>
      </c>
      <c r="D374" s="60" t="s">
        <v>779</v>
      </c>
      <c r="E374" s="60" t="s">
        <v>1368</v>
      </c>
      <c r="F374" s="76">
        <f>VLOOKUP(C374,'Functional Assignment'!$C$2:$AP$780,'Functional Assignment'!$S$2,)</f>
        <v>0</v>
      </c>
      <c r="G374" s="76">
        <f t="shared" ref="G374:P378" si="170">IF(VLOOKUP($E374,$D$6:$AN$1131,3,)=0,0,(VLOOKUP($E374,$D$6:$AN$1131,G$2,)/VLOOKUP($E374,$D$6:$AN$1131,3,))*$F374)</f>
        <v>0</v>
      </c>
      <c r="H374" s="76">
        <f t="shared" si="170"/>
        <v>0</v>
      </c>
      <c r="I374" s="76">
        <f t="shared" si="170"/>
        <v>0</v>
      </c>
      <c r="J374" s="76">
        <f t="shared" si="170"/>
        <v>0</v>
      </c>
      <c r="K374" s="76">
        <f t="shared" si="170"/>
        <v>0</v>
      </c>
      <c r="L374" s="76">
        <f t="shared" si="170"/>
        <v>0</v>
      </c>
      <c r="M374" s="76">
        <f t="shared" si="170"/>
        <v>0</v>
      </c>
      <c r="N374" s="76">
        <f t="shared" si="170"/>
        <v>0</v>
      </c>
      <c r="O374" s="76">
        <f t="shared" si="170"/>
        <v>0</v>
      </c>
      <c r="P374" s="76">
        <f t="shared" si="170"/>
        <v>0</v>
      </c>
      <c r="Q374" s="76">
        <f t="shared" ref="Q374:Z378" si="171">IF(VLOOKUP($E374,$D$6:$AN$1131,3,)=0,0,(VLOOKUP($E374,$D$6:$AN$1131,Q$2,)/VLOOKUP($E374,$D$6:$AN$1131,3,))*$F374)</f>
        <v>0</v>
      </c>
      <c r="R374" s="76">
        <f t="shared" si="171"/>
        <v>0</v>
      </c>
      <c r="S374" s="76">
        <f t="shared" si="171"/>
        <v>0</v>
      </c>
      <c r="T374" s="76">
        <f t="shared" si="171"/>
        <v>0</v>
      </c>
      <c r="U374" s="76">
        <f t="shared" si="171"/>
        <v>0</v>
      </c>
      <c r="V374" s="76">
        <f t="shared" si="171"/>
        <v>0</v>
      </c>
      <c r="W374" s="76">
        <f t="shared" si="171"/>
        <v>0</v>
      </c>
      <c r="X374" s="62">
        <f t="shared" si="171"/>
        <v>0</v>
      </c>
      <c r="Y374" s="62">
        <f t="shared" si="171"/>
        <v>0</v>
      </c>
      <c r="Z374" s="62">
        <f t="shared" si="171"/>
        <v>0</v>
      </c>
      <c r="AA374" s="64">
        <f t="shared" ref="AA374:AA379" si="172">SUM(G374:Z374)</f>
        <v>0</v>
      </c>
      <c r="AB374" s="58" t="str">
        <f t="shared" ref="AB374:AB379" si="173">IF(ABS(F374-AA374)&lt;0.01,"ok","err")</f>
        <v>ok</v>
      </c>
    </row>
    <row r="375" spans="1:28">
      <c r="A375" s="68" t="s">
        <v>624</v>
      </c>
      <c r="C375" s="111" t="s">
        <v>765</v>
      </c>
      <c r="D375" s="60" t="s">
        <v>780</v>
      </c>
      <c r="E375" s="60" t="s">
        <v>1368</v>
      </c>
      <c r="F375" s="79">
        <f>VLOOKUP(C375,'Functional Assignment'!$C$2:$AP$780,'Functional Assignment'!$T$2,)</f>
        <v>0</v>
      </c>
      <c r="G375" s="79">
        <f t="shared" si="170"/>
        <v>0</v>
      </c>
      <c r="H375" s="79">
        <f t="shared" si="170"/>
        <v>0</v>
      </c>
      <c r="I375" s="79">
        <f t="shared" si="170"/>
        <v>0</v>
      </c>
      <c r="J375" s="79">
        <f t="shared" si="170"/>
        <v>0</v>
      </c>
      <c r="K375" s="79">
        <f t="shared" si="170"/>
        <v>0</v>
      </c>
      <c r="L375" s="79">
        <f t="shared" si="170"/>
        <v>0</v>
      </c>
      <c r="M375" s="79">
        <f t="shared" si="170"/>
        <v>0</v>
      </c>
      <c r="N375" s="79">
        <f t="shared" si="170"/>
        <v>0</v>
      </c>
      <c r="O375" s="79">
        <f t="shared" si="170"/>
        <v>0</v>
      </c>
      <c r="P375" s="79">
        <f t="shared" si="170"/>
        <v>0</v>
      </c>
      <c r="Q375" s="79">
        <f t="shared" si="171"/>
        <v>0</v>
      </c>
      <c r="R375" s="79">
        <f t="shared" si="171"/>
        <v>0</v>
      </c>
      <c r="S375" s="79">
        <f t="shared" si="171"/>
        <v>0</v>
      </c>
      <c r="T375" s="79">
        <f t="shared" si="171"/>
        <v>0</v>
      </c>
      <c r="U375" s="79">
        <f t="shared" si="171"/>
        <v>0</v>
      </c>
      <c r="V375" s="79">
        <f t="shared" si="171"/>
        <v>0</v>
      </c>
      <c r="W375" s="79">
        <f t="shared" si="171"/>
        <v>0</v>
      </c>
      <c r="X375" s="63">
        <f t="shared" si="171"/>
        <v>0</v>
      </c>
      <c r="Y375" s="63">
        <f t="shared" si="171"/>
        <v>0</v>
      </c>
      <c r="Z375" s="63">
        <f t="shared" si="171"/>
        <v>0</v>
      </c>
      <c r="AA375" s="63">
        <f t="shared" si="172"/>
        <v>0</v>
      </c>
      <c r="AB375" s="58" t="str">
        <f t="shared" si="173"/>
        <v>ok</v>
      </c>
    </row>
    <row r="376" spans="1:28">
      <c r="A376" s="68" t="s">
        <v>625</v>
      </c>
      <c r="C376" s="111" t="s">
        <v>765</v>
      </c>
      <c r="D376" s="60" t="s">
        <v>781</v>
      </c>
      <c r="E376" s="60" t="s">
        <v>698</v>
      </c>
      <c r="F376" s="79">
        <f>VLOOKUP(C376,'Functional Assignment'!$C$2:$AP$780,'Functional Assignment'!$U$2,)</f>
        <v>0</v>
      </c>
      <c r="G376" s="79">
        <f t="shared" si="170"/>
        <v>0</v>
      </c>
      <c r="H376" s="79">
        <f t="shared" si="170"/>
        <v>0</v>
      </c>
      <c r="I376" s="79">
        <f t="shared" si="170"/>
        <v>0</v>
      </c>
      <c r="J376" s="79">
        <f t="shared" si="170"/>
        <v>0</v>
      </c>
      <c r="K376" s="79">
        <f t="shared" si="170"/>
        <v>0</v>
      </c>
      <c r="L376" s="79">
        <f t="shared" si="170"/>
        <v>0</v>
      </c>
      <c r="M376" s="79">
        <f t="shared" si="170"/>
        <v>0</v>
      </c>
      <c r="N376" s="79">
        <f t="shared" si="170"/>
        <v>0</v>
      </c>
      <c r="O376" s="79">
        <f t="shared" si="170"/>
        <v>0</v>
      </c>
      <c r="P376" s="79">
        <f t="shared" si="170"/>
        <v>0</v>
      </c>
      <c r="Q376" s="79">
        <f t="shared" si="171"/>
        <v>0</v>
      </c>
      <c r="R376" s="79">
        <f t="shared" si="171"/>
        <v>0</v>
      </c>
      <c r="S376" s="79">
        <f t="shared" si="171"/>
        <v>0</v>
      </c>
      <c r="T376" s="79">
        <f t="shared" si="171"/>
        <v>0</v>
      </c>
      <c r="U376" s="79">
        <f t="shared" si="171"/>
        <v>0</v>
      </c>
      <c r="V376" s="79">
        <f t="shared" si="171"/>
        <v>0</v>
      </c>
      <c r="W376" s="79">
        <f t="shared" si="171"/>
        <v>0</v>
      </c>
      <c r="X376" s="63">
        <f t="shared" si="171"/>
        <v>0</v>
      </c>
      <c r="Y376" s="63">
        <f t="shared" si="171"/>
        <v>0</v>
      </c>
      <c r="Z376" s="63">
        <f t="shared" si="171"/>
        <v>0</v>
      </c>
      <c r="AA376" s="63">
        <f t="shared" si="172"/>
        <v>0</v>
      </c>
      <c r="AB376" s="58" t="str">
        <f t="shared" si="173"/>
        <v>ok</v>
      </c>
    </row>
    <row r="377" spans="1:28">
      <c r="A377" s="68" t="s">
        <v>626</v>
      </c>
      <c r="C377" s="111" t="s">
        <v>765</v>
      </c>
      <c r="D377" s="60" t="s">
        <v>782</v>
      </c>
      <c r="E377" s="60" t="s">
        <v>678</v>
      </c>
      <c r="F377" s="79">
        <f>VLOOKUP(C377,'Functional Assignment'!$C$2:$AP$780,'Functional Assignment'!$V$2,)</f>
        <v>0</v>
      </c>
      <c r="G377" s="79">
        <f t="shared" si="170"/>
        <v>0</v>
      </c>
      <c r="H377" s="79">
        <f t="shared" si="170"/>
        <v>0</v>
      </c>
      <c r="I377" s="79">
        <f t="shared" si="170"/>
        <v>0</v>
      </c>
      <c r="J377" s="79">
        <f t="shared" si="170"/>
        <v>0</v>
      </c>
      <c r="K377" s="79">
        <f t="shared" si="170"/>
        <v>0</v>
      </c>
      <c r="L377" s="79">
        <f t="shared" si="170"/>
        <v>0</v>
      </c>
      <c r="M377" s="79">
        <f t="shared" si="170"/>
        <v>0</v>
      </c>
      <c r="N377" s="79">
        <f t="shared" si="170"/>
        <v>0</v>
      </c>
      <c r="O377" s="79">
        <f t="shared" si="170"/>
        <v>0</v>
      </c>
      <c r="P377" s="79">
        <f t="shared" si="170"/>
        <v>0</v>
      </c>
      <c r="Q377" s="79">
        <f t="shared" si="171"/>
        <v>0</v>
      </c>
      <c r="R377" s="79">
        <f t="shared" si="171"/>
        <v>0</v>
      </c>
      <c r="S377" s="79">
        <f t="shared" si="171"/>
        <v>0</v>
      </c>
      <c r="T377" s="79">
        <f t="shared" si="171"/>
        <v>0</v>
      </c>
      <c r="U377" s="79">
        <f t="shared" si="171"/>
        <v>0</v>
      </c>
      <c r="V377" s="79">
        <f t="shared" si="171"/>
        <v>0</v>
      </c>
      <c r="W377" s="79">
        <f t="shared" si="171"/>
        <v>0</v>
      </c>
      <c r="X377" s="63">
        <f t="shared" si="171"/>
        <v>0</v>
      </c>
      <c r="Y377" s="63">
        <f t="shared" si="171"/>
        <v>0</v>
      </c>
      <c r="Z377" s="63">
        <f t="shared" si="171"/>
        <v>0</v>
      </c>
      <c r="AA377" s="63">
        <f t="shared" si="172"/>
        <v>0</v>
      </c>
      <c r="AB377" s="58" t="str">
        <f t="shared" si="173"/>
        <v>ok</v>
      </c>
    </row>
    <row r="378" spans="1:28">
      <c r="A378" s="68" t="s">
        <v>627</v>
      </c>
      <c r="C378" s="111" t="s">
        <v>765</v>
      </c>
      <c r="D378" s="60" t="s">
        <v>783</v>
      </c>
      <c r="E378" s="60" t="s">
        <v>697</v>
      </c>
      <c r="F378" s="79">
        <f>VLOOKUP(C378,'Functional Assignment'!$C$2:$AP$780,'Functional Assignment'!$W$2,)</f>
        <v>0</v>
      </c>
      <c r="G378" s="79">
        <f t="shared" si="170"/>
        <v>0</v>
      </c>
      <c r="H378" s="79">
        <f t="shared" si="170"/>
        <v>0</v>
      </c>
      <c r="I378" s="79">
        <f t="shared" si="170"/>
        <v>0</v>
      </c>
      <c r="J378" s="79">
        <f t="shared" si="170"/>
        <v>0</v>
      </c>
      <c r="K378" s="79">
        <f t="shared" si="170"/>
        <v>0</v>
      </c>
      <c r="L378" s="79">
        <f t="shared" si="170"/>
        <v>0</v>
      </c>
      <c r="M378" s="79">
        <f t="shared" si="170"/>
        <v>0</v>
      </c>
      <c r="N378" s="79">
        <f t="shared" si="170"/>
        <v>0</v>
      </c>
      <c r="O378" s="79">
        <f t="shared" si="170"/>
        <v>0</v>
      </c>
      <c r="P378" s="79">
        <f t="shared" si="170"/>
        <v>0</v>
      </c>
      <c r="Q378" s="79">
        <f t="shared" si="171"/>
        <v>0</v>
      </c>
      <c r="R378" s="79">
        <f t="shared" si="171"/>
        <v>0</v>
      </c>
      <c r="S378" s="79">
        <f t="shared" si="171"/>
        <v>0</v>
      </c>
      <c r="T378" s="79">
        <f t="shared" si="171"/>
        <v>0</v>
      </c>
      <c r="U378" s="79">
        <f t="shared" si="171"/>
        <v>0</v>
      </c>
      <c r="V378" s="79">
        <f t="shared" si="171"/>
        <v>0</v>
      </c>
      <c r="W378" s="79">
        <f t="shared" si="171"/>
        <v>0</v>
      </c>
      <c r="X378" s="63">
        <f t="shared" si="171"/>
        <v>0</v>
      </c>
      <c r="Y378" s="63">
        <f t="shared" si="171"/>
        <v>0</v>
      </c>
      <c r="Z378" s="63">
        <f t="shared" si="171"/>
        <v>0</v>
      </c>
      <c r="AA378" s="63">
        <f t="shared" si="172"/>
        <v>0</v>
      </c>
      <c r="AB378" s="58" t="str">
        <f t="shared" si="173"/>
        <v>ok</v>
      </c>
    </row>
    <row r="379" spans="1:28">
      <c r="A379" s="60" t="s">
        <v>378</v>
      </c>
      <c r="D379" s="60" t="s">
        <v>784</v>
      </c>
      <c r="F379" s="76">
        <f t="shared" ref="F379:P379" si="174">SUM(F374:F378)</f>
        <v>0</v>
      </c>
      <c r="G379" s="76">
        <f t="shared" si="174"/>
        <v>0</v>
      </c>
      <c r="H379" s="76">
        <f t="shared" si="174"/>
        <v>0</v>
      </c>
      <c r="I379" s="76">
        <f t="shared" si="174"/>
        <v>0</v>
      </c>
      <c r="J379" s="76">
        <f t="shared" si="174"/>
        <v>0</v>
      </c>
      <c r="K379" s="76">
        <f t="shared" si="174"/>
        <v>0</v>
      </c>
      <c r="L379" s="76">
        <f t="shared" si="174"/>
        <v>0</v>
      </c>
      <c r="M379" s="76">
        <f t="shared" si="174"/>
        <v>0</v>
      </c>
      <c r="N379" s="76">
        <f t="shared" si="174"/>
        <v>0</v>
      </c>
      <c r="O379" s="76">
        <f>SUM(O374:O378)</f>
        <v>0</v>
      </c>
      <c r="P379" s="76">
        <f t="shared" si="174"/>
        <v>0</v>
      </c>
      <c r="Q379" s="76">
        <f t="shared" ref="Q379:Z379" si="175">SUM(Q374:Q378)</f>
        <v>0</v>
      </c>
      <c r="R379" s="76">
        <f t="shared" si="175"/>
        <v>0</v>
      </c>
      <c r="S379" s="76">
        <f t="shared" si="175"/>
        <v>0</v>
      </c>
      <c r="T379" s="76">
        <f t="shared" si="175"/>
        <v>0</v>
      </c>
      <c r="U379" s="76">
        <f t="shared" si="175"/>
        <v>0</v>
      </c>
      <c r="V379" s="76">
        <f t="shared" si="175"/>
        <v>0</v>
      </c>
      <c r="W379" s="76">
        <f t="shared" si="175"/>
        <v>0</v>
      </c>
      <c r="X379" s="62">
        <f t="shared" si="175"/>
        <v>0</v>
      </c>
      <c r="Y379" s="62">
        <f t="shared" si="175"/>
        <v>0</v>
      </c>
      <c r="Z379" s="62">
        <f t="shared" si="175"/>
        <v>0</v>
      </c>
      <c r="AA379" s="64">
        <f t="shared" si="172"/>
        <v>0</v>
      </c>
      <c r="AB379" s="58" t="str">
        <f t="shared" si="173"/>
        <v>ok</v>
      </c>
    </row>
    <row r="380" spans="1:28">
      <c r="F380" s="79"/>
    </row>
    <row r="381" spans="1:28" ht="15">
      <c r="A381" s="65" t="s">
        <v>634</v>
      </c>
      <c r="F381" s="79"/>
    </row>
    <row r="382" spans="1:28">
      <c r="A382" s="68" t="s">
        <v>1090</v>
      </c>
      <c r="C382" s="111" t="s">
        <v>765</v>
      </c>
      <c r="D382" s="60" t="s">
        <v>785</v>
      </c>
      <c r="E382" s="60" t="s">
        <v>1336</v>
      </c>
      <c r="F382" s="76">
        <f>VLOOKUP(C382,'Functional Assignment'!$C$2:$AP$780,'Functional Assignment'!$X$2,)</f>
        <v>0</v>
      </c>
      <c r="G382" s="76">
        <f t="shared" ref="G382:P383" si="176">IF(VLOOKUP($E382,$D$6:$AN$1131,3,)=0,0,(VLOOKUP($E382,$D$6:$AN$1131,G$2,)/VLOOKUP($E382,$D$6:$AN$1131,3,))*$F382)</f>
        <v>0</v>
      </c>
      <c r="H382" s="76">
        <f t="shared" si="176"/>
        <v>0</v>
      </c>
      <c r="I382" s="76">
        <f t="shared" si="176"/>
        <v>0</v>
      </c>
      <c r="J382" s="76">
        <f t="shared" si="176"/>
        <v>0</v>
      </c>
      <c r="K382" s="76">
        <f t="shared" si="176"/>
        <v>0</v>
      </c>
      <c r="L382" s="76">
        <f t="shared" si="176"/>
        <v>0</v>
      </c>
      <c r="M382" s="76">
        <f t="shared" si="176"/>
        <v>0</v>
      </c>
      <c r="N382" s="76">
        <f t="shared" si="176"/>
        <v>0</v>
      </c>
      <c r="O382" s="76">
        <f t="shared" si="176"/>
        <v>0</v>
      </c>
      <c r="P382" s="76">
        <f t="shared" si="176"/>
        <v>0</v>
      </c>
      <c r="Q382" s="76">
        <f t="shared" ref="Q382:Z383" si="177">IF(VLOOKUP($E382,$D$6:$AN$1131,3,)=0,0,(VLOOKUP($E382,$D$6:$AN$1131,Q$2,)/VLOOKUP($E382,$D$6:$AN$1131,3,))*$F382)</f>
        <v>0</v>
      </c>
      <c r="R382" s="76">
        <f t="shared" si="177"/>
        <v>0</v>
      </c>
      <c r="S382" s="76">
        <f t="shared" si="177"/>
        <v>0</v>
      </c>
      <c r="T382" s="76">
        <f t="shared" si="177"/>
        <v>0</v>
      </c>
      <c r="U382" s="76">
        <f t="shared" si="177"/>
        <v>0</v>
      </c>
      <c r="V382" s="76">
        <f t="shared" si="177"/>
        <v>0</v>
      </c>
      <c r="W382" s="76">
        <f t="shared" si="177"/>
        <v>0</v>
      </c>
      <c r="X382" s="62">
        <f t="shared" si="177"/>
        <v>0</v>
      </c>
      <c r="Y382" s="62">
        <f t="shared" si="177"/>
        <v>0</v>
      </c>
      <c r="Z382" s="62">
        <f t="shared" si="177"/>
        <v>0</v>
      </c>
      <c r="AA382" s="64">
        <f>SUM(G382:Z382)</f>
        <v>0</v>
      </c>
      <c r="AB382" s="58" t="str">
        <f>IF(ABS(F382-AA382)&lt;0.01,"ok","err")</f>
        <v>ok</v>
      </c>
    </row>
    <row r="383" spans="1:28">
      <c r="A383" s="68" t="s">
        <v>1093</v>
      </c>
      <c r="C383" s="111" t="s">
        <v>765</v>
      </c>
      <c r="D383" s="60" t="s">
        <v>786</v>
      </c>
      <c r="E383" s="60" t="s">
        <v>1334</v>
      </c>
      <c r="F383" s="79">
        <f>VLOOKUP(C383,'Functional Assignment'!$C$2:$AP$780,'Functional Assignment'!$Y$2,)</f>
        <v>0</v>
      </c>
      <c r="G383" s="79">
        <f t="shared" si="176"/>
        <v>0</v>
      </c>
      <c r="H383" s="79">
        <f t="shared" si="176"/>
        <v>0</v>
      </c>
      <c r="I383" s="79">
        <f t="shared" si="176"/>
        <v>0</v>
      </c>
      <c r="J383" s="79">
        <f t="shared" si="176"/>
        <v>0</v>
      </c>
      <c r="K383" s="79">
        <f t="shared" si="176"/>
        <v>0</v>
      </c>
      <c r="L383" s="79">
        <f t="shared" si="176"/>
        <v>0</v>
      </c>
      <c r="M383" s="79">
        <f t="shared" si="176"/>
        <v>0</v>
      </c>
      <c r="N383" s="79">
        <f t="shared" si="176"/>
        <v>0</v>
      </c>
      <c r="O383" s="79">
        <f t="shared" si="176"/>
        <v>0</v>
      </c>
      <c r="P383" s="79">
        <f t="shared" si="176"/>
        <v>0</v>
      </c>
      <c r="Q383" s="79">
        <f t="shared" si="177"/>
        <v>0</v>
      </c>
      <c r="R383" s="79">
        <f t="shared" si="177"/>
        <v>0</v>
      </c>
      <c r="S383" s="79">
        <f t="shared" si="177"/>
        <v>0</v>
      </c>
      <c r="T383" s="79">
        <f t="shared" si="177"/>
        <v>0</v>
      </c>
      <c r="U383" s="79">
        <f t="shared" si="177"/>
        <v>0</v>
      </c>
      <c r="V383" s="79">
        <f t="shared" si="177"/>
        <v>0</v>
      </c>
      <c r="W383" s="79">
        <f t="shared" si="177"/>
        <v>0</v>
      </c>
      <c r="X383" s="63">
        <f t="shared" si="177"/>
        <v>0</v>
      </c>
      <c r="Y383" s="63">
        <f t="shared" si="177"/>
        <v>0</v>
      </c>
      <c r="Z383" s="63">
        <f t="shared" si="177"/>
        <v>0</v>
      </c>
      <c r="AA383" s="63">
        <f>SUM(G383:Z383)</f>
        <v>0</v>
      </c>
      <c r="AB383" s="58" t="str">
        <f>IF(ABS(F383-AA383)&lt;0.01,"ok","err")</f>
        <v>ok</v>
      </c>
    </row>
    <row r="384" spans="1:28">
      <c r="A384" s="60" t="s">
        <v>712</v>
      </c>
      <c r="D384" s="60" t="s">
        <v>787</v>
      </c>
      <c r="F384" s="76">
        <f t="shared" ref="F384:P384" si="178">F382+F383</f>
        <v>0</v>
      </c>
      <c r="G384" s="76">
        <f t="shared" si="178"/>
        <v>0</v>
      </c>
      <c r="H384" s="76">
        <f t="shared" si="178"/>
        <v>0</v>
      </c>
      <c r="I384" s="76">
        <f t="shared" si="178"/>
        <v>0</v>
      </c>
      <c r="J384" s="76">
        <f t="shared" si="178"/>
        <v>0</v>
      </c>
      <c r="K384" s="76">
        <f t="shared" si="178"/>
        <v>0</v>
      </c>
      <c r="L384" s="76">
        <f t="shared" si="178"/>
        <v>0</v>
      </c>
      <c r="M384" s="76">
        <f t="shared" si="178"/>
        <v>0</v>
      </c>
      <c r="N384" s="76">
        <f t="shared" si="178"/>
        <v>0</v>
      </c>
      <c r="O384" s="76">
        <f>O382+O383</f>
        <v>0</v>
      </c>
      <c r="P384" s="76">
        <f t="shared" si="178"/>
        <v>0</v>
      </c>
      <c r="Q384" s="76">
        <f t="shared" ref="Q384:Z384" si="179">Q382+Q383</f>
        <v>0</v>
      </c>
      <c r="R384" s="76">
        <f t="shared" si="179"/>
        <v>0</v>
      </c>
      <c r="S384" s="76">
        <f t="shared" si="179"/>
        <v>0</v>
      </c>
      <c r="T384" s="76">
        <f t="shared" si="179"/>
        <v>0</v>
      </c>
      <c r="U384" s="76">
        <f t="shared" si="179"/>
        <v>0</v>
      </c>
      <c r="V384" s="76">
        <f t="shared" si="179"/>
        <v>0</v>
      </c>
      <c r="W384" s="76">
        <f t="shared" si="179"/>
        <v>0</v>
      </c>
      <c r="X384" s="62">
        <f t="shared" si="179"/>
        <v>0</v>
      </c>
      <c r="Y384" s="62">
        <f t="shared" si="179"/>
        <v>0</v>
      </c>
      <c r="Z384" s="62">
        <f t="shared" si="179"/>
        <v>0</v>
      </c>
      <c r="AA384" s="64">
        <f>SUM(G384:Z384)</f>
        <v>0</v>
      </c>
      <c r="AB384" s="58" t="str">
        <f>IF(ABS(F384-AA384)&lt;0.01,"ok","err")</f>
        <v>ok</v>
      </c>
    </row>
    <row r="385" spans="1:28">
      <c r="F385" s="79"/>
    </row>
    <row r="386" spans="1:28" ht="15">
      <c r="A386" s="65" t="s">
        <v>354</v>
      </c>
      <c r="F386" s="79"/>
    </row>
    <row r="387" spans="1:28">
      <c r="A387" s="68" t="s">
        <v>1093</v>
      </c>
      <c r="C387" s="111" t="s">
        <v>765</v>
      </c>
      <c r="D387" s="60" t="s">
        <v>788</v>
      </c>
      <c r="E387" s="60" t="s">
        <v>1095</v>
      </c>
      <c r="F387" s="76">
        <f>VLOOKUP(C387,'Functional Assignment'!$C$2:$AP$780,'Functional Assignment'!$Z$2,)</f>
        <v>0</v>
      </c>
      <c r="G387" s="76">
        <f t="shared" ref="G387:Z387" si="180">IF(VLOOKUP($E387,$D$6:$AN$1131,3,)=0,0,(VLOOKUP($E387,$D$6:$AN$1131,G$2,)/VLOOKUP($E387,$D$6:$AN$1131,3,))*$F387)</f>
        <v>0</v>
      </c>
      <c r="H387" s="76">
        <f t="shared" si="180"/>
        <v>0</v>
      </c>
      <c r="I387" s="76">
        <f t="shared" si="180"/>
        <v>0</v>
      </c>
      <c r="J387" s="76">
        <f t="shared" si="180"/>
        <v>0</v>
      </c>
      <c r="K387" s="76">
        <f t="shared" si="180"/>
        <v>0</v>
      </c>
      <c r="L387" s="76">
        <f t="shared" si="180"/>
        <v>0</v>
      </c>
      <c r="M387" s="76">
        <f t="shared" si="180"/>
        <v>0</v>
      </c>
      <c r="N387" s="76">
        <f t="shared" si="180"/>
        <v>0</v>
      </c>
      <c r="O387" s="76">
        <f t="shared" si="180"/>
        <v>0</v>
      </c>
      <c r="P387" s="76">
        <f t="shared" si="180"/>
        <v>0</v>
      </c>
      <c r="Q387" s="76">
        <f t="shared" si="180"/>
        <v>0</v>
      </c>
      <c r="R387" s="76">
        <f t="shared" si="180"/>
        <v>0</v>
      </c>
      <c r="S387" s="76">
        <f t="shared" si="180"/>
        <v>0</v>
      </c>
      <c r="T387" s="76">
        <f t="shared" si="180"/>
        <v>0</v>
      </c>
      <c r="U387" s="76">
        <f t="shared" si="180"/>
        <v>0</v>
      </c>
      <c r="V387" s="76">
        <f t="shared" si="180"/>
        <v>0</v>
      </c>
      <c r="W387" s="76">
        <f t="shared" si="180"/>
        <v>0</v>
      </c>
      <c r="X387" s="62">
        <f t="shared" si="180"/>
        <v>0</v>
      </c>
      <c r="Y387" s="62">
        <f t="shared" si="180"/>
        <v>0</v>
      </c>
      <c r="Z387" s="62">
        <f t="shared" si="180"/>
        <v>0</v>
      </c>
      <c r="AA387" s="64">
        <f>SUM(G387:Z387)</f>
        <v>0</v>
      </c>
      <c r="AB387" s="58" t="str">
        <f>IF(ABS(F387-AA387)&lt;0.01,"ok","err")</f>
        <v>ok</v>
      </c>
    </row>
    <row r="388" spans="1:28">
      <c r="A388" s="68"/>
      <c r="C388" s="111"/>
      <c r="F388" s="79"/>
      <c r="AB388" s="58"/>
    </row>
    <row r="389" spans="1:28" hidden="1">
      <c r="F389" s="79">
        <v>-481.11596323706613</v>
      </c>
      <c r="G389" s="60">
        <v>-282.97749498118196</v>
      </c>
      <c r="H389" s="60">
        <v>-81.183507636622537</v>
      </c>
      <c r="I389" s="60">
        <v>0</v>
      </c>
      <c r="J389" s="60">
        <v>-86.606165658267514</v>
      </c>
      <c r="K389" s="60">
        <v>0</v>
      </c>
      <c r="L389" s="60">
        <v>-1.6617745370208263</v>
      </c>
      <c r="M389" s="60">
        <v>0</v>
      </c>
      <c r="N389" s="60">
        <v>-26.887646721466677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-0.14048586126522331</v>
      </c>
      <c r="U389" s="60">
        <v>-0.66586449312009954</v>
      </c>
      <c r="V389" s="60">
        <v>0</v>
      </c>
      <c r="W389" s="60">
        <v>-0.99302334812130444</v>
      </c>
      <c r="AA389" s="44">
        <v>-482.10898658518755</v>
      </c>
    </row>
    <row r="390" spans="1:28" ht="15">
      <c r="A390" s="65" t="s">
        <v>353</v>
      </c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62"/>
      <c r="Y390" s="62"/>
      <c r="Z390" s="62"/>
      <c r="AA390" s="64"/>
    </row>
    <row r="391" spans="1:28">
      <c r="A391" s="68" t="s">
        <v>1093</v>
      </c>
      <c r="C391" s="111" t="s">
        <v>765</v>
      </c>
      <c r="D391" s="60" t="s">
        <v>789</v>
      </c>
      <c r="E391" s="60" t="s">
        <v>1096</v>
      </c>
      <c r="F391" s="76">
        <f>VLOOKUP(C391,'Functional Assignment'!$C$2:$AP$780,'Functional Assignment'!$AA$2,)</f>
        <v>0</v>
      </c>
      <c r="G391" s="76">
        <f t="shared" ref="G391:Z391" si="181">IF(VLOOKUP($E391,$D$6:$AN$1131,3,)=0,0,(VLOOKUP($E391,$D$6:$AN$1131,G$2,)/VLOOKUP($E391,$D$6:$AN$1131,3,))*$F391)</f>
        <v>0</v>
      </c>
      <c r="H391" s="76">
        <f t="shared" si="181"/>
        <v>0</v>
      </c>
      <c r="I391" s="76">
        <f t="shared" si="181"/>
        <v>0</v>
      </c>
      <c r="J391" s="76">
        <f t="shared" si="181"/>
        <v>0</v>
      </c>
      <c r="K391" s="76">
        <f t="shared" si="181"/>
        <v>0</v>
      </c>
      <c r="L391" s="76">
        <f t="shared" si="181"/>
        <v>0</v>
      </c>
      <c r="M391" s="76">
        <f t="shared" si="181"/>
        <v>0</v>
      </c>
      <c r="N391" s="76">
        <f t="shared" si="181"/>
        <v>0</v>
      </c>
      <c r="O391" s="76">
        <f t="shared" si="181"/>
        <v>0</v>
      </c>
      <c r="P391" s="76">
        <f t="shared" si="181"/>
        <v>0</v>
      </c>
      <c r="Q391" s="76">
        <f t="shared" si="181"/>
        <v>0</v>
      </c>
      <c r="R391" s="76">
        <f t="shared" si="181"/>
        <v>0</v>
      </c>
      <c r="S391" s="76">
        <f t="shared" si="181"/>
        <v>0</v>
      </c>
      <c r="T391" s="76">
        <f t="shared" si="181"/>
        <v>0</v>
      </c>
      <c r="U391" s="76">
        <f t="shared" si="181"/>
        <v>0</v>
      </c>
      <c r="V391" s="76">
        <f t="shared" si="181"/>
        <v>0</v>
      </c>
      <c r="W391" s="76">
        <f t="shared" si="181"/>
        <v>0</v>
      </c>
      <c r="X391" s="62">
        <f t="shared" si="181"/>
        <v>0</v>
      </c>
      <c r="Y391" s="62">
        <f t="shared" si="181"/>
        <v>0</v>
      </c>
      <c r="Z391" s="62">
        <f t="shared" si="181"/>
        <v>0</v>
      </c>
      <c r="AA391" s="64">
        <f>SUM(G391:Z391)</f>
        <v>0</v>
      </c>
      <c r="AB391" s="58" t="str">
        <f>IF(ABS(F391-AA391)&lt;0.01,"ok","err")</f>
        <v>ok</v>
      </c>
    </row>
    <row r="392" spans="1:28">
      <c r="F392" s="79"/>
    </row>
    <row r="393" spans="1:28" ht="15">
      <c r="A393" s="65" t="s">
        <v>371</v>
      </c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62"/>
      <c r="Y393" s="62"/>
      <c r="Z393" s="62"/>
      <c r="AA393" s="64"/>
    </row>
    <row r="394" spans="1:28">
      <c r="A394" s="68" t="s">
        <v>1093</v>
      </c>
      <c r="C394" s="111" t="s">
        <v>765</v>
      </c>
      <c r="D394" s="60" t="s">
        <v>790</v>
      </c>
      <c r="E394" s="60" t="s">
        <v>1097</v>
      </c>
      <c r="F394" s="76">
        <f>VLOOKUP(C394,'Functional Assignment'!$C$2:$AP$780,'Functional Assignment'!$AB$2,)</f>
        <v>0</v>
      </c>
      <c r="G394" s="76">
        <f t="shared" ref="G394:Z394" si="182">IF(VLOOKUP($E394,$D$6:$AN$1131,3,)=0,0,(VLOOKUP($E394,$D$6:$AN$1131,G$2,)/VLOOKUP($E394,$D$6:$AN$1131,3,))*$F394)</f>
        <v>0</v>
      </c>
      <c r="H394" s="76">
        <f t="shared" si="182"/>
        <v>0</v>
      </c>
      <c r="I394" s="76">
        <f t="shared" si="182"/>
        <v>0</v>
      </c>
      <c r="J394" s="76">
        <f t="shared" si="182"/>
        <v>0</v>
      </c>
      <c r="K394" s="76">
        <f t="shared" si="182"/>
        <v>0</v>
      </c>
      <c r="L394" s="76">
        <f t="shared" si="182"/>
        <v>0</v>
      </c>
      <c r="M394" s="76">
        <f t="shared" si="182"/>
        <v>0</v>
      </c>
      <c r="N394" s="76">
        <f t="shared" si="182"/>
        <v>0</v>
      </c>
      <c r="O394" s="76">
        <f t="shared" si="182"/>
        <v>0</v>
      </c>
      <c r="P394" s="76">
        <f t="shared" si="182"/>
        <v>0</v>
      </c>
      <c r="Q394" s="76">
        <f t="shared" si="182"/>
        <v>0</v>
      </c>
      <c r="R394" s="76">
        <f t="shared" si="182"/>
        <v>0</v>
      </c>
      <c r="S394" s="76">
        <f t="shared" si="182"/>
        <v>0</v>
      </c>
      <c r="T394" s="76">
        <f t="shared" si="182"/>
        <v>0</v>
      </c>
      <c r="U394" s="76">
        <f t="shared" si="182"/>
        <v>0</v>
      </c>
      <c r="V394" s="76">
        <f t="shared" si="182"/>
        <v>0</v>
      </c>
      <c r="W394" s="76">
        <f t="shared" si="182"/>
        <v>0</v>
      </c>
      <c r="X394" s="62">
        <f t="shared" si="182"/>
        <v>0</v>
      </c>
      <c r="Y394" s="62">
        <f t="shared" si="182"/>
        <v>0</v>
      </c>
      <c r="Z394" s="62">
        <f t="shared" si="182"/>
        <v>0</v>
      </c>
      <c r="AA394" s="64">
        <f>SUM(G394:Z394)</f>
        <v>0</v>
      </c>
      <c r="AB394" s="58" t="str">
        <f>IF(ABS(F394-AA394)&lt;0.01,"ok","err")</f>
        <v>ok</v>
      </c>
    </row>
    <row r="395" spans="1:28">
      <c r="F395" s="79"/>
    </row>
    <row r="396" spans="1:28" ht="15">
      <c r="A396" s="65" t="s">
        <v>1025</v>
      </c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62"/>
      <c r="Y396" s="62"/>
      <c r="Z396" s="62"/>
      <c r="AA396" s="64"/>
    </row>
    <row r="397" spans="1:28">
      <c r="A397" s="68" t="s">
        <v>1093</v>
      </c>
      <c r="C397" s="111" t="s">
        <v>765</v>
      </c>
      <c r="D397" s="60" t="s">
        <v>791</v>
      </c>
      <c r="E397" s="60" t="s">
        <v>1098</v>
      </c>
      <c r="F397" s="76">
        <f>VLOOKUP(C397,'Functional Assignment'!$C$2:$AP$780,'Functional Assignment'!$AC$2,)</f>
        <v>0</v>
      </c>
      <c r="G397" s="76">
        <f t="shared" ref="G397:Z397" si="183">IF(VLOOKUP($E397,$D$6:$AN$1131,3,)=0,0,(VLOOKUP($E397,$D$6:$AN$1131,G$2,)/VLOOKUP($E397,$D$6:$AN$1131,3,))*$F397)</f>
        <v>0</v>
      </c>
      <c r="H397" s="76">
        <f t="shared" si="183"/>
        <v>0</v>
      </c>
      <c r="I397" s="76">
        <f t="shared" si="183"/>
        <v>0</v>
      </c>
      <c r="J397" s="76">
        <f t="shared" si="183"/>
        <v>0</v>
      </c>
      <c r="K397" s="76">
        <f t="shared" si="183"/>
        <v>0</v>
      </c>
      <c r="L397" s="76">
        <f t="shared" si="183"/>
        <v>0</v>
      </c>
      <c r="M397" s="76">
        <f t="shared" si="183"/>
        <v>0</v>
      </c>
      <c r="N397" s="76">
        <f t="shared" si="183"/>
        <v>0</v>
      </c>
      <c r="O397" s="76">
        <f t="shared" si="183"/>
        <v>0</v>
      </c>
      <c r="P397" s="76">
        <f t="shared" si="183"/>
        <v>0</v>
      </c>
      <c r="Q397" s="76">
        <f t="shared" si="183"/>
        <v>0</v>
      </c>
      <c r="R397" s="76">
        <f t="shared" si="183"/>
        <v>0</v>
      </c>
      <c r="S397" s="76">
        <f t="shared" si="183"/>
        <v>0</v>
      </c>
      <c r="T397" s="76">
        <f t="shared" si="183"/>
        <v>0</v>
      </c>
      <c r="U397" s="76">
        <f t="shared" si="183"/>
        <v>0</v>
      </c>
      <c r="V397" s="76">
        <f t="shared" si="183"/>
        <v>0</v>
      </c>
      <c r="W397" s="76">
        <f t="shared" si="183"/>
        <v>0</v>
      </c>
      <c r="X397" s="62">
        <f t="shared" si="183"/>
        <v>0</v>
      </c>
      <c r="Y397" s="62">
        <f t="shared" si="183"/>
        <v>0</v>
      </c>
      <c r="Z397" s="62">
        <f t="shared" si="183"/>
        <v>0</v>
      </c>
      <c r="AA397" s="64">
        <f>SUM(G397:Z397)</f>
        <v>0</v>
      </c>
      <c r="AB397" s="58" t="str">
        <f>IF(ABS(F397-AA397)&lt;0.01,"ok","err")</f>
        <v>ok</v>
      </c>
    </row>
    <row r="398" spans="1:28">
      <c r="F398" s="79"/>
    </row>
    <row r="399" spans="1:28" ht="15">
      <c r="A399" s="65" t="s">
        <v>351</v>
      </c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62"/>
      <c r="Y399" s="62"/>
      <c r="Z399" s="62"/>
      <c r="AA399" s="64"/>
    </row>
    <row r="400" spans="1:28">
      <c r="A400" s="68" t="s">
        <v>1093</v>
      </c>
      <c r="C400" s="111" t="s">
        <v>765</v>
      </c>
      <c r="D400" s="60" t="s">
        <v>792</v>
      </c>
      <c r="E400" s="60" t="s">
        <v>1098</v>
      </c>
      <c r="F400" s="76">
        <f>VLOOKUP(C400,'Functional Assignment'!$C$2:$AP$780,'Functional Assignment'!$AD$2,)</f>
        <v>0</v>
      </c>
      <c r="G400" s="76">
        <f t="shared" ref="G400:Z400" si="184">IF(VLOOKUP($E400,$D$6:$AN$1131,3,)=0,0,(VLOOKUP($E400,$D$6:$AN$1131,G$2,)/VLOOKUP($E400,$D$6:$AN$1131,3,))*$F400)</f>
        <v>0</v>
      </c>
      <c r="H400" s="76">
        <f t="shared" si="184"/>
        <v>0</v>
      </c>
      <c r="I400" s="76">
        <f t="shared" si="184"/>
        <v>0</v>
      </c>
      <c r="J400" s="76">
        <f t="shared" si="184"/>
        <v>0</v>
      </c>
      <c r="K400" s="76">
        <f t="shared" si="184"/>
        <v>0</v>
      </c>
      <c r="L400" s="76">
        <f t="shared" si="184"/>
        <v>0</v>
      </c>
      <c r="M400" s="76">
        <f t="shared" si="184"/>
        <v>0</v>
      </c>
      <c r="N400" s="76">
        <f t="shared" si="184"/>
        <v>0</v>
      </c>
      <c r="O400" s="76">
        <f t="shared" si="184"/>
        <v>0</v>
      </c>
      <c r="P400" s="76">
        <f t="shared" si="184"/>
        <v>0</v>
      </c>
      <c r="Q400" s="76">
        <f t="shared" si="184"/>
        <v>0</v>
      </c>
      <c r="R400" s="76">
        <f t="shared" si="184"/>
        <v>0</v>
      </c>
      <c r="S400" s="76">
        <f t="shared" si="184"/>
        <v>0</v>
      </c>
      <c r="T400" s="76">
        <f t="shared" si="184"/>
        <v>0</v>
      </c>
      <c r="U400" s="76">
        <f t="shared" si="184"/>
        <v>0</v>
      </c>
      <c r="V400" s="76">
        <f t="shared" si="184"/>
        <v>0</v>
      </c>
      <c r="W400" s="76">
        <f t="shared" si="184"/>
        <v>0</v>
      </c>
      <c r="X400" s="62">
        <f t="shared" si="184"/>
        <v>0</v>
      </c>
      <c r="Y400" s="62">
        <f t="shared" si="184"/>
        <v>0</v>
      </c>
      <c r="Z400" s="62">
        <f t="shared" si="184"/>
        <v>0</v>
      </c>
      <c r="AA400" s="64">
        <f>SUM(G400:Z400)</f>
        <v>0</v>
      </c>
      <c r="AB400" s="58" t="str">
        <f>IF(ABS(F400-AA400)&lt;0.01,"ok","err")</f>
        <v>ok</v>
      </c>
    </row>
    <row r="401" spans="1:28">
      <c r="F401" s="79"/>
    </row>
    <row r="402" spans="1:28" ht="15">
      <c r="A402" s="65" t="s">
        <v>350</v>
      </c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62"/>
      <c r="Y402" s="62"/>
      <c r="Z402" s="62"/>
      <c r="AA402" s="64"/>
    </row>
    <row r="403" spans="1:28">
      <c r="A403" s="68" t="s">
        <v>1093</v>
      </c>
      <c r="C403" s="111" t="s">
        <v>765</v>
      </c>
      <c r="D403" s="60" t="s">
        <v>793</v>
      </c>
      <c r="E403" s="60" t="s">
        <v>1099</v>
      </c>
      <c r="F403" s="76">
        <f>VLOOKUP(C403,'Functional Assignment'!$C$2:$AP$780,'Functional Assignment'!$AE$2,)</f>
        <v>0</v>
      </c>
      <c r="G403" s="76">
        <f t="shared" ref="G403:Z403" si="185">IF(VLOOKUP($E403,$D$6:$AN$1131,3,)=0,0,(VLOOKUP($E403,$D$6:$AN$1131,G$2,)/VLOOKUP($E403,$D$6:$AN$1131,3,))*$F403)</f>
        <v>0</v>
      </c>
      <c r="H403" s="76">
        <f t="shared" si="185"/>
        <v>0</v>
      </c>
      <c r="I403" s="76">
        <f t="shared" si="185"/>
        <v>0</v>
      </c>
      <c r="J403" s="76">
        <f t="shared" si="185"/>
        <v>0</v>
      </c>
      <c r="K403" s="76">
        <f t="shared" si="185"/>
        <v>0</v>
      </c>
      <c r="L403" s="76">
        <f t="shared" si="185"/>
        <v>0</v>
      </c>
      <c r="M403" s="76">
        <f t="shared" si="185"/>
        <v>0</v>
      </c>
      <c r="N403" s="76">
        <f t="shared" si="185"/>
        <v>0</v>
      </c>
      <c r="O403" s="76">
        <f t="shared" si="185"/>
        <v>0</v>
      </c>
      <c r="P403" s="76">
        <f t="shared" si="185"/>
        <v>0</v>
      </c>
      <c r="Q403" s="76">
        <f t="shared" si="185"/>
        <v>0</v>
      </c>
      <c r="R403" s="76">
        <f t="shared" si="185"/>
        <v>0</v>
      </c>
      <c r="S403" s="76">
        <f t="shared" si="185"/>
        <v>0</v>
      </c>
      <c r="T403" s="76">
        <f t="shared" si="185"/>
        <v>0</v>
      </c>
      <c r="U403" s="76">
        <f t="shared" si="185"/>
        <v>0</v>
      </c>
      <c r="V403" s="76">
        <f t="shared" si="185"/>
        <v>0</v>
      </c>
      <c r="W403" s="76">
        <f t="shared" si="185"/>
        <v>0</v>
      </c>
      <c r="X403" s="62">
        <f t="shared" si="185"/>
        <v>0</v>
      </c>
      <c r="Y403" s="62">
        <f t="shared" si="185"/>
        <v>0</v>
      </c>
      <c r="Z403" s="62">
        <f t="shared" si="185"/>
        <v>0</v>
      </c>
      <c r="AA403" s="64">
        <f>SUM(G403:Z403)</f>
        <v>0</v>
      </c>
      <c r="AB403" s="58" t="str">
        <f>IF(ABS(F403-AA403)&lt;0.01,"ok","err")</f>
        <v>ok</v>
      </c>
    </row>
    <row r="404" spans="1:28"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62"/>
      <c r="Y404" s="62"/>
      <c r="Z404" s="62"/>
      <c r="AA404" s="64"/>
    </row>
    <row r="405" spans="1:28">
      <c r="A405" s="60" t="s">
        <v>922</v>
      </c>
      <c r="D405" s="60" t="s">
        <v>794</v>
      </c>
      <c r="F405" s="76">
        <f t="shared" ref="F405:P405" si="186">F359+F365+F368+F371+F379+F384+F387+F391+F394+F397+F400+F403</f>
        <v>0</v>
      </c>
      <c r="G405" s="76">
        <f t="shared" si="186"/>
        <v>0</v>
      </c>
      <c r="H405" s="76">
        <f t="shared" si="186"/>
        <v>0</v>
      </c>
      <c r="I405" s="76">
        <f t="shared" si="186"/>
        <v>0</v>
      </c>
      <c r="J405" s="76">
        <f t="shared" si="186"/>
        <v>0</v>
      </c>
      <c r="K405" s="76">
        <f t="shared" si="186"/>
        <v>0</v>
      </c>
      <c r="L405" s="76">
        <f t="shared" si="186"/>
        <v>0</v>
      </c>
      <c r="M405" s="76">
        <f t="shared" si="186"/>
        <v>0</v>
      </c>
      <c r="N405" s="76">
        <f t="shared" si="186"/>
        <v>0</v>
      </c>
      <c r="O405" s="76">
        <f>O359+O365+O368+O371+O379+O384+O387+O391+O394+O397+O400+O403</f>
        <v>0</v>
      </c>
      <c r="P405" s="76">
        <f t="shared" si="186"/>
        <v>0</v>
      </c>
      <c r="Q405" s="76">
        <f>Q359+Q365+Q368+Q371+Q379+Q384+Q387+Q391+Q394+Q397+Q400+Q403</f>
        <v>0</v>
      </c>
      <c r="R405" s="76">
        <f>R359+R365+R368+R371+R379+R384+R387+R391+R394+R397+R400+R403</f>
        <v>0</v>
      </c>
      <c r="S405" s="76">
        <f t="shared" ref="S405:Z405" si="187">S359+S365+S368+S371+S379+S384+S387+S391+S394+S397+S400+S403</f>
        <v>0</v>
      </c>
      <c r="T405" s="76">
        <f t="shared" si="187"/>
        <v>0</v>
      </c>
      <c r="U405" s="76">
        <f t="shared" si="187"/>
        <v>0</v>
      </c>
      <c r="V405" s="76">
        <f t="shared" si="187"/>
        <v>0</v>
      </c>
      <c r="W405" s="76">
        <f t="shared" si="187"/>
        <v>0</v>
      </c>
      <c r="X405" s="62">
        <f t="shared" si="187"/>
        <v>0</v>
      </c>
      <c r="Y405" s="62">
        <f t="shared" si="187"/>
        <v>0</v>
      </c>
      <c r="Z405" s="62">
        <f t="shared" si="187"/>
        <v>0</v>
      </c>
      <c r="AA405" s="64">
        <f>SUM(G405:Z405)</f>
        <v>0</v>
      </c>
      <c r="AB405" s="58" t="str">
        <f>IF(ABS(F405-AA405)&lt;0.01,"ok","err")</f>
        <v>ok</v>
      </c>
    </row>
    <row r="408" spans="1:28" ht="15">
      <c r="A408" s="65" t="s">
        <v>733</v>
      </c>
    </row>
    <row r="410" spans="1:28" ht="15">
      <c r="A410" s="65" t="s">
        <v>364</v>
      </c>
    </row>
    <row r="411" spans="1:28">
      <c r="A411" s="68" t="s">
        <v>359</v>
      </c>
      <c r="C411" s="60" t="s">
        <v>734</v>
      </c>
      <c r="D411" s="60" t="s">
        <v>735</v>
      </c>
      <c r="E411" s="60" t="s">
        <v>869</v>
      </c>
      <c r="F411" s="76">
        <f>VLOOKUP(C411,'Functional Assignment'!$C$2:$AP$780,'Functional Assignment'!$H$2,)</f>
        <v>0</v>
      </c>
      <c r="G411" s="76">
        <f t="shared" ref="G411:P416" si="188">IF(VLOOKUP($E411,$D$6:$AN$1131,3,)=0,0,(VLOOKUP($E411,$D$6:$AN$1131,G$2,)/VLOOKUP($E411,$D$6:$AN$1131,3,))*$F411)</f>
        <v>0</v>
      </c>
      <c r="H411" s="76">
        <f t="shared" si="188"/>
        <v>0</v>
      </c>
      <c r="I411" s="76">
        <f t="shared" si="188"/>
        <v>0</v>
      </c>
      <c r="J411" s="76">
        <f t="shared" si="188"/>
        <v>0</v>
      </c>
      <c r="K411" s="76">
        <f t="shared" si="188"/>
        <v>0</v>
      </c>
      <c r="L411" s="76">
        <f t="shared" si="188"/>
        <v>0</v>
      </c>
      <c r="M411" s="76">
        <f t="shared" si="188"/>
        <v>0</v>
      </c>
      <c r="N411" s="76">
        <f t="shared" si="188"/>
        <v>0</v>
      </c>
      <c r="O411" s="76">
        <f t="shared" si="188"/>
        <v>0</v>
      </c>
      <c r="P411" s="76">
        <f t="shared" si="188"/>
        <v>0</v>
      </c>
      <c r="Q411" s="76">
        <f t="shared" ref="Q411:Z416" si="189">IF(VLOOKUP($E411,$D$6:$AN$1131,3,)=0,0,(VLOOKUP($E411,$D$6:$AN$1131,Q$2,)/VLOOKUP($E411,$D$6:$AN$1131,3,))*$F411)</f>
        <v>0</v>
      </c>
      <c r="R411" s="76">
        <f t="shared" si="189"/>
        <v>0</v>
      </c>
      <c r="S411" s="76">
        <f t="shared" si="189"/>
        <v>0</v>
      </c>
      <c r="T411" s="76">
        <f t="shared" si="189"/>
        <v>0</v>
      </c>
      <c r="U411" s="76">
        <f t="shared" si="189"/>
        <v>0</v>
      </c>
      <c r="V411" s="76">
        <f t="shared" si="189"/>
        <v>0</v>
      </c>
      <c r="W411" s="76">
        <f t="shared" si="189"/>
        <v>0</v>
      </c>
      <c r="X411" s="62">
        <f t="shared" si="189"/>
        <v>0</v>
      </c>
      <c r="Y411" s="62">
        <f t="shared" si="189"/>
        <v>0</v>
      </c>
      <c r="Z411" s="62">
        <f t="shared" si="189"/>
        <v>0</v>
      </c>
      <c r="AA411" s="64">
        <f t="shared" ref="AA411:AA417" si="190">SUM(G411:Z411)</f>
        <v>0</v>
      </c>
      <c r="AB411" s="58" t="str">
        <f t="shared" ref="AB411:AB417" si="191">IF(ABS(F411-AA411)&lt;0.01,"ok","err")</f>
        <v>ok</v>
      </c>
    </row>
    <row r="412" spans="1:28">
      <c r="A412" s="68" t="s">
        <v>1255</v>
      </c>
      <c r="C412" s="60" t="s">
        <v>734</v>
      </c>
      <c r="D412" s="60" t="s">
        <v>736</v>
      </c>
      <c r="E412" s="60" t="s">
        <v>188</v>
      </c>
      <c r="F412" s="79">
        <f>VLOOKUP(C412,'Functional Assignment'!$C$2:$AP$780,'Functional Assignment'!$I$2,)</f>
        <v>0</v>
      </c>
      <c r="G412" s="79">
        <f t="shared" si="188"/>
        <v>0</v>
      </c>
      <c r="H412" s="79">
        <f t="shared" si="188"/>
        <v>0</v>
      </c>
      <c r="I412" s="79">
        <f t="shared" si="188"/>
        <v>0</v>
      </c>
      <c r="J412" s="79">
        <f t="shared" si="188"/>
        <v>0</v>
      </c>
      <c r="K412" s="79">
        <f t="shared" si="188"/>
        <v>0</v>
      </c>
      <c r="L412" s="79">
        <f t="shared" si="188"/>
        <v>0</v>
      </c>
      <c r="M412" s="79">
        <f t="shared" si="188"/>
        <v>0</v>
      </c>
      <c r="N412" s="79">
        <f t="shared" si="188"/>
        <v>0</v>
      </c>
      <c r="O412" s="79">
        <f t="shared" si="188"/>
        <v>0</v>
      </c>
      <c r="P412" s="79">
        <f t="shared" si="188"/>
        <v>0</v>
      </c>
      <c r="Q412" s="79">
        <f t="shared" si="189"/>
        <v>0</v>
      </c>
      <c r="R412" s="79">
        <f t="shared" si="189"/>
        <v>0</v>
      </c>
      <c r="S412" s="79">
        <f t="shared" si="189"/>
        <v>0</v>
      </c>
      <c r="T412" s="79">
        <f t="shared" si="189"/>
        <v>0</v>
      </c>
      <c r="U412" s="79">
        <f t="shared" si="189"/>
        <v>0</v>
      </c>
      <c r="V412" s="79">
        <f t="shared" si="189"/>
        <v>0</v>
      </c>
      <c r="W412" s="79">
        <f t="shared" si="189"/>
        <v>0</v>
      </c>
      <c r="X412" s="63">
        <f t="shared" si="189"/>
        <v>0</v>
      </c>
      <c r="Y412" s="63">
        <f t="shared" si="189"/>
        <v>0</v>
      </c>
      <c r="Z412" s="63">
        <f t="shared" si="189"/>
        <v>0</v>
      </c>
      <c r="AA412" s="63">
        <f t="shared" si="190"/>
        <v>0</v>
      </c>
      <c r="AB412" s="58" t="str">
        <f t="shared" si="191"/>
        <v>ok</v>
      </c>
    </row>
    <row r="413" spans="1:28">
      <c r="A413" s="68" t="s">
        <v>1256</v>
      </c>
      <c r="C413" s="60" t="s">
        <v>734</v>
      </c>
      <c r="D413" s="60" t="s">
        <v>737</v>
      </c>
      <c r="E413" s="60" t="s">
        <v>191</v>
      </c>
      <c r="F413" s="79">
        <f>VLOOKUP(C413,'Functional Assignment'!$C$2:$AP$780,'Functional Assignment'!$J$2,)</f>
        <v>0</v>
      </c>
      <c r="G413" s="79">
        <f t="shared" si="188"/>
        <v>0</v>
      </c>
      <c r="H413" s="79">
        <f t="shared" si="188"/>
        <v>0</v>
      </c>
      <c r="I413" s="79">
        <f t="shared" si="188"/>
        <v>0</v>
      </c>
      <c r="J413" s="79">
        <f t="shared" si="188"/>
        <v>0</v>
      </c>
      <c r="K413" s="79">
        <f t="shared" si="188"/>
        <v>0</v>
      </c>
      <c r="L413" s="79">
        <f t="shared" si="188"/>
        <v>0</v>
      </c>
      <c r="M413" s="79">
        <f t="shared" si="188"/>
        <v>0</v>
      </c>
      <c r="N413" s="79">
        <f t="shared" si="188"/>
        <v>0</v>
      </c>
      <c r="O413" s="79">
        <f t="shared" si="188"/>
        <v>0</v>
      </c>
      <c r="P413" s="79">
        <f t="shared" si="188"/>
        <v>0</v>
      </c>
      <c r="Q413" s="79">
        <f t="shared" si="189"/>
        <v>0</v>
      </c>
      <c r="R413" s="79">
        <f t="shared" si="189"/>
        <v>0</v>
      </c>
      <c r="S413" s="79">
        <f t="shared" si="189"/>
        <v>0</v>
      </c>
      <c r="T413" s="79">
        <f t="shared" si="189"/>
        <v>0</v>
      </c>
      <c r="U413" s="79">
        <f t="shared" si="189"/>
        <v>0</v>
      </c>
      <c r="V413" s="79">
        <f t="shared" si="189"/>
        <v>0</v>
      </c>
      <c r="W413" s="79">
        <f t="shared" si="189"/>
        <v>0</v>
      </c>
      <c r="X413" s="63">
        <f t="shared" si="189"/>
        <v>0</v>
      </c>
      <c r="Y413" s="63">
        <f t="shared" si="189"/>
        <v>0</v>
      </c>
      <c r="Z413" s="63">
        <f t="shared" si="189"/>
        <v>0</v>
      </c>
      <c r="AA413" s="63">
        <f t="shared" si="190"/>
        <v>0</v>
      </c>
      <c r="AB413" s="58" t="str">
        <f t="shared" si="191"/>
        <v>ok</v>
      </c>
    </row>
    <row r="414" spans="1:28">
      <c r="A414" s="68" t="s">
        <v>1257</v>
      </c>
      <c r="C414" s="60" t="s">
        <v>734</v>
      </c>
      <c r="D414" s="60" t="s">
        <v>738</v>
      </c>
      <c r="E414" s="60" t="s">
        <v>1091</v>
      </c>
      <c r="F414" s="79">
        <f>VLOOKUP(C414,'Functional Assignment'!$C$2:$AP$780,'Functional Assignment'!$K$2,)</f>
        <v>0</v>
      </c>
      <c r="G414" s="79">
        <f t="shared" si="188"/>
        <v>0</v>
      </c>
      <c r="H414" s="79">
        <f t="shared" si="188"/>
        <v>0</v>
      </c>
      <c r="I414" s="79">
        <f t="shared" si="188"/>
        <v>0</v>
      </c>
      <c r="J414" s="79">
        <f t="shared" si="188"/>
        <v>0</v>
      </c>
      <c r="K414" s="79">
        <f t="shared" si="188"/>
        <v>0</v>
      </c>
      <c r="L414" s="79">
        <f t="shared" si="188"/>
        <v>0</v>
      </c>
      <c r="M414" s="79">
        <f t="shared" si="188"/>
        <v>0</v>
      </c>
      <c r="N414" s="79">
        <f t="shared" si="188"/>
        <v>0</v>
      </c>
      <c r="O414" s="79">
        <f t="shared" si="188"/>
        <v>0</v>
      </c>
      <c r="P414" s="79">
        <f t="shared" si="188"/>
        <v>0</v>
      </c>
      <c r="Q414" s="79">
        <f t="shared" si="189"/>
        <v>0</v>
      </c>
      <c r="R414" s="79">
        <f t="shared" si="189"/>
        <v>0</v>
      </c>
      <c r="S414" s="79">
        <f t="shared" si="189"/>
        <v>0</v>
      </c>
      <c r="T414" s="79">
        <f t="shared" si="189"/>
        <v>0</v>
      </c>
      <c r="U414" s="79">
        <f t="shared" si="189"/>
        <v>0</v>
      </c>
      <c r="V414" s="79">
        <f t="shared" si="189"/>
        <v>0</v>
      </c>
      <c r="W414" s="79">
        <f t="shared" si="189"/>
        <v>0</v>
      </c>
      <c r="X414" s="63">
        <f t="shared" si="189"/>
        <v>0</v>
      </c>
      <c r="Y414" s="63">
        <f t="shared" si="189"/>
        <v>0</v>
      </c>
      <c r="Z414" s="63">
        <f t="shared" si="189"/>
        <v>0</v>
      </c>
      <c r="AA414" s="63">
        <f t="shared" si="190"/>
        <v>0</v>
      </c>
      <c r="AB414" s="58" t="str">
        <f t="shared" si="191"/>
        <v>ok</v>
      </c>
    </row>
    <row r="415" spans="1:28">
      <c r="A415" s="68" t="s">
        <v>1258</v>
      </c>
      <c r="C415" s="60" t="s">
        <v>734</v>
      </c>
      <c r="D415" s="60" t="s">
        <v>739</v>
      </c>
      <c r="E415" s="60" t="s">
        <v>1091</v>
      </c>
      <c r="F415" s="79">
        <f>VLOOKUP(C415,'Functional Assignment'!$C$2:$AP$780,'Functional Assignment'!$L$2,)</f>
        <v>0</v>
      </c>
      <c r="G415" s="79">
        <f t="shared" si="188"/>
        <v>0</v>
      </c>
      <c r="H415" s="79">
        <f t="shared" si="188"/>
        <v>0</v>
      </c>
      <c r="I415" s="79">
        <f t="shared" si="188"/>
        <v>0</v>
      </c>
      <c r="J415" s="79">
        <f t="shared" si="188"/>
        <v>0</v>
      </c>
      <c r="K415" s="79">
        <f t="shared" si="188"/>
        <v>0</v>
      </c>
      <c r="L415" s="79">
        <f t="shared" si="188"/>
        <v>0</v>
      </c>
      <c r="M415" s="79">
        <f t="shared" si="188"/>
        <v>0</v>
      </c>
      <c r="N415" s="79">
        <f t="shared" si="188"/>
        <v>0</v>
      </c>
      <c r="O415" s="79">
        <f t="shared" si="188"/>
        <v>0</v>
      </c>
      <c r="P415" s="79">
        <f t="shared" si="188"/>
        <v>0</v>
      </c>
      <c r="Q415" s="79">
        <f t="shared" si="189"/>
        <v>0</v>
      </c>
      <c r="R415" s="79">
        <f t="shared" si="189"/>
        <v>0</v>
      </c>
      <c r="S415" s="79">
        <f t="shared" si="189"/>
        <v>0</v>
      </c>
      <c r="T415" s="79">
        <f t="shared" si="189"/>
        <v>0</v>
      </c>
      <c r="U415" s="79">
        <f t="shared" si="189"/>
        <v>0</v>
      </c>
      <c r="V415" s="79">
        <f t="shared" si="189"/>
        <v>0</v>
      </c>
      <c r="W415" s="79">
        <f t="shared" si="189"/>
        <v>0</v>
      </c>
      <c r="X415" s="63">
        <f t="shared" si="189"/>
        <v>0</v>
      </c>
      <c r="Y415" s="63">
        <f t="shared" si="189"/>
        <v>0</v>
      </c>
      <c r="Z415" s="63">
        <f t="shared" si="189"/>
        <v>0</v>
      </c>
      <c r="AA415" s="63">
        <f t="shared" si="190"/>
        <v>0</v>
      </c>
      <c r="AB415" s="58" t="str">
        <f t="shared" si="191"/>
        <v>ok</v>
      </c>
    </row>
    <row r="416" spans="1:28">
      <c r="A416" s="68" t="s">
        <v>1258</v>
      </c>
      <c r="C416" s="60" t="s">
        <v>734</v>
      </c>
      <c r="D416" s="60" t="s">
        <v>740</v>
      </c>
      <c r="E416" s="60" t="s">
        <v>1091</v>
      </c>
      <c r="F416" s="79">
        <f>VLOOKUP(C416,'Functional Assignment'!$C$2:$AP$780,'Functional Assignment'!$M$2,)</f>
        <v>0</v>
      </c>
      <c r="G416" s="79">
        <f t="shared" si="188"/>
        <v>0</v>
      </c>
      <c r="H416" s="79">
        <f t="shared" si="188"/>
        <v>0</v>
      </c>
      <c r="I416" s="79">
        <f t="shared" si="188"/>
        <v>0</v>
      </c>
      <c r="J416" s="79">
        <f t="shared" si="188"/>
        <v>0</v>
      </c>
      <c r="K416" s="79">
        <f t="shared" si="188"/>
        <v>0</v>
      </c>
      <c r="L416" s="79">
        <f t="shared" si="188"/>
        <v>0</v>
      </c>
      <c r="M416" s="79">
        <f t="shared" si="188"/>
        <v>0</v>
      </c>
      <c r="N416" s="79">
        <f t="shared" si="188"/>
        <v>0</v>
      </c>
      <c r="O416" s="79">
        <f t="shared" si="188"/>
        <v>0</v>
      </c>
      <c r="P416" s="79">
        <f t="shared" si="188"/>
        <v>0</v>
      </c>
      <c r="Q416" s="79">
        <f t="shared" si="189"/>
        <v>0</v>
      </c>
      <c r="R416" s="79">
        <f t="shared" si="189"/>
        <v>0</v>
      </c>
      <c r="S416" s="79">
        <f t="shared" si="189"/>
        <v>0</v>
      </c>
      <c r="T416" s="79">
        <f t="shared" si="189"/>
        <v>0</v>
      </c>
      <c r="U416" s="79">
        <f t="shared" si="189"/>
        <v>0</v>
      </c>
      <c r="V416" s="79">
        <f t="shared" si="189"/>
        <v>0</v>
      </c>
      <c r="W416" s="79">
        <f t="shared" si="189"/>
        <v>0</v>
      </c>
      <c r="X416" s="63">
        <f t="shared" si="189"/>
        <v>0</v>
      </c>
      <c r="Y416" s="63">
        <f t="shared" si="189"/>
        <v>0</v>
      </c>
      <c r="Z416" s="63">
        <f t="shared" si="189"/>
        <v>0</v>
      </c>
      <c r="AA416" s="63">
        <f t="shared" si="190"/>
        <v>0</v>
      </c>
      <c r="AB416" s="58" t="str">
        <f t="shared" si="191"/>
        <v>ok</v>
      </c>
    </row>
    <row r="417" spans="1:28">
      <c r="A417" s="60" t="s">
        <v>387</v>
      </c>
      <c r="D417" s="60" t="s">
        <v>741</v>
      </c>
      <c r="F417" s="76">
        <f>SUM(F411:F416)</f>
        <v>0</v>
      </c>
      <c r="G417" s="76">
        <f t="shared" ref="G417:W417" si="192">SUM(G411:G416)</f>
        <v>0</v>
      </c>
      <c r="H417" s="76">
        <f t="shared" si="192"/>
        <v>0</v>
      </c>
      <c r="I417" s="76">
        <f t="shared" si="192"/>
        <v>0</v>
      </c>
      <c r="J417" s="76">
        <f t="shared" si="192"/>
        <v>0</v>
      </c>
      <c r="K417" s="76">
        <f t="shared" si="192"/>
        <v>0</v>
      </c>
      <c r="L417" s="76">
        <f t="shared" si="192"/>
        <v>0</v>
      </c>
      <c r="M417" s="76">
        <f t="shared" si="192"/>
        <v>0</v>
      </c>
      <c r="N417" s="76">
        <f t="shared" si="192"/>
        <v>0</v>
      </c>
      <c r="O417" s="76">
        <f>SUM(O411:O416)</f>
        <v>0</v>
      </c>
      <c r="P417" s="76">
        <f t="shared" si="192"/>
        <v>0</v>
      </c>
      <c r="Q417" s="76">
        <f t="shared" si="192"/>
        <v>0</v>
      </c>
      <c r="R417" s="76">
        <f t="shared" si="192"/>
        <v>0</v>
      </c>
      <c r="S417" s="76">
        <f t="shared" si="192"/>
        <v>0</v>
      </c>
      <c r="T417" s="76">
        <f t="shared" si="192"/>
        <v>0</v>
      </c>
      <c r="U417" s="76">
        <f t="shared" si="192"/>
        <v>0</v>
      </c>
      <c r="V417" s="76">
        <f t="shared" si="192"/>
        <v>0</v>
      </c>
      <c r="W417" s="76">
        <f t="shared" si="192"/>
        <v>0</v>
      </c>
      <c r="X417" s="62">
        <f>SUM(X411:X416)</f>
        <v>0</v>
      </c>
      <c r="Y417" s="62">
        <f>SUM(Y411:Y416)</f>
        <v>0</v>
      </c>
      <c r="Z417" s="62">
        <f>SUM(Z411:Z416)</f>
        <v>0</v>
      </c>
      <c r="AA417" s="64">
        <f t="shared" si="190"/>
        <v>0</v>
      </c>
      <c r="AB417" s="58" t="str">
        <f t="shared" si="191"/>
        <v>ok</v>
      </c>
    </row>
    <row r="418" spans="1:28">
      <c r="F418" s="79"/>
      <c r="G418" s="79"/>
    </row>
    <row r="419" spans="1:28" ht="15">
      <c r="A419" s="65" t="s">
        <v>1131</v>
      </c>
      <c r="F419" s="79"/>
      <c r="G419" s="79"/>
    </row>
    <row r="420" spans="1:28">
      <c r="A420" s="68" t="s">
        <v>1363</v>
      </c>
      <c r="C420" s="60" t="s">
        <v>734</v>
      </c>
      <c r="D420" s="60" t="s">
        <v>742</v>
      </c>
      <c r="E420" s="60" t="s">
        <v>1367</v>
      </c>
      <c r="F420" s="76">
        <f>VLOOKUP(C420,'Functional Assignment'!$C$2:$AP$780,'Functional Assignment'!$N$2,)</f>
        <v>0</v>
      </c>
      <c r="G420" s="76">
        <f t="shared" ref="G420:P422" si="193">IF(VLOOKUP($E420,$D$6:$AN$1131,3,)=0,0,(VLOOKUP($E420,$D$6:$AN$1131,G$2,)/VLOOKUP($E420,$D$6:$AN$1131,3,))*$F420)</f>
        <v>0</v>
      </c>
      <c r="H420" s="76">
        <f t="shared" si="193"/>
        <v>0</v>
      </c>
      <c r="I420" s="76">
        <f t="shared" si="193"/>
        <v>0</v>
      </c>
      <c r="J420" s="76">
        <f t="shared" si="193"/>
        <v>0</v>
      </c>
      <c r="K420" s="76">
        <f t="shared" si="193"/>
        <v>0</v>
      </c>
      <c r="L420" s="76">
        <f t="shared" si="193"/>
        <v>0</v>
      </c>
      <c r="M420" s="76">
        <f t="shared" si="193"/>
        <v>0</v>
      </c>
      <c r="N420" s="76">
        <f t="shared" si="193"/>
        <v>0</v>
      </c>
      <c r="O420" s="76">
        <f t="shared" si="193"/>
        <v>0</v>
      </c>
      <c r="P420" s="76">
        <f t="shared" si="193"/>
        <v>0</v>
      </c>
      <c r="Q420" s="76">
        <f t="shared" ref="Q420:Z422" si="194">IF(VLOOKUP($E420,$D$6:$AN$1131,3,)=0,0,(VLOOKUP($E420,$D$6:$AN$1131,Q$2,)/VLOOKUP($E420,$D$6:$AN$1131,3,))*$F420)</f>
        <v>0</v>
      </c>
      <c r="R420" s="76">
        <f t="shared" si="194"/>
        <v>0</v>
      </c>
      <c r="S420" s="76">
        <f t="shared" si="194"/>
        <v>0</v>
      </c>
      <c r="T420" s="76">
        <f t="shared" si="194"/>
        <v>0</v>
      </c>
      <c r="U420" s="76">
        <f t="shared" si="194"/>
        <v>0</v>
      </c>
      <c r="V420" s="76">
        <f t="shared" si="194"/>
        <v>0</v>
      </c>
      <c r="W420" s="76">
        <f t="shared" si="194"/>
        <v>0</v>
      </c>
      <c r="X420" s="62">
        <f t="shared" si="194"/>
        <v>0</v>
      </c>
      <c r="Y420" s="62">
        <f t="shared" si="194"/>
        <v>0</v>
      </c>
      <c r="Z420" s="62">
        <f t="shared" si="194"/>
        <v>0</v>
      </c>
      <c r="AA420" s="64">
        <f>SUM(G420:Z420)</f>
        <v>0</v>
      </c>
      <c r="AB420" s="58" t="str">
        <f>IF(ABS(F420-AA420)&lt;0.01,"ok","err")</f>
        <v>ok</v>
      </c>
    </row>
    <row r="421" spans="1:28" hidden="1">
      <c r="A421" s="68" t="s">
        <v>1364</v>
      </c>
      <c r="C421" s="60" t="s">
        <v>734</v>
      </c>
      <c r="D421" s="60" t="s">
        <v>743</v>
      </c>
      <c r="E421" s="60" t="s">
        <v>188</v>
      </c>
      <c r="F421" s="79">
        <f>VLOOKUP(C421,'Functional Assignment'!$C$2:$AP$780,'Functional Assignment'!$O$2,)</f>
        <v>0</v>
      </c>
      <c r="G421" s="79">
        <f t="shared" si="193"/>
        <v>0</v>
      </c>
      <c r="H421" s="79">
        <f t="shared" si="193"/>
        <v>0</v>
      </c>
      <c r="I421" s="79">
        <f t="shared" si="193"/>
        <v>0</v>
      </c>
      <c r="J421" s="79">
        <f t="shared" si="193"/>
        <v>0</v>
      </c>
      <c r="K421" s="79">
        <f t="shared" si="193"/>
        <v>0</v>
      </c>
      <c r="L421" s="79">
        <f t="shared" si="193"/>
        <v>0</v>
      </c>
      <c r="M421" s="79">
        <f t="shared" si="193"/>
        <v>0</v>
      </c>
      <c r="N421" s="79">
        <f t="shared" si="193"/>
        <v>0</v>
      </c>
      <c r="O421" s="79">
        <f t="shared" si="193"/>
        <v>0</v>
      </c>
      <c r="P421" s="79">
        <f t="shared" si="193"/>
        <v>0</v>
      </c>
      <c r="Q421" s="79">
        <f t="shared" si="194"/>
        <v>0</v>
      </c>
      <c r="R421" s="79">
        <f t="shared" si="194"/>
        <v>0</v>
      </c>
      <c r="S421" s="79">
        <f t="shared" si="194"/>
        <v>0</v>
      </c>
      <c r="T421" s="79">
        <f t="shared" si="194"/>
        <v>0</v>
      </c>
      <c r="U421" s="79">
        <f t="shared" si="194"/>
        <v>0</v>
      </c>
      <c r="V421" s="79">
        <f t="shared" si="194"/>
        <v>0</v>
      </c>
      <c r="W421" s="79">
        <f t="shared" si="194"/>
        <v>0</v>
      </c>
      <c r="X421" s="63">
        <f t="shared" si="194"/>
        <v>0</v>
      </c>
      <c r="Y421" s="63">
        <f t="shared" si="194"/>
        <v>0</v>
      </c>
      <c r="Z421" s="63">
        <f t="shared" si="194"/>
        <v>0</v>
      </c>
      <c r="AA421" s="63">
        <f>SUM(G421:Z421)</f>
        <v>0</v>
      </c>
      <c r="AB421" s="58" t="str">
        <f>IF(ABS(F421-AA421)&lt;0.01,"ok","err")</f>
        <v>ok</v>
      </c>
    </row>
    <row r="422" spans="1:28" hidden="1">
      <c r="A422" s="68" t="s">
        <v>1364</v>
      </c>
      <c r="C422" s="60" t="s">
        <v>734</v>
      </c>
      <c r="D422" s="60" t="s">
        <v>744</v>
      </c>
      <c r="E422" s="60" t="s">
        <v>191</v>
      </c>
      <c r="F422" s="79">
        <f>VLOOKUP(C422,'Functional Assignment'!$C$2:$AP$780,'Functional Assignment'!$P$2,)</f>
        <v>0</v>
      </c>
      <c r="G422" s="79">
        <f t="shared" si="193"/>
        <v>0</v>
      </c>
      <c r="H422" s="79">
        <f t="shared" si="193"/>
        <v>0</v>
      </c>
      <c r="I422" s="79">
        <f t="shared" si="193"/>
        <v>0</v>
      </c>
      <c r="J422" s="79">
        <f t="shared" si="193"/>
        <v>0</v>
      </c>
      <c r="K422" s="79">
        <f t="shared" si="193"/>
        <v>0</v>
      </c>
      <c r="L422" s="79">
        <f t="shared" si="193"/>
        <v>0</v>
      </c>
      <c r="M422" s="79">
        <f t="shared" si="193"/>
        <v>0</v>
      </c>
      <c r="N422" s="79">
        <f t="shared" si="193"/>
        <v>0</v>
      </c>
      <c r="O422" s="79">
        <f t="shared" si="193"/>
        <v>0</v>
      </c>
      <c r="P422" s="79">
        <f t="shared" si="193"/>
        <v>0</v>
      </c>
      <c r="Q422" s="79">
        <f t="shared" si="194"/>
        <v>0</v>
      </c>
      <c r="R422" s="79">
        <f t="shared" si="194"/>
        <v>0</v>
      </c>
      <c r="S422" s="79">
        <f t="shared" si="194"/>
        <v>0</v>
      </c>
      <c r="T422" s="79">
        <f t="shared" si="194"/>
        <v>0</v>
      </c>
      <c r="U422" s="79">
        <f t="shared" si="194"/>
        <v>0</v>
      </c>
      <c r="V422" s="79">
        <f t="shared" si="194"/>
        <v>0</v>
      </c>
      <c r="W422" s="79">
        <f t="shared" si="194"/>
        <v>0</v>
      </c>
      <c r="X422" s="63">
        <f t="shared" si="194"/>
        <v>0</v>
      </c>
      <c r="Y422" s="63">
        <f t="shared" si="194"/>
        <v>0</v>
      </c>
      <c r="Z422" s="63">
        <f t="shared" si="194"/>
        <v>0</v>
      </c>
      <c r="AA422" s="63">
        <f>SUM(G422:Z422)</f>
        <v>0</v>
      </c>
      <c r="AB422" s="58" t="str">
        <f>IF(ABS(F422-AA422)&lt;0.01,"ok","err")</f>
        <v>ok</v>
      </c>
    </row>
    <row r="423" spans="1:28" hidden="1">
      <c r="A423" s="60" t="s">
        <v>1133</v>
      </c>
      <c r="D423" s="60" t="s">
        <v>745</v>
      </c>
      <c r="F423" s="76">
        <f>SUM(F420:F422)</f>
        <v>0</v>
      </c>
      <c r="G423" s="76">
        <f t="shared" ref="G423:W423" si="195">SUM(G420:G422)</f>
        <v>0</v>
      </c>
      <c r="H423" s="76">
        <f t="shared" si="195"/>
        <v>0</v>
      </c>
      <c r="I423" s="76">
        <f t="shared" si="195"/>
        <v>0</v>
      </c>
      <c r="J423" s="76">
        <f t="shared" si="195"/>
        <v>0</v>
      </c>
      <c r="K423" s="76">
        <f t="shared" si="195"/>
        <v>0</v>
      </c>
      <c r="L423" s="76">
        <f t="shared" si="195"/>
        <v>0</v>
      </c>
      <c r="M423" s="76">
        <f t="shared" si="195"/>
        <v>0</v>
      </c>
      <c r="N423" s="76">
        <f t="shared" si="195"/>
        <v>0</v>
      </c>
      <c r="O423" s="76">
        <f>SUM(O420:O422)</f>
        <v>0</v>
      </c>
      <c r="P423" s="76">
        <f t="shared" si="195"/>
        <v>0</v>
      </c>
      <c r="Q423" s="76">
        <f t="shared" si="195"/>
        <v>0</v>
      </c>
      <c r="R423" s="76">
        <f t="shared" si="195"/>
        <v>0</v>
      </c>
      <c r="S423" s="76">
        <f t="shared" si="195"/>
        <v>0</v>
      </c>
      <c r="T423" s="76">
        <f t="shared" si="195"/>
        <v>0</v>
      </c>
      <c r="U423" s="76">
        <f t="shared" si="195"/>
        <v>0</v>
      </c>
      <c r="V423" s="76">
        <f t="shared" si="195"/>
        <v>0</v>
      </c>
      <c r="W423" s="76">
        <f t="shared" si="195"/>
        <v>0</v>
      </c>
      <c r="X423" s="62">
        <f>SUM(X420:X422)</f>
        <v>0</v>
      </c>
      <c r="Y423" s="62">
        <f>SUM(Y420:Y422)</f>
        <v>0</v>
      </c>
      <c r="Z423" s="62">
        <f>SUM(Z420:Z422)</f>
        <v>0</v>
      </c>
      <c r="AA423" s="64">
        <f>SUM(G423:Z423)</f>
        <v>0</v>
      </c>
      <c r="AB423" s="58" t="str">
        <f>IF(ABS(F423-AA423)&lt;0.01,"ok","err")</f>
        <v>ok</v>
      </c>
    </row>
    <row r="424" spans="1:28">
      <c r="F424" s="79"/>
      <c r="G424" s="79"/>
    </row>
    <row r="425" spans="1:28" ht="15">
      <c r="A425" s="65" t="s">
        <v>348</v>
      </c>
      <c r="F425" s="79"/>
      <c r="G425" s="79"/>
    </row>
    <row r="426" spans="1:28">
      <c r="A426" s="68" t="s">
        <v>372</v>
      </c>
      <c r="C426" s="60" t="s">
        <v>734</v>
      </c>
      <c r="D426" s="60" t="s">
        <v>746</v>
      </c>
      <c r="E426" s="60" t="s">
        <v>1368</v>
      </c>
      <c r="F426" s="76">
        <f>VLOOKUP(C426,'Functional Assignment'!$C$2:$AP$780,'Functional Assignment'!$Q$2,)</f>
        <v>0</v>
      </c>
      <c r="G426" s="76">
        <f t="shared" ref="G426:Z426" si="196">IF(VLOOKUP($E426,$D$6:$AN$1131,3,)=0,0,(VLOOKUP($E426,$D$6:$AN$1131,G$2,)/VLOOKUP($E426,$D$6:$AN$1131,3,))*$F426)</f>
        <v>0</v>
      </c>
      <c r="H426" s="76">
        <f t="shared" si="196"/>
        <v>0</v>
      </c>
      <c r="I426" s="76">
        <f t="shared" si="196"/>
        <v>0</v>
      </c>
      <c r="J426" s="76">
        <f t="shared" si="196"/>
        <v>0</v>
      </c>
      <c r="K426" s="76">
        <f t="shared" si="196"/>
        <v>0</v>
      </c>
      <c r="L426" s="76">
        <f t="shared" si="196"/>
        <v>0</v>
      </c>
      <c r="M426" s="76">
        <f t="shared" si="196"/>
        <v>0</v>
      </c>
      <c r="N426" s="76">
        <f t="shared" si="196"/>
        <v>0</v>
      </c>
      <c r="O426" s="76">
        <f t="shared" si="196"/>
        <v>0</v>
      </c>
      <c r="P426" s="76">
        <f t="shared" si="196"/>
        <v>0</v>
      </c>
      <c r="Q426" s="76">
        <f t="shared" si="196"/>
        <v>0</v>
      </c>
      <c r="R426" s="76">
        <f t="shared" si="196"/>
        <v>0</v>
      </c>
      <c r="S426" s="76">
        <f t="shared" si="196"/>
        <v>0</v>
      </c>
      <c r="T426" s="76">
        <f t="shared" si="196"/>
        <v>0</v>
      </c>
      <c r="U426" s="76">
        <f t="shared" si="196"/>
        <v>0</v>
      </c>
      <c r="V426" s="76">
        <f t="shared" si="196"/>
        <v>0</v>
      </c>
      <c r="W426" s="76">
        <f t="shared" si="196"/>
        <v>0</v>
      </c>
      <c r="X426" s="62">
        <f t="shared" si="196"/>
        <v>0</v>
      </c>
      <c r="Y426" s="62">
        <f t="shared" si="196"/>
        <v>0</v>
      </c>
      <c r="Z426" s="62">
        <f t="shared" si="196"/>
        <v>0</v>
      </c>
      <c r="AA426" s="64">
        <f>SUM(G426:Z426)</f>
        <v>0</v>
      </c>
      <c r="AB426" s="58" t="str">
        <f>IF(ABS(F426-AA426)&lt;0.01,"ok","err")</f>
        <v>ok</v>
      </c>
    </row>
    <row r="427" spans="1:28">
      <c r="F427" s="79"/>
    </row>
    <row r="428" spans="1:28" ht="15">
      <c r="A428" s="65" t="s">
        <v>349</v>
      </c>
      <c r="F428" s="79"/>
      <c r="G428" s="79"/>
    </row>
    <row r="429" spans="1:28">
      <c r="A429" s="68" t="s">
        <v>374</v>
      </c>
      <c r="C429" s="60" t="s">
        <v>734</v>
      </c>
      <c r="D429" s="60" t="s">
        <v>747</v>
      </c>
      <c r="E429" s="60" t="s">
        <v>1368</v>
      </c>
      <c r="F429" s="76">
        <f>VLOOKUP(C429,'Functional Assignment'!$C$2:$AP$780,'Functional Assignment'!$R$2,)</f>
        <v>0</v>
      </c>
      <c r="G429" s="76">
        <f t="shared" ref="G429:Z429" si="197">IF(VLOOKUP($E429,$D$6:$AN$1131,3,)=0,0,(VLOOKUP($E429,$D$6:$AN$1131,G$2,)/VLOOKUP($E429,$D$6:$AN$1131,3,))*$F429)</f>
        <v>0</v>
      </c>
      <c r="H429" s="76">
        <f t="shared" si="197"/>
        <v>0</v>
      </c>
      <c r="I429" s="76">
        <f t="shared" si="197"/>
        <v>0</v>
      </c>
      <c r="J429" s="76">
        <f t="shared" si="197"/>
        <v>0</v>
      </c>
      <c r="K429" s="76">
        <f t="shared" si="197"/>
        <v>0</v>
      </c>
      <c r="L429" s="76">
        <f t="shared" si="197"/>
        <v>0</v>
      </c>
      <c r="M429" s="76">
        <f t="shared" si="197"/>
        <v>0</v>
      </c>
      <c r="N429" s="76">
        <f t="shared" si="197"/>
        <v>0</v>
      </c>
      <c r="O429" s="76">
        <f t="shared" si="197"/>
        <v>0</v>
      </c>
      <c r="P429" s="76">
        <f t="shared" si="197"/>
        <v>0</v>
      </c>
      <c r="Q429" s="76">
        <f t="shared" si="197"/>
        <v>0</v>
      </c>
      <c r="R429" s="76">
        <f t="shared" si="197"/>
        <v>0</v>
      </c>
      <c r="S429" s="76">
        <f t="shared" si="197"/>
        <v>0</v>
      </c>
      <c r="T429" s="76">
        <f t="shared" si="197"/>
        <v>0</v>
      </c>
      <c r="U429" s="76">
        <f t="shared" si="197"/>
        <v>0</v>
      </c>
      <c r="V429" s="76">
        <f t="shared" si="197"/>
        <v>0</v>
      </c>
      <c r="W429" s="76">
        <f t="shared" si="197"/>
        <v>0</v>
      </c>
      <c r="X429" s="62">
        <f t="shared" si="197"/>
        <v>0</v>
      </c>
      <c r="Y429" s="62">
        <f t="shared" si="197"/>
        <v>0</v>
      </c>
      <c r="Z429" s="62">
        <f t="shared" si="197"/>
        <v>0</v>
      </c>
      <c r="AA429" s="64">
        <f>SUM(G429:Z429)</f>
        <v>0</v>
      </c>
      <c r="AB429" s="58" t="str">
        <f>IF(ABS(F429-AA429)&lt;0.01,"ok","err")</f>
        <v>ok</v>
      </c>
    </row>
    <row r="430" spans="1:28">
      <c r="F430" s="79"/>
    </row>
    <row r="431" spans="1:28" ht="15">
      <c r="A431" s="65" t="s">
        <v>373</v>
      </c>
      <c r="F431" s="79"/>
    </row>
    <row r="432" spans="1:28">
      <c r="A432" s="68" t="s">
        <v>623</v>
      </c>
      <c r="C432" s="60" t="s">
        <v>734</v>
      </c>
      <c r="D432" s="60" t="s">
        <v>748</v>
      </c>
      <c r="E432" s="60" t="s">
        <v>1368</v>
      </c>
      <c r="F432" s="76">
        <f>VLOOKUP(C432,'Functional Assignment'!$C$2:$AP$780,'Functional Assignment'!$S$2,)</f>
        <v>0</v>
      </c>
      <c r="G432" s="76">
        <f t="shared" ref="G432:P436" si="198">IF(VLOOKUP($E432,$D$6:$AN$1131,3,)=0,0,(VLOOKUP($E432,$D$6:$AN$1131,G$2,)/VLOOKUP($E432,$D$6:$AN$1131,3,))*$F432)</f>
        <v>0</v>
      </c>
      <c r="H432" s="76">
        <f t="shared" si="198"/>
        <v>0</v>
      </c>
      <c r="I432" s="76">
        <f t="shared" si="198"/>
        <v>0</v>
      </c>
      <c r="J432" s="76">
        <f t="shared" si="198"/>
        <v>0</v>
      </c>
      <c r="K432" s="76">
        <f t="shared" si="198"/>
        <v>0</v>
      </c>
      <c r="L432" s="76">
        <f t="shared" si="198"/>
        <v>0</v>
      </c>
      <c r="M432" s="76">
        <f t="shared" si="198"/>
        <v>0</v>
      </c>
      <c r="N432" s="76">
        <f t="shared" si="198"/>
        <v>0</v>
      </c>
      <c r="O432" s="76">
        <f t="shared" si="198"/>
        <v>0</v>
      </c>
      <c r="P432" s="76">
        <f t="shared" si="198"/>
        <v>0</v>
      </c>
      <c r="Q432" s="76">
        <f t="shared" ref="Q432:Z436" si="199">IF(VLOOKUP($E432,$D$6:$AN$1131,3,)=0,0,(VLOOKUP($E432,$D$6:$AN$1131,Q$2,)/VLOOKUP($E432,$D$6:$AN$1131,3,))*$F432)</f>
        <v>0</v>
      </c>
      <c r="R432" s="76">
        <f t="shared" si="199"/>
        <v>0</v>
      </c>
      <c r="S432" s="76">
        <f t="shared" si="199"/>
        <v>0</v>
      </c>
      <c r="T432" s="76">
        <f t="shared" si="199"/>
        <v>0</v>
      </c>
      <c r="U432" s="76">
        <f t="shared" si="199"/>
        <v>0</v>
      </c>
      <c r="V432" s="76">
        <f t="shared" si="199"/>
        <v>0</v>
      </c>
      <c r="W432" s="76">
        <f t="shared" si="199"/>
        <v>0</v>
      </c>
      <c r="X432" s="62">
        <f t="shared" si="199"/>
        <v>0</v>
      </c>
      <c r="Y432" s="62">
        <f t="shared" si="199"/>
        <v>0</v>
      </c>
      <c r="Z432" s="62">
        <f t="shared" si="199"/>
        <v>0</v>
      </c>
      <c r="AA432" s="64">
        <f t="shared" ref="AA432:AA437" si="200">SUM(G432:Z432)</f>
        <v>0</v>
      </c>
      <c r="AB432" s="58" t="str">
        <f t="shared" ref="AB432:AB437" si="201">IF(ABS(F432-AA432)&lt;0.01,"ok","err")</f>
        <v>ok</v>
      </c>
    </row>
    <row r="433" spans="1:28">
      <c r="A433" s="68" t="s">
        <v>624</v>
      </c>
      <c r="C433" s="60" t="s">
        <v>734</v>
      </c>
      <c r="D433" s="60" t="s">
        <v>749</v>
      </c>
      <c r="E433" s="60" t="s">
        <v>1368</v>
      </c>
      <c r="F433" s="79">
        <f>VLOOKUP(C433,'Functional Assignment'!$C$2:$AP$780,'Functional Assignment'!$T$2,)</f>
        <v>0</v>
      </c>
      <c r="G433" s="79">
        <f t="shared" si="198"/>
        <v>0</v>
      </c>
      <c r="H433" s="79">
        <f t="shared" si="198"/>
        <v>0</v>
      </c>
      <c r="I433" s="79">
        <f t="shared" si="198"/>
        <v>0</v>
      </c>
      <c r="J433" s="79">
        <f t="shared" si="198"/>
        <v>0</v>
      </c>
      <c r="K433" s="79">
        <f t="shared" si="198"/>
        <v>0</v>
      </c>
      <c r="L433" s="79">
        <f t="shared" si="198"/>
        <v>0</v>
      </c>
      <c r="M433" s="79">
        <f t="shared" si="198"/>
        <v>0</v>
      </c>
      <c r="N433" s="79">
        <f t="shared" si="198"/>
        <v>0</v>
      </c>
      <c r="O433" s="79">
        <f t="shared" si="198"/>
        <v>0</v>
      </c>
      <c r="P433" s="79">
        <f t="shared" si="198"/>
        <v>0</v>
      </c>
      <c r="Q433" s="79">
        <f t="shared" si="199"/>
        <v>0</v>
      </c>
      <c r="R433" s="79">
        <f t="shared" si="199"/>
        <v>0</v>
      </c>
      <c r="S433" s="79">
        <f t="shared" si="199"/>
        <v>0</v>
      </c>
      <c r="T433" s="79">
        <f t="shared" si="199"/>
        <v>0</v>
      </c>
      <c r="U433" s="79">
        <f t="shared" si="199"/>
        <v>0</v>
      </c>
      <c r="V433" s="79">
        <f t="shared" si="199"/>
        <v>0</v>
      </c>
      <c r="W433" s="79">
        <f t="shared" si="199"/>
        <v>0</v>
      </c>
      <c r="X433" s="63">
        <f t="shared" si="199"/>
        <v>0</v>
      </c>
      <c r="Y433" s="63">
        <f t="shared" si="199"/>
        <v>0</v>
      </c>
      <c r="Z433" s="63">
        <f t="shared" si="199"/>
        <v>0</v>
      </c>
      <c r="AA433" s="63">
        <f t="shared" si="200"/>
        <v>0</v>
      </c>
      <c r="AB433" s="58" t="str">
        <f t="shared" si="201"/>
        <v>ok</v>
      </c>
    </row>
    <row r="434" spans="1:28">
      <c r="A434" s="68" t="s">
        <v>625</v>
      </c>
      <c r="C434" s="60" t="s">
        <v>734</v>
      </c>
      <c r="D434" s="60" t="s">
        <v>750</v>
      </c>
      <c r="E434" s="60" t="s">
        <v>698</v>
      </c>
      <c r="F434" s="79">
        <f>VLOOKUP(C434,'Functional Assignment'!$C$2:$AP$780,'Functional Assignment'!$U$2,)</f>
        <v>0</v>
      </c>
      <c r="G434" s="79">
        <f t="shared" si="198"/>
        <v>0</v>
      </c>
      <c r="H434" s="79">
        <f t="shared" si="198"/>
        <v>0</v>
      </c>
      <c r="I434" s="79">
        <f t="shared" si="198"/>
        <v>0</v>
      </c>
      <c r="J434" s="79">
        <f t="shared" si="198"/>
        <v>0</v>
      </c>
      <c r="K434" s="79">
        <f t="shared" si="198"/>
        <v>0</v>
      </c>
      <c r="L434" s="79">
        <f t="shared" si="198"/>
        <v>0</v>
      </c>
      <c r="M434" s="79">
        <f t="shared" si="198"/>
        <v>0</v>
      </c>
      <c r="N434" s="79">
        <f t="shared" si="198"/>
        <v>0</v>
      </c>
      <c r="O434" s="79">
        <f t="shared" si="198"/>
        <v>0</v>
      </c>
      <c r="P434" s="79">
        <f t="shared" si="198"/>
        <v>0</v>
      </c>
      <c r="Q434" s="79">
        <f t="shared" si="199"/>
        <v>0</v>
      </c>
      <c r="R434" s="79">
        <f t="shared" si="199"/>
        <v>0</v>
      </c>
      <c r="S434" s="79">
        <f t="shared" si="199"/>
        <v>0</v>
      </c>
      <c r="T434" s="79">
        <f t="shared" si="199"/>
        <v>0</v>
      </c>
      <c r="U434" s="79">
        <f t="shared" si="199"/>
        <v>0</v>
      </c>
      <c r="V434" s="79">
        <f t="shared" si="199"/>
        <v>0</v>
      </c>
      <c r="W434" s="79">
        <f t="shared" si="199"/>
        <v>0</v>
      </c>
      <c r="X434" s="63">
        <f t="shared" si="199"/>
        <v>0</v>
      </c>
      <c r="Y434" s="63">
        <f t="shared" si="199"/>
        <v>0</v>
      </c>
      <c r="Z434" s="63">
        <f t="shared" si="199"/>
        <v>0</v>
      </c>
      <c r="AA434" s="63">
        <f t="shared" si="200"/>
        <v>0</v>
      </c>
      <c r="AB434" s="58" t="str">
        <f t="shared" si="201"/>
        <v>ok</v>
      </c>
    </row>
    <row r="435" spans="1:28">
      <c r="A435" s="68" t="s">
        <v>626</v>
      </c>
      <c r="C435" s="60" t="s">
        <v>734</v>
      </c>
      <c r="D435" s="60" t="s">
        <v>751</v>
      </c>
      <c r="E435" s="60" t="s">
        <v>678</v>
      </c>
      <c r="F435" s="79">
        <f>VLOOKUP(C435,'Functional Assignment'!$C$2:$AP$780,'Functional Assignment'!$V$2,)</f>
        <v>0</v>
      </c>
      <c r="G435" s="79">
        <f t="shared" si="198"/>
        <v>0</v>
      </c>
      <c r="H435" s="79">
        <f t="shared" si="198"/>
        <v>0</v>
      </c>
      <c r="I435" s="79">
        <f t="shared" si="198"/>
        <v>0</v>
      </c>
      <c r="J435" s="79">
        <f t="shared" si="198"/>
        <v>0</v>
      </c>
      <c r="K435" s="79">
        <f t="shared" si="198"/>
        <v>0</v>
      </c>
      <c r="L435" s="79">
        <f t="shared" si="198"/>
        <v>0</v>
      </c>
      <c r="M435" s="79">
        <f t="shared" si="198"/>
        <v>0</v>
      </c>
      <c r="N435" s="79">
        <f t="shared" si="198"/>
        <v>0</v>
      </c>
      <c r="O435" s="79">
        <f t="shared" si="198"/>
        <v>0</v>
      </c>
      <c r="P435" s="79">
        <f t="shared" si="198"/>
        <v>0</v>
      </c>
      <c r="Q435" s="79">
        <f t="shared" si="199"/>
        <v>0</v>
      </c>
      <c r="R435" s="79">
        <f t="shared" si="199"/>
        <v>0</v>
      </c>
      <c r="S435" s="79">
        <f t="shared" si="199"/>
        <v>0</v>
      </c>
      <c r="T435" s="79">
        <f t="shared" si="199"/>
        <v>0</v>
      </c>
      <c r="U435" s="79">
        <f t="shared" si="199"/>
        <v>0</v>
      </c>
      <c r="V435" s="79">
        <f t="shared" si="199"/>
        <v>0</v>
      </c>
      <c r="W435" s="79">
        <f t="shared" si="199"/>
        <v>0</v>
      </c>
      <c r="X435" s="63">
        <f t="shared" si="199"/>
        <v>0</v>
      </c>
      <c r="Y435" s="63">
        <f t="shared" si="199"/>
        <v>0</v>
      </c>
      <c r="Z435" s="63">
        <f t="shared" si="199"/>
        <v>0</v>
      </c>
      <c r="AA435" s="63">
        <f t="shared" si="200"/>
        <v>0</v>
      </c>
      <c r="AB435" s="58" t="str">
        <f t="shared" si="201"/>
        <v>ok</v>
      </c>
    </row>
    <row r="436" spans="1:28">
      <c r="A436" s="68" t="s">
        <v>627</v>
      </c>
      <c r="C436" s="60" t="s">
        <v>734</v>
      </c>
      <c r="D436" s="60" t="s">
        <v>752</v>
      </c>
      <c r="E436" s="60" t="s">
        <v>697</v>
      </c>
      <c r="F436" s="79">
        <f>VLOOKUP(C436,'Functional Assignment'!$C$2:$AP$780,'Functional Assignment'!$W$2,)</f>
        <v>0</v>
      </c>
      <c r="G436" s="79">
        <f t="shared" si="198"/>
        <v>0</v>
      </c>
      <c r="H436" s="79">
        <f t="shared" si="198"/>
        <v>0</v>
      </c>
      <c r="I436" s="79">
        <f t="shared" si="198"/>
        <v>0</v>
      </c>
      <c r="J436" s="79">
        <f t="shared" si="198"/>
        <v>0</v>
      </c>
      <c r="K436" s="79">
        <f t="shared" si="198"/>
        <v>0</v>
      </c>
      <c r="L436" s="79">
        <f t="shared" si="198"/>
        <v>0</v>
      </c>
      <c r="M436" s="79">
        <f t="shared" si="198"/>
        <v>0</v>
      </c>
      <c r="N436" s="79">
        <f t="shared" si="198"/>
        <v>0</v>
      </c>
      <c r="O436" s="79">
        <f t="shared" si="198"/>
        <v>0</v>
      </c>
      <c r="P436" s="79">
        <f t="shared" si="198"/>
        <v>0</v>
      </c>
      <c r="Q436" s="79">
        <f t="shared" si="199"/>
        <v>0</v>
      </c>
      <c r="R436" s="79">
        <f t="shared" si="199"/>
        <v>0</v>
      </c>
      <c r="S436" s="79">
        <f t="shared" si="199"/>
        <v>0</v>
      </c>
      <c r="T436" s="79">
        <f t="shared" si="199"/>
        <v>0</v>
      </c>
      <c r="U436" s="79">
        <f t="shared" si="199"/>
        <v>0</v>
      </c>
      <c r="V436" s="79">
        <f t="shared" si="199"/>
        <v>0</v>
      </c>
      <c r="W436" s="79">
        <f t="shared" si="199"/>
        <v>0</v>
      </c>
      <c r="X436" s="63">
        <f t="shared" si="199"/>
        <v>0</v>
      </c>
      <c r="Y436" s="63">
        <f t="shared" si="199"/>
        <v>0</v>
      </c>
      <c r="Z436" s="63">
        <f t="shared" si="199"/>
        <v>0</v>
      </c>
      <c r="AA436" s="63">
        <f t="shared" si="200"/>
        <v>0</v>
      </c>
      <c r="AB436" s="58" t="str">
        <f t="shared" si="201"/>
        <v>ok</v>
      </c>
    </row>
    <row r="437" spans="1:28">
      <c r="A437" s="60" t="s">
        <v>378</v>
      </c>
      <c r="D437" s="60" t="s">
        <v>753</v>
      </c>
      <c r="F437" s="76">
        <f>SUM(F432:F436)</f>
        <v>0</v>
      </c>
      <c r="G437" s="76">
        <f t="shared" ref="G437:W437" si="202">SUM(G432:G436)</f>
        <v>0</v>
      </c>
      <c r="H437" s="76">
        <f t="shared" si="202"/>
        <v>0</v>
      </c>
      <c r="I437" s="76">
        <f t="shared" si="202"/>
        <v>0</v>
      </c>
      <c r="J437" s="76">
        <f t="shared" si="202"/>
        <v>0</v>
      </c>
      <c r="K437" s="76">
        <f t="shared" si="202"/>
        <v>0</v>
      </c>
      <c r="L437" s="76">
        <f t="shared" si="202"/>
        <v>0</v>
      </c>
      <c r="M437" s="76">
        <f t="shared" si="202"/>
        <v>0</v>
      </c>
      <c r="N437" s="76">
        <f t="shared" si="202"/>
        <v>0</v>
      </c>
      <c r="O437" s="76">
        <f>SUM(O432:O436)</f>
        <v>0</v>
      </c>
      <c r="P437" s="76">
        <f t="shared" si="202"/>
        <v>0</v>
      </c>
      <c r="Q437" s="76">
        <f t="shared" si="202"/>
        <v>0</v>
      </c>
      <c r="R437" s="76">
        <f t="shared" si="202"/>
        <v>0</v>
      </c>
      <c r="S437" s="76">
        <f t="shared" si="202"/>
        <v>0</v>
      </c>
      <c r="T437" s="76">
        <f t="shared" si="202"/>
        <v>0</v>
      </c>
      <c r="U437" s="76">
        <f t="shared" si="202"/>
        <v>0</v>
      </c>
      <c r="V437" s="76">
        <f t="shared" si="202"/>
        <v>0</v>
      </c>
      <c r="W437" s="76">
        <f t="shared" si="202"/>
        <v>0</v>
      </c>
      <c r="X437" s="62">
        <f>SUM(X432:X436)</f>
        <v>0</v>
      </c>
      <c r="Y437" s="62">
        <f>SUM(Y432:Y436)</f>
        <v>0</v>
      </c>
      <c r="Z437" s="62">
        <f>SUM(Z432:Z436)</f>
        <v>0</v>
      </c>
      <c r="AA437" s="64">
        <f t="shared" si="200"/>
        <v>0</v>
      </c>
      <c r="AB437" s="58" t="str">
        <f t="shared" si="201"/>
        <v>ok</v>
      </c>
    </row>
    <row r="438" spans="1:28">
      <c r="F438" s="79"/>
    </row>
    <row r="439" spans="1:28" ht="15">
      <c r="A439" s="65" t="s">
        <v>634</v>
      </c>
      <c r="F439" s="79"/>
    </row>
    <row r="440" spans="1:28">
      <c r="A440" s="68" t="s">
        <v>1090</v>
      </c>
      <c r="C440" s="60" t="s">
        <v>734</v>
      </c>
      <c r="D440" s="60" t="s">
        <v>754</v>
      </c>
      <c r="E440" s="60" t="s">
        <v>1336</v>
      </c>
      <c r="F440" s="76">
        <f>VLOOKUP(C440,'Functional Assignment'!$C$2:$AP$780,'Functional Assignment'!$X$2,)</f>
        <v>0</v>
      </c>
      <c r="G440" s="76">
        <f t="shared" ref="G440:P441" si="203">IF(VLOOKUP($E440,$D$6:$AN$1131,3,)=0,0,(VLOOKUP($E440,$D$6:$AN$1131,G$2,)/VLOOKUP($E440,$D$6:$AN$1131,3,))*$F440)</f>
        <v>0</v>
      </c>
      <c r="H440" s="76">
        <f t="shared" si="203"/>
        <v>0</v>
      </c>
      <c r="I440" s="76">
        <f t="shared" si="203"/>
        <v>0</v>
      </c>
      <c r="J440" s="76">
        <f t="shared" si="203"/>
        <v>0</v>
      </c>
      <c r="K440" s="76">
        <f t="shared" si="203"/>
        <v>0</v>
      </c>
      <c r="L440" s="76">
        <f t="shared" si="203"/>
        <v>0</v>
      </c>
      <c r="M440" s="76">
        <f t="shared" si="203"/>
        <v>0</v>
      </c>
      <c r="N440" s="76">
        <f t="shared" si="203"/>
        <v>0</v>
      </c>
      <c r="O440" s="76">
        <f t="shared" si="203"/>
        <v>0</v>
      </c>
      <c r="P440" s="76">
        <f t="shared" si="203"/>
        <v>0</v>
      </c>
      <c r="Q440" s="76">
        <f t="shared" ref="Q440:Z441" si="204">IF(VLOOKUP($E440,$D$6:$AN$1131,3,)=0,0,(VLOOKUP($E440,$D$6:$AN$1131,Q$2,)/VLOOKUP($E440,$D$6:$AN$1131,3,))*$F440)</f>
        <v>0</v>
      </c>
      <c r="R440" s="76">
        <f t="shared" si="204"/>
        <v>0</v>
      </c>
      <c r="S440" s="76">
        <f t="shared" si="204"/>
        <v>0</v>
      </c>
      <c r="T440" s="76">
        <f t="shared" si="204"/>
        <v>0</v>
      </c>
      <c r="U440" s="76">
        <f t="shared" si="204"/>
        <v>0</v>
      </c>
      <c r="V440" s="76">
        <f t="shared" si="204"/>
        <v>0</v>
      </c>
      <c r="W440" s="76">
        <f t="shared" si="204"/>
        <v>0</v>
      </c>
      <c r="X440" s="62">
        <f t="shared" si="204"/>
        <v>0</v>
      </c>
      <c r="Y440" s="62">
        <f t="shared" si="204"/>
        <v>0</v>
      </c>
      <c r="Z440" s="62">
        <f t="shared" si="204"/>
        <v>0</v>
      </c>
      <c r="AA440" s="64">
        <f>SUM(G440:Z440)</f>
        <v>0</v>
      </c>
      <c r="AB440" s="58" t="str">
        <f>IF(ABS(F440-AA440)&lt;0.01,"ok","err")</f>
        <v>ok</v>
      </c>
    </row>
    <row r="441" spans="1:28">
      <c r="A441" s="68" t="s">
        <v>1093</v>
      </c>
      <c r="C441" s="60" t="s">
        <v>734</v>
      </c>
      <c r="D441" s="60" t="s">
        <v>795</v>
      </c>
      <c r="E441" s="60" t="s">
        <v>1334</v>
      </c>
      <c r="F441" s="79">
        <f>VLOOKUP(C441,'Functional Assignment'!$C$2:$AP$780,'Functional Assignment'!$Y$2,)</f>
        <v>0</v>
      </c>
      <c r="G441" s="79">
        <f t="shared" si="203"/>
        <v>0</v>
      </c>
      <c r="H441" s="79">
        <f t="shared" si="203"/>
        <v>0</v>
      </c>
      <c r="I441" s="79">
        <f t="shared" si="203"/>
        <v>0</v>
      </c>
      <c r="J441" s="79">
        <f t="shared" si="203"/>
        <v>0</v>
      </c>
      <c r="K441" s="79">
        <f t="shared" si="203"/>
        <v>0</v>
      </c>
      <c r="L441" s="79">
        <f t="shared" si="203"/>
        <v>0</v>
      </c>
      <c r="M441" s="79">
        <f t="shared" si="203"/>
        <v>0</v>
      </c>
      <c r="N441" s="79">
        <f t="shared" si="203"/>
        <v>0</v>
      </c>
      <c r="O441" s="79">
        <f t="shared" si="203"/>
        <v>0</v>
      </c>
      <c r="P441" s="79">
        <f t="shared" si="203"/>
        <v>0</v>
      </c>
      <c r="Q441" s="79">
        <f t="shared" si="204"/>
        <v>0</v>
      </c>
      <c r="R441" s="79">
        <f t="shared" si="204"/>
        <v>0</v>
      </c>
      <c r="S441" s="79">
        <f t="shared" si="204"/>
        <v>0</v>
      </c>
      <c r="T441" s="79">
        <f t="shared" si="204"/>
        <v>0</v>
      </c>
      <c r="U441" s="79">
        <f t="shared" si="204"/>
        <v>0</v>
      </c>
      <c r="V441" s="79">
        <f t="shared" si="204"/>
        <v>0</v>
      </c>
      <c r="W441" s="79">
        <f t="shared" si="204"/>
        <v>0</v>
      </c>
      <c r="X441" s="63">
        <f t="shared" si="204"/>
        <v>0</v>
      </c>
      <c r="Y441" s="63">
        <f t="shared" si="204"/>
        <v>0</v>
      </c>
      <c r="Z441" s="63">
        <f t="shared" si="204"/>
        <v>0</v>
      </c>
      <c r="AA441" s="63">
        <f>SUM(G441:Z441)</f>
        <v>0</v>
      </c>
      <c r="AB441" s="58" t="str">
        <f>IF(ABS(F441-AA441)&lt;0.01,"ok","err")</f>
        <v>ok</v>
      </c>
    </row>
    <row r="442" spans="1:28">
      <c r="A442" s="60" t="s">
        <v>712</v>
      </c>
      <c r="D442" s="60" t="s">
        <v>796</v>
      </c>
      <c r="F442" s="76">
        <f>F440+F441</f>
        <v>0</v>
      </c>
      <c r="G442" s="76">
        <f t="shared" ref="G442:W442" si="205">G440+G441</f>
        <v>0</v>
      </c>
      <c r="H442" s="76">
        <f t="shared" si="205"/>
        <v>0</v>
      </c>
      <c r="I442" s="76">
        <f t="shared" si="205"/>
        <v>0</v>
      </c>
      <c r="J442" s="76">
        <f t="shared" si="205"/>
        <v>0</v>
      </c>
      <c r="K442" s="76">
        <f t="shared" si="205"/>
        <v>0</v>
      </c>
      <c r="L442" s="76">
        <f t="shared" si="205"/>
        <v>0</v>
      </c>
      <c r="M442" s="76">
        <f t="shared" si="205"/>
        <v>0</v>
      </c>
      <c r="N442" s="76">
        <f t="shared" si="205"/>
        <v>0</v>
      </c>
      <c r="O442" s="76">
        <f>O440+O441</f>
        <v>0</v>
      </c>
      <c r="P442" s="76">
        <f t="shared" si="205"/>
        <v>0</v>
      </c>
      <c r="Q442" s="76">
        <f t="shared" si="205"/>
        <v>0</v>
      </c>
      <c r="R442" s="76">
        <f t="shared" si="205"/>
        <v>0</v>
      </c>
      <c r="S442" s="76">
        <f t="shared" si="205"/>
        <v>0</v>
      </c>
      <c r="T442" s="76">
        <f t="shared" si="205"/>
        <v>0</v>
      </c>
      <c r="U442" s="76">
        <f t="shared" si="205"/>
        <v>0</v>
      </c>
      <c r="V442" s="76">
        <f t="shared" si="205"/>
        <v>0</v>
      </c>
      <c r="W442" s="76">
        <f t="shared" si="205"/>
        <v>0</v>
      </c>
      <c r="X442" s="62">
        <f>X440+X441</f>
        <v>0</v>
      </c>
      <c r="Y442" s="62">
        <f>Y440+Y441</f>
        <v>0</v>
      </c>
      <c r="Z442" s="62">
        <f>Z440+Z441</f>
        <v>0</v>
      </c>
      <c r="AA442" s="64">
        <f>SUM(G442:Z442)</f>
        <v>0</v>
      </c>
      <c r="AB442" s="58" t="str">
        <f>IF(ABS(F442-AA442)&lt;0.01,"ok","err")</f>
        <v>ok</v>
      </c>
    </row>
    <row r="443" spans="1:28">
      <c r="F443" s="79"/>
    </row>
    <row r="444" spans="1:28" ht="15">
      <c r="A444" s="65" t="s">
        <v>354</v>
      </c>
      <c r="F444" s="79"/>
    </row>
    <row r="445" spans="1:28">
      <c r="A445" s="68" t="s">
        <v>1093</v>
      </c>
      <c r="C445" s="60" t="s">
        <v>734</v>
      </c>
      <c r="D445" s="60" t="s">
        <v>797</v>
      </c>
      <c r="E445" s="60" t="s">
        <v>1095</v>
      </c>
      <c r="F445" s="76">
        <f>VLOOKUP(C445,'Functional Assignment'!$C$2:$AP$780,'Functional Assignment'!$Z$2,)</f>
        <v>0</v>
      </c>
      <c r="G445" s="76">
        <f t="shared" ref="G445:Z445" si="206">IF(VLOOKUP($E445,$D$6:$AN$1131,3,)=0,0,(VLOOKUP($E445,$D$6:$AN$1131,G$2,)/VLOOKUP($E445,$D$6:$AN$1131,3,))*$F445)</f>
        <v>0</v>
      </c>
      <c r="H445" s="76">
        <f t="shared" si="206"/>
        <v>0</v>
      </c>
      <c r="I445" s="76">
        <f t="shared" si="206"/>
        <v>0</v>
      </c>
      <c r="J445" s="76">
        <f t="shared" si="206"/>
        <v>0</v>
      </c>
      <c r="K445" s="76">
        <f t="shared" si="206"/>
        <v>0</v>
      </c>
      <c r="L445" s="76">
        <f t="shared" si="206"/>
        <v>0</v>
      </c>
      <c r="M445" s="76">
        <f t="shared" si="206"/>
        <v>0</v>
      </c>
      <c r="N445" s="76">
        <f t="shared" si="206"/>
        <v>0</v>
      </c>
      <c r="O445" s="76">
        <f t="shared" si="206"/>
        <v>0</v>
      </c>
      <c r="P445" s="76">
        <f t="shared" si="206"/>
        <v>0</v>
      </c>
      <c r="Q445" s="76">
        <f t="shared" si="206"/>
        <v>0</v>
      </c>
      <c r="R445" s="76">
        <f t="shared" si="206"/>
        <v>0</v>
      </c>
      <c r="S445" s="76">
        <f t="shared" si="206"/>
        <v>0</v>
      </c>
      <c r="T445" s="76">
        <f t="shared" si="206"/>
        <v>0</v>
      </c>
      <c r="U445" s="76">
        <f t="shared" si="206"/>
        <v>0</v>
      </c>
      <c r="V445" s="76">
        <f t="shared" si="206"/>
        <v>0</v>
      </c>
      <c r="W445" s="76">
        <f t="shared" si="206"/>
        <v>0</v>
      </c>
      <c r="X445" s="62">
        <f t="shared" si="206"/>
        <v>0</v>
      </c>
      <c r="Y445" s="62">
        <f t="shared" si="206"/>
        <v>0</v>
      </c>
      <c r="Z445" s="62">
        <f t="shared" si="206"/>
        <v>0</v>
      </c>
      <c r="AA445" s="64">
        <f>SUM(G445:Z445)</f>
        <v>0</v>
      </c>
      <c r="AB445" s="58" t="str">
        <f>IF(ABS(F445-AA445)&lt;0.01,"ok","err")</f>
        <v>ok</v>
      </c>
    </row>
    <row r="446" spans="1:28">
      <c r="F446" s="79"/>
    </row>
    <row r="447" spans="1:28" ht="15">
      <c r="A447" s="65" t="s">
        <v>353</v>
      </c>
      <c r="F447" s="79"/>
    </row>
    <row r="448" spans="1:28">
      <c r="A448" s="68" t="s">
        <v>1093</v>
      </c>
      <c r="C448" s="60" t="s">
        <v>734</v>
      </c>
      <c r="D448" s="60" t="s">
        <v>798</v>
      </c>
      <c r="E448" s="60" t="s">
        <v>1096</v>
      </c>
      <c r="F448" s="76">
        <f>VLOOKUP(C448,'Functional Assignment'!$C$2:$AP$780,'Functional Assignment'!$AA$2,)</f>
        <v>0</v>
      </c>
      <c r="G448" s="76">
        <f t="shared" ref="G448:Z448" si="207">IF(VLOOKUP($E448,$D$6:$AN$1131,3,)=0,0,(VLOOKUP($E448,$D$6:$AN$1131,G$2,)/VLOOKUP($E448,$D$6:$AN$1131,3,))*$F448)</f>
        <v>0</v>
      </c>
      <c r="H448" s="76">
        <f t="shared" si="207"/>
        <v>0</v>
      </c>
      <c r="I448" s="76">
        <f t="shared" si="207"/>
        <v>0</v>
      </c>
      <c r="J448" s="76">
        <f t="shared" si="207"/>
        <v>0</v>
      </c>
      <c r="K448" s="76">
        <f t="shared" si="207"/>
        <v>0</v>
      </c>
      <c r="L448" s="76">
        <f t="shared" si="207"/>
        <v>0</v>
      </c>
      <c r="M448" s="76">
        <f t="shared" si="207"/>
        <v>0</v>
      </c>
      <c r="N448" s="76">
        <f t="shared" si="207"/>
        <v>0</v>
      </c>
      <c r="O448" s="76">
        <f t="shared" si="207"/>
        <v>0</v>
      </c>
      <c r="P448" s="76">
        <f t="shared" si="207"/>
        <v>0</v>
      </c>
      <c r="Q448" s="76">
        <f t="shared" si="207"/>
        <v>0</v>
      </c>
      <c r="R448" s="76">
        <f t="shared" si="207"/>
        <v>0</v>
      </c>
      <c r="S448" s="76">
        <f t="shared" si="207"/>
        <v>0</v>
      </c>
      <c r="T448" s="76">
        <f t="shared" si="207"/>
        <v>0</v>
      </c>
      <c r="U448" s="76">
        <f t="shared" si="207"/>
        <v>0</v>
      </c>
      <c r="V448" s="76">
        <f t="shared" si="207"/>
        <v>0</v>
      </c>
      <c r="W448" s="76">
        <f t="shared" si="207"/>
        <v>0</v>
      </c>
      <c r="X448" s="62">
        <f t="shared" si="207"/>
        <v>0</v>
      </c>
      <c r="Y448" s="62">
        <f t="shared" si="207"/>
        <v>0</v>
      </c>
      <c r="Z448" s="62">
        <f t="shared" si="207"/>
        <v>0</v>
      </c>
      <c r="AA448" s="64">
        <f>SUM(G448:Z448)</f>
        <v>0</v>
      </c>
      <c r="AB448" s="58" t="str">
        <f>IF(ABS(F448-AA448)&lt;0.01,"ok","err")</f>
        <v>ok</v>
      </c>
    </row>
    <row r="449" spans="1:28"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62"/>
      <c r="Y449" s="62"/>
      <c r="Z449" s="62"/>
      <c r="AA449" s="64"/>
    </row>
    <row r="450" spans="1:28" ht="15">
      <c r="A450" s="65" t="s">
        <v>371</v>
      </c>
      <c r="F450" s="79"/>
    </row>
    <row r="451" spans="1:28">
      <c r="A451" s="68" t="s">
        <v>1093</v>
      </c>
      <c r="C451" s="60" t="s">
        <v>734</v>
      </c>
      <c r="D451" s="60" t="s">
        <v>799</v>
      </c>
      <c r="E451" s="60" t="s">
        <v>1097</v>
      </c>
      <c r="F451" s="76">
        <f>VLOOKUP(C451,'Functional Assignment'!$C$2:$AP$780,'Functional Assignment'!$AB$2,)</f>
        <v>0</v>
      </c>
      <c r="G451" s="76">
        <f t="shared" ref="G451:Z451" si="208">IF(VLOOKUP($E451,$D$6:$AN$1131,3,)=0,0,(VLOOKUP($E451,$D$6:$AN$1131,G$2,)/VLOOKUP($E451,$D$6:$AN$1131,3,))*$F451)</f>
        <v>0</v>
      </c>
      <c r="H451" s="76">
        <f t="shared" si="208"/>
        <v>0</v>
      </c>
      <c r="I451" s="76">
        <f t="shared" si="208"/>
        <v>0</v>
      </c>
      <c r="J451" s="76">
        <f t="shared" si="208"/>
        <v>0</v>
      </c>
      <c r="K451" s="76">
        <f t="shared" si="208"/>
        <v>0</v>
      </c>
      <c r="L451" s="76">
        <f t="shared" si="208"/>
        <v>0</v>
      </c>
      <c r="M451" s="76">
        <f t="shared" si="208"/>
        <v>0</v>
      </c>
      <c r="N451" s="76">
        <f t="shared" si="208"/>
        <v>0</v>
      </c>
      <c r="O451" s="76">
        <f t="shared" si="208"/>
        <v>0</v>
      </c>
      <c r="P451" s="76">
        <f t="shared" si="208"/>
        <v>0</v>
      </c>
      <c r="Q451" s="76">
        <f t="shared" si="208"/>
        <v>0</v>
      </c>
      <c r="R451" s="76">
        <f t="shared" si="208"/>
        <v>0</v>
      </c>
      <c r="S451" s="76">
        <f t="shared" si="208"/>
        <v>0</v>
      </c>
      <c r="T451" s="76">
        <f t="shared" si="208"/>
        <v>0</v>
      </c>
      <c r="U451" s="76">
        <f t="shared" si="208"/>
        <v>0</v>
      </c>
      <c r="V451" s="76">
        <f t="shared" si="208"/>
        <v>0</v>
      </c>
      <c r="W451" s="76">
        <f t="shared" si="208"/>
        <v>0</v>
      </c>
      <c r="X451" s="62">
        <f t="shared" si="208"/>
        <v>0</v>
      </c>
      <c r="Y451" s="62">
        <f t="shared" si="208"/>
        <v>0</v>
      </c>
      <c r="Z451" s="62">
        <f t="shared" si="208"/>
        <v>0</v>
      </c>
      <c r="AA451" s="64">
        <f>SUM(G451:Z451)</f>
        <v>0</v>
      </c>
      <c r="AB451" s="58" t="str">
        <f>IF(ABS(F451-AA451)&lt;0.01,"ok","err")</f>
        <v>ok</v>
      </c>
    </row>
    <row r="452" spans="1:28"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62"/>
      <c r="Y452" s="62"/>
      <c r="Z452" s="62"/>
      <c r="AA452" s="64"/>
    </row>
    <row r="453" spans="1:28" ht="15">
      <c r="A453" s="65" t="s">
        <v>1025</v>
      </c>
      <c r="F453" s="79"/>
    </row>
    <row r="454" spans="1:28">
      <c r="A454" s="68" t="s">
        <v>1093</v>
      </c>
      <c r="C454" s="60" t="s">
        <v>734</v>
      </c>
      <c r="D454" s="60" t="s">
        <v>800</v>
      </c>
      <c r="E454" s="60" t="s">
        <v>1098</v>
      </c>
      <c r="F454" s="76">
        <f>VLOOKUP(C454,'Functional Assignment'!$C$2:$AP$780,'Functional Assignment'!$AC$2,)</f>
        <v>0</v>
      </c>
      <c r="G454" s="76">
        <f t="shared" ref="G454:Z454" si="209">IF(VLOOKUP($E454,$D$6:$AN$1131,3,)=0,0,(VLOOKUP($E454,$D$6:$AN$1131,G$2,)/VLOOKUP($E454,$D$6:$AN$1131,3,))*$F454)</f>
        <v>0</v>
      </c>
      <c r="H454" s="76">
        <f t="shared" si="209"/>
        <v>0</v>
      </c>
      <c r="I454" s="76">
        <f t="shared" si="209"/>
        <v>0</v>
      </c>
      <c r="J454" s="76">
        <f t="shared" si="209"/>
        <v>0</v>
      </c>
      <c r="K454" s="76">
        <f t="shared" si="209"/>
        <v>0</v>
      </c>
      <c r="L454" s="76">
        <f t="shared" si="209"/>
        <v>0</v>
      </c>
      <c r="M454" s="76">
        <f t="shared" si="209"/>
        <v>0</v>
      </c>
      <c r="N454" s="76">
        <f t="shared" si="209"/>
        <v>0</v>
      </c>
      <c r="O454" s="76">
        <f t="shared" si="209"/>
        <v>0</v>
      </c>
      <c r="P454" s="76">
        <f t="shared" si="209"/>
        <v>0</v>
      </c>
      <c r="Q454" s="76">
        <f t="shared" si="209"/>
        <v>0</v>
      </c>
      <c r="R454" s="76">
        <f t="shared" si="209"/>
        <v>0</v>
      </c>
      <c r="S454" s="76">
        <f t="shared" si="209"/>
        <v>0</v>
      </c>
      <c r="T454" s="76">
        <f t="shared" si="209"/>
        <v>0</v>
      </c>
      <c r="U454" s="76">
        <f t="shared" si="209"/>
        <v>0</v>
      </c>
      <c r="V454" s="76">
        <f t="shared" si="209"/>
        <v>0</v>
      </c>
      <c r="W454" s="76">
        <f t="shared" si="209"/>
        <v>0</v>
      </c>
      <c r="X454" s="62">
        <f t="shared" si="209"/>
        <v>0</v>
      </c>
      <c r="Y454" s="62">
        <f t="shared" si="209"/>
        <v>0</v>
      </c>
      <c r="Z454" s="62">
        <f t="shared" si="209"/>
        <v>0</v>
      </c>
      <c r="AA454" s="64">
        <f>SUM(G454:Z454)</f>
        <v>0</v>
      </c>
      <c r="AB454" s="58" t="str">
        <f>IF(ABS(F454-AA454)&lt;0.01,"ok","err")</f>
        <v>ok</v>
      </c>
    </row>
    <row r="455" spans="1:28"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62"/>
      <c r="Y455" s="62"/>
      <c r="Z455" s="62"/>
      <c r="AA455" s="64"/>
    </row>
    <row r="456" spans="1:28" ht="15">
      <c r="A456" s="65" t="s">
        <v>351</v>
      </c>
      <c r="F456" s="79"/>
    </row>
    <row r="457" spans="1:28">
      <c r="A457" s="68" t="s">
        <v>1093</v>
      </c>
      <c r="C457" s="60" t="s">
        <v>734</v>
      </c>
      <c r="D457" s="60" t="s">
        <v>801</v>
      </c>
      <c r="E457" s="60" t="s">
        <v>1098</v>
      </c>
      <c r="F457" s="76">
        <f>VLOOKUP(C457,'Functional Assignment'!$C$2:$AP$780,'Functional Assignment'!$AD$2,)</f>
        <v>0</v>
      </c>
      <c r="G457" s="76">
        <f t="shared" ref="G457:Z457" si="210">IF(VLOOKUP($E457,$D$6:$AN$1131,3,)=0,0,(VLOOKUP($E457,$D$6:$AN$1131,G$2,)/VLOOKUP($E457,$D$6:$AN$1131,3,))*$F457)</f>
        <v>0</v>
      </c>
      <c r="H457" s="76">
        <f t="shared" si="210"/>
        <v>0</v>
      </c>
      <c r="I457" s="76">
        <f t="shared" si="210"/>
        <v>0</v>
      </c>
      <c r="J457" s="76">
        <f t="shared" si="210"/>
        <v>0</v>
      </c>
      <c r="K457" s="76">
        <f t="shared" si="210"/>
        <v>0</v>
      </c>
      <c r="L457" s="76">
        <f t="shared" si="210"/>
        <v>0</v>
      </c>
      <c r="M457" s="76">
        <f t="shared" si="210"/>
        <v>0</v>
      </c>
      <c r="N457" s="76">
        <f t="shared" si="210"/>
        <v>0</v>
      </c>
      <c r="O457" s="76">
        <f t="shared" si="210"/>
        <v>0</v>
      </c>
      <c r="P457" s="76">
        <f t="shared" si="210"/>
        <v>0</v>
      </c>
      <c r="Q457" s="76">
        <f t="shared" si="210"/>
        <v>0</v>
      </c>
      <c r="R457" s="76">
        <f t="shared" si="210"/>
        <v>0</v>
      </c>
      <c r="S457" s="76">
        <f t="shared" si="210"/>
        <v>0</v>
      </c>
      <c r="T457" s="76">
        <f t="shared" si="210"/>
        <v>0</v>
      </c>
      <c r="U457" s="76">
        <f t="shared" si="210"/>
        <v>0</v>
      </c>
      <c r="V457" s="76">
        <f t="shared" si="210"/>
        <v>0</v>
      </c>
      <c r="W457" s="76">
        <f t="shared" si="210"/>
        <v>0</v>
      </c>
      <c r="X457" s="62">
        <f t="shared" si="210"/>
        <v>0</v>
      </c>
      <c r="Y457" s="62">
        <f t="shared" si="210"/>
        <v>0</v>
      </c>
      <c r="Z457" s="62">
        <f t="shared" si="210"/>
        <v>0</v>
      </c>
      <c r="AA457" s="64">
        <f>SUM(G457:Z457)</f>
        <v>0</v>
      </c>
      <c r="AB457" s="58" t="str">
        <f>IF(ABS(F457-AA457)&lt;0.01,"ok","err")</f>
        <v>ok</v>
      </c>
    </row>
    <row r="458" spans="1:28"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62"/>
      <c r="Y458" s="62"/>
      <c r="Z458" s="62"/>
      <c r="AA458" s="64"/>
    </row>
    <row r="459" spans="1:28" ht="15">
      <c r="A459" s="65" t="s">
        <v>350</v>
      </c>
      <c r="F459" s="79"/>
    </row>
    <row r="460" spans="1:28">
      <c r="A460" s="68" t="s">
        <v>1093</v>
      </c>
      <c r="C460" s="60" t="s">
        <v>734</v>
      </c>
      <c r="D460" s="60" t="s">
        <v>802</v>
      </c>
      <c r="E460" s="60" t="s">
        <v>1099</v>
      </c>
      <c r="F460" s="76">
        <f>VLOOKUP(C460,'Functional Assignment'!$C$2:$AP$780,'Functional Assignment'!$AE$2,)</f>
        <v>0</v>
      </c>
      <c r="G460" s="76">
        <f t="shared" ref="G460:Z460" si="211">IF(VLOOKUP($E460,$D$6:$AN$1131,3,)=0,0,(VLOOKUP($E460,$D$6:$AN$1131,G$2,)/VLOOKUP($E460,$D$6:$AN$1131,3,))*$F460)</f>
        <v>0</v>
      </c>
      <c r="H460" s="76">
        <f t="shared" si="211"/>
        <v>0</v>
      </c>
      <c r="I460" s="76">
        <f t="shared" si="211"/>
        <v>0</v>
      </c>
      <c r="J460" s="76">
        <f t="shared" si="211"/>
        <v>0</v>
      </c>
      <c r="K460" s="76">
        <f t="shared" si="211"/>
        <v>0</v>
      </c>
      <c r="L460" s="76">
        <f t="shared" si="211"/>
        <v>0</v>
      </c>
      <c r="M460" s="76">
        <f t="shared" si="211"/>
        <v>0</v>
      </c>
      <c r="N460" s="76">
        <f t="shared" si="211"/>
        <v>0</v>
      </c>
      <c r="O460" s="76">
        <f t="shared" si="211"/>
        <v>0</v>
      </c>
      <c r="P460" s="76">
        <f t="shared" si="211"/>
        <v>0</v>
      </c>
      <c r="Q460" s="76">
        <f t="shared" si="211"/>
        <v>0</v>
      </c>
      <c r="R460" s="76">
        <f t="shared" si="211"/>
        <v>0</v>
      </c>
      <c r="S460" s="76">
        <f t="shared" si="211"/>
        <v>0</v>
      </c>
      <c r="T460" s="76">
        <f t="shared" si="211"/>
        <v>0</v>
      </c>
      <c r="U460" s="76">
        <f t="shared" si="211"/>
        <v>0</v>
      </c>
      <c r="V460" s="76">
        <f t="shared" si="211"/>
        <v>0</v>
      </c>
      <c r="W460" s="76">
        <f t="shared" si="211"/>
        <v>0</v>
      </c>
      <c r="X460" s="62">
        <f t="shared" si="211"/>
        <v>0</v>
      </c>
      <c r="Y460" s="62">
        <f t="shared" si="211"/>
        <v>0</v>
      </c>
      <c r="Z460" s="62">
        <f t="shared" si="211"/>
        <v>0</v>
      </c>
      <c r="AA460" s="64">
        <f>SUM(G460:Z460)</f>
        <v>0</v>
      </c>
      <c r="AB460" s="58" t="str">
        <f>IF(ABS(F460-AA460)&lt;0.01,"ok","err")</f>
        <v>ok</v>
      </c>
    </row>
    <row r="461" spans="1:28"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62"/>
      <c r="Y461" s="62"/>
      <c r="Z461" s="62"/>
      <c r="AA461" s="64"/>
    </row>
    <row r="462" spans="1:28">
      <c r="A462" s="60" t="s">
        <v>922</v>
      </c>
      <c r="D462" s="60" t="s">
        <v>803</v>
      </c>
      <c r="F462" s="76">
        <f>F417+F423+F426+F429+F437+F442+F445+F448+F451+F454+F457+F460</f>
        <v>0</v>
      </c>
      <c r="G462" s="76">
        <f t="shared" ref="G462:Z462" si="212">G417+G423+G426+G429+G437+G442+G445+G448+G451+G454+G457+G460</f>
        <v>0</v>
      </c>
      <c r="H462" s="76">
        <f t="shared" si="212"/>
        <v>0</v>
      </c>
      <c r="I462" s="76">
        <f t="shared" si="212"/>
        <v>0</v>
      </c>
      <c r="J462" s="76">
        <f t="shared" si="212"/>
        <v>0</v>
      </c>
      <c r="K462" s="76">
        <f t="shared" si="212"/>
        <v>0</v>
      </c>
      <c r="L462" s="76">
        <f t="shared" si="212"/>
        <v>0</v>
      </c>
      <c r="M462" s="76">
        <f t="shared" si="212"/>
        <v>0</v>
      </c>
      <c r="N462" s="76">
        <f t="shared" si="212"/>
        <v>0</v>
      </c>
      <c r="O462" s="76">
        <f>O417+O423+O426+O429+O437+O442+O445+O448+O451+O454+O457+O460</f>
        <v>0</v>
      </c>
      <c r="P462" s="76">
        <f t="shared" si="212"/>
        <v>0</v>
      </c>
      <c r="Q462" s="76">
        <f t="shared" si="212"/>
        <v>0</v>
      </c>
      <c r="R462" s="76">
        <f t="shared" si="212"/>
        <v>0</v>
      </c>
      <c r="S462" s="76">
        <f t="shared" si="212"/>
        <v>0</v>
      </c>
      <c r="T462" s="76">
        <f t="shared" si="212"/>
        <v>0</v>
      </c>
      <c r="U462" s="76">
        <f t="shared" si="212"/>
        <v>0</v>
      </c>
      <c r="V462" s="76">
        <f t="shared" si="212"/>
        <v>0</v>
      </c>
      <c r="W462" s="76">
        <f t="shared" si="212"/>
        <v>0</v>
      </c>
      <c r="X462" s="62">
        <f t="shared" si="212"/>
        <v>0</v>
      </c>
      <c r="Y462" s="62">
        <f t="shared" si="212"/>
        <v>0</v>
      </c>
      <c r="Z462" s="62">
        <f t="shared" si="212"/>
        <v>0</v>
      </c>
      <c r="AA462" s="64">
        <f>SUM(G462:Z462)</f>
        <v>0</v>
      </c>
      <c r="AB462" s="58" t="str">
        <f>IF(ABS(F462-AA462)&lt;0.01,"ok","err")</f>
        <v>ok</v>
      </c>
    </row>
    <row r="463" spans="1:28"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62"/>
      <c r="Y463" s="62"/>
      <c r="Z463" s="62"/>
      <c r="AA463" s="64"/>
    </row>
    <row r="465" spans="1:28" ht="15">
      <c r="A465" s="65" t="s">
        <v>805</v>
      </c>
    </row>
    <row r="467" spans="1:28" ht="15">
      <c r="A467" s="65" t="s">
        <v>364</v>
      </c>
    </row>
    <row r="468" spans="1:28">
      <c r="A468" s="68" t="s">
        <v>359</v>
      </c>
      <c r="C468" s="60" t="s">
        <v>1074</v>
      </c>
      <c r="D468" s="60" t="s">
        <v>534</v>
      </c>
      <c r="E468" s="60" t="s">
        <v>869</v>
      </c>
      <c r="F468" s="76">
        <f>VLOOKUP(C468,'Functional Assignment'!$C$2:$AP$780,'Functional Assignment'!$H$2,)</f>
        <v>6289766.8709144518</v>
      </c>
      <c r="G468" s="76">
        <f t="shared" ref="G468:P473" si="213">IF(VLOOKUP($E468,$D$6:$AN$1131,3,)=0,0,(VLOOKUP($E468,$D$6:$AN$1131,G$2,)/VLOOKUP($E468,$D$6:$AN$1131,3,))*$F468)</f>
        <v>2275499.4848266388</v>
      </c>
      <c r="H468" s="76">
        <f t="shared" si="213"/>
        <v>739455.87691865792</v>
      </c>
      <c r="I468" s="76">
        <f t="shared" si="213"/>
        <v>0</v>
      </c>
      <c r="J468" s="76">
        <f t="shared" si="213"/>
        <v>88070.452221235697</v>
      </c>
      <c r="K468" s="76">
        <f t="shared" si="213"/>
        <v>1020410.4075225753</v>
      </c>
      <c r="L468" s="76">
        <f t="shared" si="213"/>
        <v>0</v>
      </c>
      <c r="M468" s="76">
        <f t="shared" si="213"/>
        <v>0</v>
      </c>
      <c r="N468" s="76">
        <f t="shared" si="213"/>
        <v>984979.34852581611</v>
      </c>
      <c r="O468" s="76">
        <f t="shared" si="213"/>
        <v>433207.29881492746</v>
      </c>
      <c r="P468" s="76">
        <f t="shared" si="213"/>
        <v>599776.98531966703</v>
      </c>
      <c r="Q468" s="76">
        <f t="shared" ref="Q468:Z473" si="214">IF(VLOOKUP($E468,$D$6:$AN$1131,3,)=0,0,(VLOOKUP($E468,$D$6:$AN$1131,Q$2,)/VLOOKUP($E468,$D$6:$AN$1131,3,))*$F468)</f>
        <v>58541.25706285701</v>
      </c>
      <c r="R468" s="76">
        <f t="shared" si="214"/>
        <v>30927.138133863544</v>
      </c>
      <c r="S468" s="76">
        <f t="shared" si="214"/>
        <v>55400.49623411303</v>
      </c>
      <c r="T468" s="76">
        <f t="shared" si="214"/>
        <v>1805.8479451472642</v>
      </c>
      <c r="U468" s="76">
        <f t="shared" si="214"/>
        <v>1692.2773889539424</v>
      </c>
      <c r="V468" s="76">
        <f t="shared" si="214"/>
        <v>0</v>
      </c>
      <c r="W468" s="76">
        <f t="shared" si="214"/>
        <v>0</v>
      </c>
      <c r="X468" s="62">
        <f t="shared" si="214"/>
        <v>0</v>
      </c>
      <c r="Y468" s="62">
        <f t="shared" si="214"/>
        <v>0</v>
      </c>
      <c r="Z468" s="62">
        <f t="shared" si="214"/>
        <v>0</v>
      </c>
      <c r="AA468" s="64">
        <f t="shared" ref="AA468:AA474" si="215">SUM(G468:Z468)</f>
        <v>6289766.8709144536</v>
      </c>
      <c r="AB468" s="58" t="str">
        <f t="shared" ref="AB468:AB474" si="216">IF(ABS(F468-AA468)&lt;0.01,"ok","err")</f>
        <v>ok</v>
      </c>
    </row>
    <row r="469" spans="1:28">
      <c r="A469" s="68" t="s">
        <v>1255</v>
      </c>
      <c r="C469" s="60" t="s">
        <v>1074</v>
      </c>
      <c r="D469" s="60" t="s">
        <v>535</v>
      </c>
      <c r="E469" s="60" t="s">
        <v>188</v>
      </c>
      <c r="F469" s="79">
        <f>VLOOKUP(C469,'Functional Assignment'!$C$2:$AP$780,'Functional Assignment'!$I$2,)</f>
        <v>6588928.9038168211</v>
      </c>
      <c r="G469" s="79">
        <f t="shared" si="213"/>
        <v>2815569.13323115</v>
      </c>
      <c r="H469" s="79">
        <f t="shared" si="213"/>
        <v>921317.42944424902</v>
      </c>
      <c r="I469" s="79">
        <f t="shared" si="213"/>
        <v>0</v>
      </c>
      <c r="J469" s="79">
        <f t="shared" si="213"/>
        <v>71645.419293829807</v>
      </c>
      <c r="K469" s="79">
        <f t="shared" si="213"/>
        <v>964070.97784275026</v>
      </c>
      <c r="L469" s="79">
        <f t="shared" si="213"/>
        <v>0</v>
      </c>
      <c r="M469" s="79">
        <f t="shared" si="213"/>
        <v>0</v>
      </c>
      <c r="N469" s="79">
        <f t="shared" si="213"/>
        <v>767733.11856286624</v>
      </c>
      <c r="O469" s="79">
        <f t="shared" si="213"/>
        <v>514852.65061861399</v>
      </c>
      <c r="P469" s="79">
        <f t="shared" si="213"/>
        <v>459206.75192324771</v>
      </c>
      <c r="Q469" s="79">
        <f t="shared" si="214"/>
        <v>53018.331865509565</v>
      </c>
      <c r="R469" s="79">
        <f t="shared" si="214"/>
        <v>20152.473920940323</v>
      </c>
      <c r="S469" s="79">
        <f t="shared" si="214"/>
        <v>0</v>
      </c>
      <c r="T469" s="79">
        <f t="shared" si="214"/>
        <v>0</v>
      </c>
      <c r="U469" s="79">
        <f t="shared" si="214"/>
        <v>1362.617113664455</v>
      </c>
      <c r="V469" s="79">
        <f t="shared" si="214"/>
        <v>0</v>
      </c>
      <c r="W469" s="79">
        <f t="shared" si="214"/>
        <v>0</v>
      </c>
      <c r="X469" s="63">
        <f t="shared" si="214"/>
        <v>0</v>
      </c>
      <c r="Y469" s="63">
        <f t="shared" si="214"/>
        <v>0</v>
      </c>
      <c r="Z469" s="63">
        <f t="shared" si="214"/>
        <v>0</v>
      </c>
      <c r="AA469" s="63">
        <f t="shared" si="215"/>
        <v>6588928.903816822</v>
      </c>
      <c r="AB469" s="58" t="str">
        <f t="shared" si="216"/>
        <v>ok</v>
      </c>
    </row>
    <row r="470" spans="1:28">
      <c r="A470" s="68" t="s">
        <v>1256</v>
      </c>
      <c r="C470" s="60" t="s">
        <v>1074</v>
      </c>
      <c r="D470" s="60" t="s">
        <v>536</v>
      </c>
      <c r="E470" s="60" t="s">
        <v>191</v>
      </c>
      <c r="F470" s="79">
        <f>VLOOKUP(C470,'Functional Assignment'!$C$2:$AP$780,'Functional Assignment'!$J$2,)</f>
        <v>5416077.3409332</v>
      </c>
      <c r="G470" s="79">
        <f t="shared" si="213"/>
        <v>2117957.1159955584</v>
      </c>
      <c r="H470" s="79">
        <f t="shared" si="213"/>
        <v>765377.2426584796</v>
      </c>
      <c r="I470" s="79">
        <f t="shared" si="213"/>
        <v>0</v>
      </c>
      <c r="J470" s="79">
        <f t="shared" si="213"/>
        <v>63122.050304596618</v>
      </c>
      <c r="K470" s="79">
        <f t="shared" si="213"/>
        <v>890982.96177621256</v>
      </c>
      <c r="L470" s="79">
        <f t="shared" si="213"/>
        <v>0</v>
      </c>
      <c r="M470" s="79">
        <f t="shared" si="213"/>
        <v>0</v>
      </c>
      <c r="N470" s="79">
        <f t="shared" si="213"/>
        <v>673873.44887567626</v>
      </c>
      <c r="O470" s="79">
        <f t="shared" si="213"/>
        <v>455147.46381165658</v>
      </c>
      <c r="P470" s="79">
        <f t="shared" si="213"/>
        <v>389735.7018189407</v>
      </c>
      <c r="Q470" s="79">
        <f t="shared" si="214"/>
        <v>42082.439930220818</v>
      </c>
      <c r="R470" s="79">
        <f t="shared" si="214"/>
        <v>17035.243505872146</v>
      </c>
      <c r="S470" s="79">
        <f t="shared" si="214"/>
        <v>0</v>
      </c>
      <c r="T470" s="79">
        <f t="shared" si="214"/>
        <v>0</v>
      </c>
      <c r="U470" s="79">
        <f t="shared" si="214"/>
        <v>763.67225598575124</v>
      </c>
      <c r="V470" s="79">
        <f t="shared" si="214"/>
        <v>0</v>
      </c>
      <c r="W470" s="79">
        <f t="shared" si="214"/>
        <v>0</v>
      </c>
      <c r="X470" s="63">
        <f t="shared" si="214"/>
        <v>0</v>
      </c>
      <c r="Y470" s="63">
        <f t="shared" si="214"/>
        <v>0</v>
      </c>
      <c r="Z470" s="63">
        <f t="shared" si="214"/>
        <v>0</v>
      </c>
      <c r="AA470" s="63">
        <f t="shared" si="215"/>
        <v>5416077.340933199</v>
      </c>
      <c r="AB470" s="58" t="str">
        <f t="shared" si="216"/>
        <v>ok</v>
      </c>
    </row>
    <row r="471" spans="1:28">
      <c r="A471" s="68" t="s">
        <v>1257</v>
      </c>
      <c r="C471" s="60" t="s">
        <v>1074</v>
      </c>
      <c r="D471" s="60" t="s">
        <v>537</v>
      </c>
      <c r="E471" s="60" t="s">
        <v>1091</v>
      </c>
      <c r="F471" s="79">
        <f>VLOOKUP(C471,'Functional Assignment'!$C$2:$AP$780,'Functional Assignment'!$K$2,)</f>
        <v>0</v>
      </c>
      <c r="G471" s="79">
        <f t="shared" si="213"/>
        <v>0</v>
      </c>
      <c r="H471" s="79">
        <f t="shared" si="213"/>
        <v>0</v>
      </c>
      <c r="I471" s="79">
        <f t="shared" si="213"/>
        <v>0</v>
      </c>
      <c r="J471" s="79">
        <f t="shared" si="213"/>
        <v>0</v>
      </c>
      <c r="K471" s="79">
        <f t="shared" si="213"/>
        <v>0</v>
      </c>
      <c r="L471" s="79">
        <f t="shared" si="213"/>
        <v>0</v>
      </c>
      <c r="M471" s="79">
        <f t="shared" si="213"/>
        <v>0</v>
      </c>
      <c r="N471" s="79">
        <f t="shared" si="213"/>
        <v>0</v>
      </c>
      <c r="O471" s="79">
        <f t="shared" si="213"/>
        <v>0</v>
      </c>
      <c r="P471" s="79">
        <f t="shared" si="213"/>
        <v>0</v>
      </c>
      <c r="Q471" s="79">
        <f t="shared" si="214"/>
        <v>0</v>
      </c>
      <c r="R471" s="79">
        <f t="shared" si="214"/>
        <v>0</v>
      </c>
      <c r="S471" s="79">
        <f t="shared" si="214"/>
        <v>0</v>
      </c>
      <c r="T471" s="79">
        <f t="shared" si="214"/>
        <v>0</v>
      </c>
      <c r="U471" s="79">
        <f t="shared" si="214"/>
        <v>0</v>
      </c>
      <c r="V471" s="79">
        <f t="shared" si="214"/>
        <v>0</v>
      </c>
      <c r="W471" s="79">
        <f t="shared" si="214"/>
        <v>0</v>
      </c>
      <c r="X471" s="63">
        <f t="shared" si="214"/>
        <v>0</v>
      </c>
      <c r="Y471" s="63">
        <f t="shared" si="214"/>
        <v>0</v>
      </c>
      <c r="Z471" s="63">
        <f t="shared" si="214"/>
        <v>0</v>
      </c>
      <c r="AA471" s="63">
        <f t="shared" si="215"/>
        <v>0</v>
      </c>
      <c r="AB471" s="58" t="str">
        <f t="shared" si="216"/>
        <v>ok</v>
      </c>
    </row>
    <row r="472" spans="1:28">
      <c r="A472" s="68" t="s">
        <v>1258</v>
      </c>
      <c r="C472" s="60" t="s">
        <v>1074</v>
      </c>
      <c r="D472" s="60" t="s">
        <v>538</v>
      </c>
      <c r="E472" s="60" t="s">
        <v>1091</v>
      </c>
      <c r="F472" s="79">
        <f>VLOOKUP(C472,'Functional Assignment'!$C$2:$AP$780,'Functional Assignment'!$L$2,)</f>
        <v>0</v>
      </c>
      <c r="G472" s="79">
        <f t="shared" si="213"/>
        <v>0</v>
      </c>
      <c r="H472" s="79">
        <f t="shared" si="213"/>
        <v>0</v>
      </c>
      <c r="I472" s="79">
        <f t="shared" si="213"/>
        <v>0</v>
      </c>
      <c r="J472" s="79">
        <f t="shared" si="213"/>
        <v>0</v>
      </c>
      <c r="K472" s="79">
        <f t="shared" si="213"/>
        <v>0</v>
      </c>
      <c r="L472" s="79">
        <f t="shared" si="213"/>
        <v>0</v>
      </c>
      <c r="M472" s="79">
        <f t="shared" si="213"/>
        <v>0</v>
      </c>
      <c r="N472" s="79">
        <f t="shared" si="213"/>
        <v>0</v>
      </c>
      <c r="O472" s="79">
        <f t="shared" si="213"/>
        <v>0</v>
      </c>
      <c r="P472" s="79">
        <f t="shared" si="213"/>
        <v>0</v>
      </c>
      <c r="Q472" s="79">
        <f t="shared" si="214"/>
        <v>0</v>
      </c>
      <c r="R472" s="79">
        <f t="shared" si="214"/>
        <v>0</v>
      </c>
      <c r="S472" s="79">
        <f t="shared" si="214"/>
        <v>0</v>
      </c>
      <c r="T472" s="79">
        <f t="shared" si="214"/>
        <v>0</v>
      </c>
      <c r="U472" s="79">
        <f t="shared" si="214"/>
        <v>0</v>
      </c>
      <c r="V472" s="79">
        <f t="shared" si="214"/>
        <v>0</v>
      </c>
      <c r="W472" s="79">
        <f t="shared" si="214"/>
        <v>0</v>
      </c>
      <c r="X472" s="63">
        <f t="shared" si="214"/>
        <v>0</v>
      </c>
      <c r="Y472" s="63">
        <f t="shared" si="214"/>
        <v>0</v>
      </c>
      <c r="Z472" s="63">
        <f t="shared" si="214"/>
        <v>0</v>
      </c>
      <c r="AA472" s="63">
        <f t="shared" si="215"/>
        <v>0</v>
      </c>
      <c r="AB472" s="58" t="str">
        <f t="shared" si="216"/>
        <v>ok</v>
      </c>
    </row>
    <row r="473" spans="1:28">
      <c r="A473" s="68" t="s">
        <v>1258</v>
      </c>
      <c r="C473" s="60" t="s">
        <v>1074</v>
      </c>
      <c r="D473" s="60" t="s">
        <v>539</v>
      </c>
      <c r="E473" s="60" t="s">
        <v>1091</v>
      </c>
      <c r="F473" s="79">
        <f>VLOOKUP(C473,'Functional Assignment'!$C$2:$AP$780,'Functional Assignment'!$M$2,)</f>
        <v>0</v>
      </c>
      <c r="G473" s="79">
        <f t="shared" si="213"/>
        <v>0</v>
      </c>
      <c r="H473" s="79">
        <f t="shared" si="213"/>
        <v>0</v>
      </c>
      <c r="I473" s="79">
        <f t="shared" si="213"/>
        <v>0</v>
      </c>
      <c r="J473" s="79">
        <f t="shared" si="213"/>
        <v>0</v>
      </c>
      <c r="K473" s="79">
        <f t="shared" si="213"/>
        <v>0</v>
      </c>
      <c r="L473" s="79">
        <f t="shared" si="213"/>
        <v>0</v>
      </c>
      <c r="M473" s="79">
        <f t="shared" si="213"/>
        <v>0</v>
      </c>
      <c r="N473" s="79">
        <f t="shared" si="213"/>
        <v>0</v>
      </c>
      <c r="O473" s="79">
        <f t="shared" si="213"/>
        <v>0</v>
      </c>
      <c r="P473" s="79">
        <f t="shared" si="213"/>
        <v>0</v>
      </c>
      <c r="Q473" s="79">
        <f t="shared" si="214"/>
        <v>0</v>
      </c>
      <c r="R473" s="79">
        <f t="shared" si="214"/>
        <v>0</v>
      </c>
      <c r="S473" s="79">
        <f t="shared" si="214"/>
        <v>0</v>
      </c>
      <c r="T473" s="79">
        <f t="shared" si="214"/>
        <v>0</v>
      </c>
      <c r="U473" s="79">
        <f t="shared" si="214"/>
        <v>0</v>
      </c>
      <c r="V473" s="79">
        <f t="shared" si="214"/>
        <v>0</v>
      </c>
      <c r="W473" s="79">
        <f t="shared" si="214"/>
        <v>0</v>
      </c>
      <c r="X473" s="63">
        <f t="shared" si="214"/>
        <v>0</v>
      </c>
      <c r="Y473" s="63">
        <f t="shared" si="214"/>
        <v>0</v>
      </c>
      <c r="Z473" s="63">
        <f t="shared" si="214"/>
        <v>0</v>
      </c>
      <c r="AA473" s="63">
        <f t="shared" si="215"/>
        <v>0</v>
      </c>
      <c r="AB473" s="58" t="str">
        <f t="shared" si="216"/>
        <v>ok</v>
      </c>
    </row>
    <row r="474" spans="1:28">
      <c r="A474" s="60" t="s">
        <v>387</v>
      </c>
      <c r="D474" s="60" t="s">
        <v>540</v>
      </c>
      <c r="F474" s="76">
        <f>SUM(F468:F473)</f>
        <v>18294773.115664475</v>
      </c>
      <c r="G474" s="76">
        <f t="shared" ref="G474:P474" si="217">SUM(G468:G473)</f>
        <v>7209025.7340533473</v>
      </c>
      <c r="H474" s="76">
        <f t="shared" si="217"/>
        <v>2426150.5490213865</v>
      </c>
      <c r="I474" s="76">
        <f t="shared" si="217"/>
        <v>0</v>
      </c>
      <c r="J474" s="76">
        <f t="shared" si="217"/>
        <v>222837.92181966209</v>
      </c>
      <c r="K474" s="76">
        <f t="shared" si="217"/>
        <v>2875464.3471415378</v>
      </c>
      <c r="L474" s="76">
        <f t="shared" si="217"/>
        <v>0</v>
      </c>
      <c r="M474" s="76">
        <f t="shared" si="217"/>
        <v>0</v>
      </c>
      <c r="N474" s="76">
        <f t="shared" si="217"/>
        <v>2426585.9159643585</v>
      </c>
      <c r="O474" s="76">
        <f>SUM(O468:O473)</f>
        <v>1403207.4132451979</v>
      </c>
      <c r="P474" s="76">
        <f t="shared" si="217"/>
        <v>1448719.4390618554</v>
      </c>
      <c r="Q474" s="76">
        <f t="shared" ref="Q474:W474" si="218">SUM(Q468:Q473)</f>
        <v>153642.02885858738</v>
      </c>
      <c r="R474" s="76">
        <f t="shared" si="218"/>
        <v>68114.85556067602</v>
      </c>
      <c r="S474" s="76">
        <f t="shared" si="218"/>
        <v>55400.49623411303</v>
      </c>
      <c r="T474" s="76">
        <f t="shared" si="218"/>
        <v>1805.8479451472642</v>
      </c>
      <c r="U474" s="76">
        <f t="shared" si="218"/>
        <v>3818.5667586041486</v>
      </c>
      <c r="V474" s="76">
        <f t="shared" si="218"/>
        <v>0</v>
      </c>
      <c r="W474" s="76">
        <f t="shared" si="218"/>
        <v>0</v>
      </c>
      <c r="X474" s="62">
        <f>SUM(X468:X473)</f>
        <v>0</v>
      </c>
      <c r="Y474" s="62">
        <f>SUM(Y468:Y473)</f>
        <v>0</v>
      </c>
      <c r="Z474" s="62">
        <f>SUM(Z468:Z473)</f>
        <v>0</v>
      </c>
      <c r="AA474" s="64">
        <f t="shared" si="215"/>
        <v>18294773.115664467</v>
      </c>
      <c r="AB474" s="58" t="str">
        <f t="shared" si="216"/>
        <v>ok</v>
      </c>
    </row>
    <row r="475" spans="1:28">
      <c r="F475" s="79"/>
      <c r="G475" s="79"/>
    </row>
    <row r="476" spans="1:28" ht="15">
      <c r="A476" s="65" t="s">
        <v>1131</v>
      </c>
      <c r="F476" s="79"/>
      <c r="G476" s="79"/>
    </row>
    <row r="477" spans="1:28">
      <c r="A477" s="68" t="s">
        <v>1363</v>
      </c>
      <c r="C477" s="60" t="s">
        <v>1074</v>
      </c>
      <c r="D477" s="60" t="s">
        <v>541</v>
      </c>
      <c r="E477" s="60" t="s">
        <v>1367</v>
      </c>
      <c r="F477" s="76">
        <f>VLOOKUP(C477,'Functional Assignment'!$C$2:$AP$780,'Functional Assignment'!$N$2,)</f>
        <v>3464936.7094208836</v>
      </c>
      <c r="G477" s="76">
        <f t="shared" ref="G477:P479" si="219">IF(VLOOKUP($E477,$D$6:$AN$1131,3,)=0,0,(VLOOKUP($E477,$D$6:$AN$1131,G$2,)/VLOOKUP($E477,$D$6:$AN$1131,3,))*$F477)</f>
        <v>1539775.9588957594</v>
      </c>
      <c r="H477" s="76">
        <f t="shared" si="219"/>
        <v>443220.22363264218</v>
      </c>
      <c r="I477" s="76">
        <f t="shared" si="219"/>
        <v>0</v>
      </c>
      <c r="J477" s="76">
        <f t="shared" si="219"/>
        <v>39380.504978614452</v>
      </c>
      <c r="K477" s="76">
        <f t="shared" si="219"/>
        <v>457074.0912242984</v>
      </c>
      <c r="L477" s="76">
        <f t="shared" si="219"/>
        <v>0</v>
      </c>
      <c r="M477" s="76">
        <f t="shared" si="219"/>
        <v>0</v>
      </c>
      <c r="N477" s="76">
        <f t="shared" si="219"/>
        <v>415797.94747155847</v>
      </c>
      <c r="O477" s="76">
        <f t="shared" si="219"/>
        <v>246878.99904519375</v>
      </c>
      <c r="P477" s="76">
        <f t="shared" si="219"/>
        <v>255721.62865599897</v>
      </c>
      <c r="Q477" s="76">
        <f t="shared" ref="Q477:Z479" si="220">IF(VLOOKUP($E477,$D$6:$AN$1131,3,)=0,0,(VLOOKUP($E477,$D$6:$AN$1131,Q$2,)/VLOOKUP($E477,$D$6:$AN$1131,3,))*$F477)</f>
        <v>25777.866092265445</v>
      </c>
      <c r="R477" s="76">
        <f t="shared" si="220"/>
        <v>13492.505982881619</v>
      </c>
      <c r="S477" s="76">
        <f t="shared" si="220"/>
        <v>26579.643643465304</v>
      </c>
      <c r="T477" s="76">
        <f t="shared" si="220"/>
        <v>850.09372977657756</v>
      </c>
      <c r="U477" s="76">
        <f t="shared" si="220"/>
        <v>387.24606842956462</v>
      </c>
      <c r="V477" s="76">
        <f t="shared" si="220"/>
        <v>0</v>
      </c>
      <c r="W477" s="76">
        <f t="shared" si="220"/>
        <v>0</v>
      </c>
      <c r="X477" s="62">
        <f t="shared" si="220"/>
        <v>0</v>
      </c>
      <c r="Y477" s="62">
        <f t="shared" si="220"/>
        <v>0</v>
      </c>
      <c r="Z477" s="62">
        <f t="shared" si="220"/>
        <v>0</v>
      </c>
      <c r="AA477" s="64">
        <f>SUM(G477:Z477)</f>
        <v>3464936.7094208845</v>
      </c>
      <c r="AB477" s="58" t="str">
        <f>IF(ABS(F477-AA477)&lt;0.01,"ok","err")</f>
        <v>ok</v>
      </c>
    </row>
    <row r="478" spans="1:28" hidden="1">
      <c r="A478" s="68" t="s">
        <v>1364</v>
      </c>
      <c r="C478" s="60" t="s">
        <v>1074</v>
      </c>
      <c r="D478" s="60" t="s">
        <v>542</v>
      </c>
      <c r="E478" s="60" t="s">
        <v>188</v>
      </c>
      <c r="F478" s="79">
        <f>VLOOKUP(C478,'Functional Assignment'!$C$2:$AP$780,'Functional Assignment'!$O$2,)</f>
        <v>0</v>
      </c>
      <c r="G478" s="79">
        <f t="shared" si="219"/>
        <v>0</v>
      </c>
      <c r="H478" s="79">
        <f t="shared" si="219"/>
        <v>0</v>
      </c>
      <c r="I478" s="79">
        <f t="shared" si="219"/>
        <v>0</v>
      </c>
      <c r="J478" s="79">
        <f t="shared" si="219"/>
        <v>0</v>
      </c>
      <c r="K478" s="79">
        <f t="shared" si="219"/>
        <v>0</v>
      </c>
      <c r="L478" s="79">
        <f t="shared" si="219"/>
        <v>0</v>
      </c>
      <c r="M478" s="79">
        <f t="shared" si="219"/>
        <v>0</v>
      </c>
      <c r="N478" s="79">
        <f t="shared" si="219"/>
        <v>0</v>
      </c>
      <c r="O478" s="79">
        <f t="shared" si="219"/>
        <v>0</v>
      </c>
      <c r="P478" s="79">
        <f t="shared" si="219"/>
        <v>0</v>
      </c>
      <c r="Q478" s="79">
        <f t="shared" si="220"/>
        <v>0</v>
      </c>
      <c r="R478" s="79">
        <f t="shared" si="220"/>
        <v>0</v>
      </c>
      <c r="S478" s="79">
        <f t="shared" si="220"/>
        <v>0</v>
      </c>
      <c r="T478" s="79">
        <f t="shared" si="220"/>
        <v>0</v>
      </c>
      <c r="U478" s="79">
        <f t="shared" si="220"/>
        <v>0</v>
      </c>
      <c r="V478" s="79">
        <f t="shared" si="220"/>
        <v>0</v>
      </c>
      <c r="W478" s="79">
        <f t="shared" si="220"/>
        <v>0</v>
      </c>
      <c r="X478" s="63">
        <f t="shared" si="220"/>
        <v>0</v>
      </c>
      <c r="Y478" s="63">
        <f t="shared" si="220"/>
        <v>0</v>
      </c>
      <c r="Z478" s="63">
        <f t="shared" si="220"/>
        <v>0</v>
      </c>
      <c r="AA478" s="63">
        <f>SUM(G478:Z478)</f>
        <v>0</v>
      </c>
      <c r="AB478" s="58" t="str">
        <f>IF(ABS(F478-AA478)&lt;0.01,"ok","err")</f>
        <v>ok</v>
      </c>
    </row>
    <row r="479" spans="1:28" hidden="1">
      <c r="A479" s="68" t="s">
        <v>1364</v>
      </c>
      <c r="C479" s="60" t="s">
        <v>1074</v>
      </c>
      <c r="D479" s="60" t="s">
        <v>543</v>
      </c>
      <c r="E479" s="60" t="s">
        <v>191</v>
      </c>
      <c r="F479" s="79">
        <f>VLOOKUP(C479,'Functional Assignment'!$C$2:$AP$780,'Functional Assignment'!$P$2,)</f>
        <v>0</v>
      </c>
      <c r="G479" s="79">
        <f t="shared" si="219"/>
        <v>0</v>
      </c>
      <c r="H479" s="79">
        <f t="shared" si="219"/>
        <v>0</v>
      </c>
      <c r="I479" s="79">
        <f t="shared" si="219"/>
        <v>0</v>
      </c>
      <c r="J479" s="79">
        <f t="shared" si="219"/>
        <v>0</v>
      </c>
      <c r="K479" s="79">
        <f t="shared" si="219"/>
        <v>0</v>
      </c>
      <c r="L479" s="79">
        <f t="shared" si="219"/>
        <v>0</v>
      </c>
      <c r="M479" s="79">
        <f t="shared" si="219"/>
        <v>0</v>
      </c>
      <c r="N479" s="79">
        <f t="shared" si="219"/>
        <v>0</v>
      </c>
      <c r="O479" s="79">
        <f t="shared" si="219"/>
        <v>0</v>
      </c>
      <c r="P479" s="79">
        <f t="shared" si="219"/>
        <v>0</v>
      </c>
      <c r="Q479" s="79">
        <f t="shared" si="220"/>
        <v>0</v>
      </c>
      <c r="R479" s="79">
        <f t="shared" si="220"/>
        <v>0</v>
      </c>
      <c r="S479" s="79">
        <f t="shared" si="220"/>
        <v>0</v>
      </c>
      <c r="T479" s="79">
        <f t="shared" si="220"/>
        <v>0</v>
      </c>
      <c r="U479" s="79">
        <f t="shared" si="220"/>
        <v>0</v>
      </c>
      <c r="V479" s="79">
        <f t="shared" si="220"/>
        <v>0</v>
      </c>
      <c r="W479" s="79">
        <f t="shared" si="220"/>
        <v>0</v>
      </c>
      <c r="X479" s="63">
        <f t="shared" si="220"/>
        <v>0</v>
      </c>
      <c r="Y479" s="63">
        <f t="shared" si="220"/>
        <v>0</v>
      </c>
      <c r="Z479" s="63">
        <f t="shared" si="220"/>
        <v>0</v>
      </c>
      <c r="AA479" s="63">
        <f>SUM(G479:Z479)</f>
        <v>0</v>
      </c>
      <c r="AB479" s="58" t="str">
        <f>IF(ABS(F479-AA479)&lt;0.01,"ok","err")</f>
        <v>ok</v>
      </c>
    </row>
    <row r="480" spans="1:28" hidden="1">
      <c r="A480" s="60" t="s">
        <v>1133</v>
      </c>
      <c r="D480" s="60" t="s">
        <v>544</v>
      </c>
      <c r="F480" s="76">
        <f>SUM(F477:F479)</f>
        <v>3464936.7094208836</v>
      </c>
      <c r="G480" s="76">
        <f t="shared" ref="G480:W480" si="221">SUM(G477:G479)</f>
        <v>1539775.9588957594</v>
      </c>
      <c r="H480" s="76">
        <f t="shared" si="221"/>
        <v>443220.22363264218</v>
      </c>
      <c r="I480" s="76">
        <f t="shared" si="221"/>
        <v>0</v>
      </c>
      <c r="J480" s="76">
        <f t="shared" si="221"/>
        <v>39380.504978614452</v>
      </c>
      <c r="K480" s="76">
        <f t="shared" si="221"/>
        <v>457074.0912242984</v>
      </c>
      <c r="L480" s="76">
        <f t="shared" si="221"/>
        <v>0</v>
      </c>
      <c r="M480" s="76">
        <f t="shared" si="221"/>
        <v>0</v>
      </c>
      <c r="N480" s="76">
        <f t="shared" si="221"/>
        <v>415797.94747155847</v>
      </c>
      <c r="O480" s="76">
        <f>SUM(O477:O479)</f>
        <v>246878.99904519375</v>
      </c>
      <c r="P480" s="76">
        <f t="shared" si="221"/>
        <v>255721.62865599897</v>
      </c>
      <c r="Q480" s="76">
        <f t="shared" si="221"/>
        <v>25777.866092265445</v>
      </c>
      <c r="R480" s="76">
        <f t="shared" si="221"/>
        <v>13492.505982881619</v>
      </c>
      <c r="S480" s="76">
        <f t="shared" si="221"/>
        <v>26579.643643465304</v>
      </c>
      <c r="T480" s="76">
        <f t="shared" si="221"/>
        <v>850.09372977657756</v>
      </c>
      <c r="U480" s="76">
        <f t="shared" si="221"/>
        <v>387.24606842956462</v>
      </c>
      <c r="V480" s="76">
        <f t="shared" si="221"/>
        <v>0</v>
      </c>
      <c r="W480" s="76">
        <f t="shared" si="221"/>
        <v>0</v>
      </c>
      <c r="X480" s="62">
        <f>SUM(X477:X479)</f>
        <v>0</v>
      </c>
      <c r="Y480" s="62">
        <f>SUM(Y477:Y479)</f>
        <v>0</v>
      </c>
      <c r="Z480" s="62">
        <f>SUM(Z477:Z479)</f>
        <v>0</v>
      </c>
      <c r="AA480" s="64">
        <f>SUM(G480:Z480)</f>
        <v>3464936.7094208845</v>
      </c>
      <c r="AB480" s="58" t="str">
        <f>IF(ABS(F480-AA480)&lt;0.01,"ok","err")</f>
        <v>ok</v>
      </c>
    </row>
    <row r="481" spans="1:28">
      <c r="F481" s="79"/>
      <c r="G481" s="79"/>
    </row>
    <row r="482" spans="1:28" ht="15">
      <c r="A482" s="65" t="s">
        <v>348</v>
      </c>
      <c r="F482" s="79"/>
      <c r="G482" s="79"/>
    </row>
    <row r="483" spans="1:28">
      <c r="A483" s="68" t="s">
        <v>372</v>
      </c>
      <c r="C483" s="60" t="s">
        <v>1074</v>
      </c>
      <c r="D483" s="60" t="s">
        <v>545</v>
      </c>
      <c r="E483" s="60" t="s">
        <v>1368</v>
      </c>
      <c r="F483" s="76">
        <f>VLOOKUP(C483,'Functional Assignment'!$C$2:$AP$780,'Functional Assignment'!$Q$2,)</f>
        <v>0</v>
      </c>
      <c r="G483" s="76">
        <f t="shared" ref="G483:Z483" si="222">IF(VLOOKUP($E483,$D$6:$AN$1131,3,)=0,0,(VLOOKUP($E483,$D$6:$AN$1131,G$2,)/VLOOKUP($E483,$D$6:$AN$1131,3,))*$F483)</f>
        <v>0</v>
      </c>
      <c r="H483" s="76">
        <f t="shared" si="222"/>
        <v>0</v>
      </c>
      <c r="I483" s="76">
        <f t="shared" si="222"/>
        <v>0</v>
      </c>
      <c r="J483" s="76">
        <f t="shared" si="222"/>
        <v>0</v>
      </c>
      <c r="K483" s="76">
        <f t="shared" si="222"/>
        <v>0</v>
      </c>
      <c r="L483" s="76">
        <f t="shared" si="222"/>
        <v>0</v>
      </c>
      <c r="M483" s="76">
        <f t="shared" si="222"/>
        <v>0</v>
      </c>
      <c r="N483" s="76">
        <f t="shared" si="222"/>
        <v>0</v>
      </c>
      <c r="O483" s="76">
        <f t="shared" si="222"/>
        <v>0</v>
      </c>
      <c r="P483" s="76">
        <f t="shared" si="222"/>
        <v>0</v>
      </c>
      <c r="Q483" s="76">
        <f t="shared" si="222"/>
        <v>0</v>
      </c>
      <c r="R483" s="76">
        <f t="shared" si="222"/>
        <v>0</v>
      </c>
      <c r="S483" s="76">
        <f t="shared" si="222"/>
        <v>0</v>
      </c>
      <c r="T483" s="76">
        <f t="shared" si="222"/>
        <v>0</v>
      </c>
      <c r="U483" s="76">
        <f t="shared" si="222"/>
        <v>0</v>
      </c>
      <c r="V483" s="76">
        <f t="shared" si="222"/>
        <v>0</v>
      </c>
      <c r="W483" s="76">
        <f t="shared" si="222"/>
        <v>0</v>
      </c>
      <c r="X483" s="62">
        <f t="shared" si="222"/>
        <v>0</v>
      </c>
      <c r="Y483" s="62">
        <f t="shared" si="222"/>
        <v>0</v>
      </c>
      <c r="Z483" s="62">
        <f t="shared" si="222"/>
        <v>0</v>
      </c>
      <c r="AA483" s="64">
        <f>SUM(G483:Z483)</f>
        <v>0</v>
      </c>
      <c r="AB483" s="58" t="str">
        <f>IF(ABS(F483-AA483)&lt;0.01,"ok","err")</f>
        <v>ok</v>
      </c>
    </row>
    <row r="484" spans="1:28">
      <c r="F484" s="79"/>
    </row>
    <row r="485" spans="1:28" ht="15">
      <c r="A485" s="65" t="s">
        <v>349</v>
      </c>
      <c r="F485" s="79"/>
      <c r="G485" s="79"/>
    </row>
    <row r="486" spans="1:28">
      <c r="A486" s="68" t="s">
        <v>374</v>
      </c>
      <c r="C486" s="60" t="s">
        <v>1074</v>
      </c>
      <c r="D486" s="60" t="s">
        <v>546</v>
      </c>
      <c r="E486" s="60" t="s">
        <v>1368</v>
      </c>
      <c r="F486" s="76">
        <f>VLOOKUP(C486,'Functional Assignment'!$C$2:$AP$780,'Functional Assignment'!$R$2,)</f>
        <v>1206640.0129257792</v>
      </c>
      <c r="G486" s="76">
        <f t="shared" ref="G486:Z486" si="223">IF(VLOOKUP($E486,$D$6:$AN$1131,3,)=0,0,(VLOOKUP($E486,$D$6:$AN$1131,G$2,)/VLOOKUP($E486,$D$6:$AN$1131,3,))*$F486)</f>
        <v>578943.83398633345</v>
      </c>
      <c r="H486" s="76">
        <f t="shared" si="223"/>
        <v>166647.37105921618</v>
      </c>
      <c r="I486" s="76">
        <f t="shared" si="223"/>
        <v>0</v>
      </c>
      <c r="J486" s="76">
        <f t="shared" si="223"/>
        <v>14806.76484453438</v>
      </c>
      <c r="K486" s="76">
        <f t="shared" si="223"/>
        <v>171856.31796653406</v>
      </c>
      <c r="L486" s="76">
        <f t="shared" si="223"/>
        <v>0</v>
      </c>
      <c r="M486" s="76">
        <f t="shared" si="223"/>
        <v>0</v>
      </c>
      <c r="N486" s="76">
        <f t="shared" si="223"/>
        <v>156336.80762587409</v>
      </c>
      <c r="O486" s="76">
        <f t="shared" si="223"/>
        <v>92824.591403825718</v>
      </c>
      <c r="P486" s="76">
        <f t="shared" si="223"/>
        <v>0</v>
      </c>
      <c r="Q486" s="76">
        <f t="shared" si="223"/>
        <v>9692.2779844835768</v>
      </c>
      <c r="R486" s="76">
        <f t="shared" si="223"/>
        <v>5073.077741397472</v>
      </c>
      <c r="S486" s="76">
        <f t="shared" si="223"/>
        <v>9993.7401334501774</v>
      </c>
      <c r="T486" s="76">
        <f t="shared" si="223"/>
        <v>319.62865787146131</v>
      </c>
      <c r="U486" s="76">
        <f t="shared" si="223"/>
        <v>145.60152225881308</v>
      </c>
      <c r="V486" s="76">
        <f t="shared" si="223"/>
        <v>0</v>
      </c>
      <c r="W486" s="76">
        <f t="shared" si="223"/>
        <v>0</v>
      </c>
      <c r="X486" s="62">
        <f t="shared" si="223"/>
        <v>0</v>
      </c>
      <c r="Y486" s="62">
        <f t="shared" si="223"/>
        <v>0</v>
      </c>
      <c r="Z486" s="62">
        <f t="shared" si="223"/>
        <v>0</v>
      </c>
      <c r="AA486" s="64">
        <f>SUM(G486:Z486)</f>
        <v>1206640.0129257792</v>
      </c>
      <c r="AB486" s="58" t="str">
        <f>IF(ABS(F486-AA486)&lt;0.01,"ok","err")</f>
        <v>ok</v>
      </c>
    </row>
    <row r="487" spans="1:28">
      <c r="F487" s="79"/>
    </row>
    <row r="488" spans="1:28" ht="15">
      <c r="A488" s="65" t="s">
        <v>373</v>
      </c>
      <c r="F488" s="79"/>
    </row>
    <row r="489" spans="1:28">
      <c r="A489" s="68" t="s">
        <v>623</v>
      </c>
      <c r="C489" s="60" t="s">
        <v>1074</v>
      </c>
      <c r="D489" s="60" t="s">
        <v>547</v>
      </c>
      <c r="E489" s="60" t="s">
        <v>1368</v>
      </c>
      <c r="F489" s="76">
        <f>VLOOKUP(C489,'Functional Assignment'!$C$2:$AP$780,'Functional Assignment'!$S$2,)</f>
        <v>0</v>
      </c>
      <c r="G489" s="76">
        <f t="shared" ref="G489:P493" si="224">IF(VLOOKUP($E489,$D$6:$AN$1131,3,)=0,0,(VLOOKUP($E489,$D$6:$AN$1131,G$2,)/VLOOKUP($E489,$D$6:$AN$1131,3,))*$F489)</f>
        <v>0</v>
      </c>
      <c r="H489" s="76">
        <f t="shared" si="224"/>
        <v>0</v>
      </c>
      <c r="I489" s="76">
        <f t="shared" si="224"/>
        <v>0</v>
      </c>
      <c r="J489" s="76">
        <f t="shared" si="224"/>
        <v>0</v>
      </c>
      <c r="K489" s="76">
        <f t="shared" si="224"/>
        <v>0</v>
      </c>
      <c r="L489" s="76">
        <f t="shared" si="224"/>
        <v>0</v>
      </c>
      <c r="M489" s="76">
        <f t="shared" si="224"/>
        <v>0</v>
      </c>
      <c r="N489" s="76">
        <f t="shared" si="224"/>
        <v>0</v>
      </c>
      <c r="O489" s="76">
        <f t="shared" si="224"/>
        <v>0</v>
      </c>
      <c r="P489" s="76">
        <f t="shared" si="224"/>
        <v>0</v>
      </c>
      <c r="Q489" s="76">
        <f t="shared" ref="Q489:Z493" si="225">IF(VLOOKUP($E489,$D$6:$AN$1131,3,)=0,0,(VLOOKUP($E489,$D$6:$AN$1131,Q$2,)/VLOOKUP($E489,$D$6:$AN$1131,3,))*$F489)</f>
        <v>0</v>
      </c>
      <c r="R489" s="76">
        <f t="shared" si="225"/>
        <v>0</v>
      </c>
      <c r="S489" s="76">
        <f t="shared" si="225"/>
        <v>0</v>
      </c>
      <c r="T489" s="76">
        <f t="shared" si="225"/>
        <v>0</v>
      </c>
      <c r="U489" s="76">
        <f t="shared" si="225"/>
        <v>0</v>
      </c>
      <c r="V489" s="76">
        <f t="shared" si="225"/>
        <v>0</v>
      </c>
      <c r="W489" s="76">
        <f t="shared" si="225"/>
        <v>0</v>
      </c>
      <c r="X489" s="62">
        <f t="shared" si="225"/>
        <v>0</v>
      </c>
      <c r="Y489" s="62">
        <f t="shared" si="225"/>
        <v>0</v>
      </c>
      <c r="Z489" s="62">
        <f t="shared" si="225"/>
        <v>0</v>
      </c>
      <c r="AA489" s="64">
        <f t="shared" ref="AA489:AA494" si="226">SUM(G489:Z489)</f>
        <v>0</v>
      </c>
      <c r="AB489" s="58" t="str">
        <f t="shared" ref="AB489:AB494" si="227">IF(ABS(F489-AA489)&lt;0.01,"ok","err")</f>
        <v>ok</v>
      </c>
    </row>
    <row r="490" spans="1:28">
      <c r="A490" s="68" t="s">
        <v>624</v>
      </c>
      <c r="C490" s="60" t="s">
        <v>1074</v>
      </c>
      <c r="D490" s="60" t="s">
        <v>548</v>
      </c>
      <c r="E490" s="60" t="s">
        <v>1368</v>
      </c>
      <c r="F490" s="79">
        <f>VLOOKUP(C490,'Functional Assignment'!$C$2:$AP$780,'Functional Assignment'!$T$2,)</f>
        <v>2063478.5371666257</v>
      </c>
      <c r="G490" s="79">
        <f t="shared" si="224"/>
        <v>990053.50631385006</v>
      </c>
      <c r="H490" s="79">
        <f t="shared" si="224"/>
        <v>284984.14586976491</v>
      </c>
      <c r="I490" s="79">
        <f t="shared" si="224"/>
        <v>0</v>
      </c>
      <c r="J490" s="79">
        <f t="shared" si="224"/>
        <v>25321.090908866929</v>
      </c>
      <c r="K490" s="79">
        <f t="shared" si="224"/>
        <v>293891.98087386735</v>
      </c>
      <c r="L490" s="79">
        <f t="shared" si="224"/>
        <v>0</v>
      </c>
      <c r="M490" s="79">
        <f t="shared" si="224"/>
        <v>0</v>
      </c>
      <c r="N490" s="79">
        <f t="shared" si="224"/>
        <v>267352.02185358154</v>
      </c>
      <c r="O490" s="79">
        <f t="shared" si="224"/>
        <v>158739.59924353828</v>
      </c>
      <c r="P490" s="79">
        <f t="shared" si="224"/>
        <v>0</v>
      </c>
      <c r="Q490" s="79">
        <f t="shared" si="225"/>
        <v>16574.792301757243</v>
      </c>
      <c r="R490" s="79">
        <f t="shared" si="225"/>
        <v>8675.4847548680846</v>
      </c>
      <c r="S490" s="79">
        <f t="shared" si="225"/>
        <v>17090.323584904712</v>
      </c>
      <c r="T490" s="79">
        <f t="shared" si="225"/>
        <v>546.59788198297031</v>
      </c>
      <c r="U490" s="79">
        <f t="shared" si="225"/>
        <v>248.99357964381545</v>
      </c>
      <c r="V490" s="79">
        <f t="shared" si="225"/>
        <v>0</v>
      </c>
      <c r="W490" s="79">
        <f t="shared" si="225"/>
        <v>0</v>
      </c>
      <c r="X490" s="63">
        <f t="shared" si="225"/>
        <v>0</v>
      </c>
      <c r="Y490" s="63">
        <f t="shared" si="225"/>
        <v>0</v>
      </c>
      <c r="Z490" s="63">
        <f t="shared" si="225"/>
        <v>0</v>
      </c>
      <c r="AA490" s="63">
        <f t="shared" si="226"/>
        <v>2063478.5371666257</v>
      </c>
      <c r="AB490" s="58" t="str">
        <f t="shared" si="227"/>
        <v>ok</v>
      </c>
    </row>
    <row r="491" spans="1:28">
      <c r="A491" s="68" t="s">
        <v>625</v>
      </c>
      <c r="C491" s="60" t="s">
        <v>1074</v>
      </c>
      <c r="D491" s="60" t="s">
        <v>549</v>
      </c>
      <c r="E491" s="60" t="s">
        <v>698</v>
      </c>
      <c r="F491" s="79">
        <f>VLOOKUP(C491,'Functional Assignment'!$C$2:$AP$780,'Functional Assignment'!$U$2,)</f>
        <v>3283761.2807699526</v>
      </c>
      <c r="G491" s="79">
        <f t="shared" si="224"/>
        <v>2830974.0632652221</v>
      </c>
      <c r="H491" s="79">
        <f t="shared" si="224"/>
        <v>351720.8173370958</v>
      </c>
      <c r="I491" s="79">
        <f t="shared" si="224"/>
        <v>0</v>
      </c>
      <c r="J491" s="79">
        <f t="shared" si="224"/>
        <v>559.80500139865376</v>
      </c>
      <c r="K491" s="79">
        <f t="shared" si="224"/>
        <v>21958.092010880064</v>
      </c>
      <c r="L491" s="79">
        <f t="shared" si="224"/>
        <v>0</v>
      </c>
      <c r="M491" s="79">
        <f t="shared" si="224"/>
        <v>0</v>
      </c>
      <c r="N491" s="79">
        <f t="shared" si="224"/>
        <v>820.26982843830513</v>
      </c>
      <c r="O491" s="79">
        <f t="shared" si="224"/>
        <v>2145.9191720281729</v>
      </c>
      <c r="P491" s="79">
        <f t="shared" si="224"/>
        <v>0</v>
      </c>
      <c r="Q491" s="79">
        <f t="shared" si="225"/>
        <v>7.7750694638701905</v>
      </c>
      <c r="R491" s="79">
        <f t="shared" si="225"/>
        <v>7.7750694638701905</v>
      </c>
      <c r="S491" s="79">
        <f t="shared" si="225"/>
        <v>74642.394646368019</v>
      </c>
      <c r="T491" s="79">
        <f t="shared" si="225"/>
        <v>142.54294017095347</v>
      </c>
      <c r="U491" s="79">
        <f t="shared" si="225"/>
        <v>781.82642942250254</v>
      </c>
      <c r="V491" s="79">
        <f t="shared" si="225"/>
        <v>0</v>
      </c>
      <c r="W491" s="79">
        <f t="shared" si="225"/>
        <v>0</v>
      </c>
      <c r="X491" s="63">
        <f t="shared" si="225"/>
        <v>0</v>
      </c>
      <c r="Y491" s="63">
        <f t="shared" si="225"/>
        <v>0</v>
      </c>
      <c r="Z491" s="63">
        <f t="shared" si="225"/>
        <v>0</v>
      </c>
      <c r="AA491" s="63">
        <f t="shared" si="226"/>
        <v>3283761.2807699521</v>
      </c>
      <c r="AB491" s="58" t="str">
        <f t="shared" si="227"/>
        <v>ok</v>
      </c>
    </row>
    <row r="492" spans="1:28">
      <c r="A492" s="68" t="s">
        <v>626</v>
      </c>
      <c r="C492" s="60" t="s">
        <v>1074</v>
      </c>
      <c r="D492" s="60" t="s">
        <v>550</v>
      </c>
      <c r="E492" s="60" t="s">
        <v>678</v>
      </c>
      <c r="F492" s="79">
        <f>VLOOKUP(C492,'Functional Assignment'!$C$2:$AP$780,'Functional Assignment'!$V$2,)</f>
        <v>567258.00445145834</v>
      </c>
      <c r="G492" s="79">
        <f t="shared" si="224"/>
        <v>476047.4660236318</v>
      </c>
      <c r="H492" s="79">
        <f t="shared" si="224"/>
        <v>87114.539153384336</v>
      </c>
      <c r="I492" s="79">
        <f t="shared" si="224"/>
        <v>0</v>
      </c>
      <c r="J492" s="79">
        <f t="shared" si="224"/>
        <v>0</v>
      </c>
      <c r="K492" s="79">
        <f t="shared" si="224"/>
        <v>0</v>
      </c>
      <c r="L492" s="79">
        <f t="shared" si="224"/>
        <v>0</v>
      </c>
      <c r="M492" s="79">
        <f t="shared" si="224"/>
        <v>0</v>
      </c>
      <c r="N492" s="79">
        <f t="shared" si="224"/>
        <v>0</v>
      </c>
      <c r="O492" s="79">
        <f t="shared" si="224"/>
        <v>0</v>
      </c>
      <c r="P492" s="79">
        <f t="shared" si="224"/>
        <v>0</v>
      </c>
      <c r="Q492" s="79">
        <f t="shared" si="225"/>
        <v>0</v>
      </c>
      <c r="R492" s="79">
        <f t="shared" si="225"/>
        <v>0</v>
      </c>
      <c r="S492" s="79">
        <f t="shared" si="225"/>
        <v>3913.8032816122345</v>
      </c>
      <c r="T492" s="79">
        <f t="shared" si="225"/>
        <v>125.17472671592917</v>
      </c>
      <c r="U492" s="79">
        <f t="shared" si="225"/>
        <v>57.02126611406554</v>
      </c>
      <c r="V492" s="79">
        <f t="shared" si="225"/>
        <v>0</v>
      </c>
      <c r="W492" s="79">
        <f t="shared" si="225"/>
        <v>0</v>
      </c>
      <c r="X492" s="63">
        <f t="shared" si="225"/>
        <v>0</v>
      </c>
      <c r="Y492" s="63">
        <f t="shared" si="225"/>
        <v>0</v>
      </c>
      <c r="Z492" s="63">
        <f t="shared" si="225"/>
        <v>0</v>
      </c>
      <c r="AA492" s="63">
        <f t="shared" si="226"/>
        <v>567258.00445145834</v>
      </c>
      <c r="AB492" s="58" t="str">
        <f t="shared" si="227"/>
        <v>ok</v>
      </c>
    </row>
    <row r="493" spans="1:28">
      <c r="A493" s="68" t="s">
        <v>627</v>
      </c>
      <c r="C493" s="60" t="s">
        <v>1074</v>
      </c>
      <c r="D493" s="60" t="s">
        <v>551</v>
      </c>
      <c r="E493" s="60" t="s">
        <v>697</v>
      </c>
      <c r="F493" s="79">
        <f>VLOOKUP(C493,'Functional Assignment'!$C$2:$AP$780,'Functional Assignment'!$W$2,)</f>
        <v>862037.06715107756</v>
      </c>
      <c r="G493" s="79">
        <f t="shared" si="224"/>
        <v>748989.75124013587</v>
      </c>
      <c r="H493" s="79">
        <f t="shared" si="224"/>
        <v>93054.645360983835</v>
      </c>
      <c r="I493" s="79">
        <f t="shared" si="224"/>
        <v>0</v>
      </c>
      <c r="J493" s="79">
        <f t="shared" si="224"/>
        <v>0</v>
      </c>
      <c r="K493" s="79">
        <f t="shared" si="224"/>
        <v>0</v>
      </c>
      <c r="L493" s="79">
        <f t="shared" si="224"/>
        <v>0</v>
      </c>
      <c r="M493" s="79">
        <f t="shared" si="224"/>
        <v>0</v>
      </c>
      <c r="N493" s="79">
        <f t="shared" si="224"/>
        <v>0</v>
      </c>
      <c r="O493" s="79">
        <f t="shared" si="224"/>
        <v>0</v>
      </c>
      <c r="P493" s="79">
        <f t="shared" si="224"/>
        <v>0</v>
      </c>
      <c r="Q493" s="79">
        <f t="shared" si="225"/>
        <v>0</v>
      </c>
      <c r="R493" s="79">
        <f t="shared" si="225"/>
        <v>0</v>
      </c>
      <c r="S493" s="79">
        <f t="shared" si="225"/>
        <v>19748.110490870858</v>
      </c>
      <c r="T493" s="79">
        <f t="shared" si="225"/>
        <v>37.712532476027079</v>
      </c>
      <c r="U493" s="79">
        <f t="shared" si="225"/>
        <v>206.84752661093643</v>
      </c>
      <c r="V493" s="79">
        <f t="shared" si="225"/>
        <v>0</v>
      </c>
      <c r="W493" s="79">
        <f t="shared" si="225"/>
        <v>0</v>
      </c>
      <c r="X493" s="63">
        <f t="shared" si="225"/>
        <v>0</v>
      </c>
      <c r="Y493" s="63">
        <f t="shared" si="225"/>
        <v>0</v>
      </c>
      <c r="Z493" s="63">
        <f t="shared" si="225"/>
        <v>0</v>
      </c>
      <c r="AA493" s="63">
        <f t="shared" si="226"/>
        <v>862037.06715107756</v>
      </c>
      <c r="AB493" s="58" t="str">
        <f t="shared" si="227"/>
        <v>ok</v>
      </c>
    </row>
    <row r="494" spans="1:28">
      <c r="A494" s="60" t="s">
        <v>378</v>
      </c>
      <c r="D494" s="60" t="s">
        <v>552</v>
      </c>
      <c r="F494" s="76">
        <f>SUM(F489:F493)</f>
        <v>6776534.8895391151</v>
      </c>
      <c r="G494" s="76">
        <f t="shared" ref="G494:W494" si="228">SUM(G489:G493)</f>
        <v>5046064.7868428398</v>
      </c>
      <c r="H494" s="76">
        <f t="shared" si="228"/>
        <v>816874.14772122877</v>
      </c>
      <c r="I494" s="76">
        <f t="shared" si="228"/>
        <v>0</v>
      </c>
      <c r="J494" s="76">
        <f t="shared" si="228"/>
        <v>25880.895910265583</v>
      </c>
      <c r="K494" s="76">
        <f t="shared" si="228"/>
        <v>315850.07288474741</v>
      </c>
      <c r="L494" s="76">
        <f t="shared" si="228"/>
        <v>0</v>
      </c>
      <c r="M494" s="76">
        <f t="shared" si="228"/>
        <v>0</v>
      </c>
      <c r="N494" s="76">
        <f t="shared" si="228"/>
        <v>268172.29168201983</v>
      </c>
      <c r="O494" s="76">
        <f>SUM(O489:O493)</f>
        <v>160885.51841556645</v>
      </c>
      <c r="P494" s="76">
        <f t="shared" si="228"/>
        <v>0</v>
      </c>
      <c r="Q494" s="76">
        <f t="shared" si="228"/>
        <v>16582.567371221114</v>
      </c>
      <c r="R494" s="76">
        <f t="shared" si="228"/>
        <v>8683.2598243319553</v>
      </c>
      <c r="S494" s="76">
        <f t="shared" si="228"/>
        <v>115394.63200375583</v>
      </c>
      <c r="T494" s="76">
        <f t="shared" si="228"/>
        <v>852.02808134587997</v>
      </c>
      <c r="U494" s="76">
        <f t="shared" si="228"/>
        <v>1294.6888017913202</v>
      </c>
      <c r="V494" s="76">
        <f t="shared" si="228"/>
        <v>0</v>
      </c>
      <c r="W494" s="76">
        <f t="shared" si="228"/>
        <v>0</v>
      </c>
      <c r="X494" s="62">
        <f>SUM(X489:X493)</f>
        <v>0</v>
      </c>
      <c r="Y494" s="62">
        <f>SUM(Y489:Y493)</f>
        <v>0</v>
      </c>
      <c r="Z494" s="62">
        <f>SUM(Z489:Z493)</f>
        <v>0</v>
      </c>
      <c r="AA494" s="64">
        <f t="shared" si="226"/>
        <v>6776534.8895391161</v>
      </c>
      <c r="AB494" s="58" t="str">
        <f t="shared" si="227"/>
        <v>ok</v>
      </c>
    </row>
    <row r="495" spans="1:28">
      <c r="F495" s="79"/>
    </row>
    <row r="496" spans="1:28" ht="15">
      <c r="A496" s="65" t="s">
        <v>634</v>
      </c>
      <c r="F496" s="79"/>
    </row>
    <row r="497" spans="1:28">
      <c r="A497" s="68" t="s">
        <v>1090</v>
      </c>
      <c r="C497" s="60" t="s">
        <v>1074</v>
      </c>
      <c r="D497" s="60" t="s">
        <v>553</v>
      </c>
      <c r="E497" s="60" t="s">
        <v>1336</v>
      </c>
      <c r="F497" s="76">
        <f>VLOOKUP(C497,'Functional Assignment'!$C$2:$AP$780,'Functional Assignment'!$X$2,)</f>
        <v>784121.70729214803</v>
      </c>
      <c r="G497" s="76">
        <f t="shared" ref="G497:P498" si="229">IF(VLOOKUP($E497,$D$6:$AN$1131,3,)=0,0,(VLOOKUP($E497,$D$6:$AN$1131,G$2,)/VLOOKUP($E497,$D$6:$AN$1131,3,))*$F497)</f>
        <v>544024.21404075983</v>
      </c>
      <c r="H497" s="76">
        <f t="shared" si="229"/>
        <v>99553.977443270895</v>
      </c>
      <c r="I497" s="76">
        <f t="shared" si="229"/>
        <v>0</v>
      </c>
      <c r="J497" s="76">
        <f t="shared" si="229"/>
        <v>0</v>
      </c>
      <c r="K497" s="76">
        <f t="shared" si="229"/>
        <v>87677.89300651419</v>
      </c>
      <c r="L497" s="76">
        <f t="shared" si="229"/>
        <v>0</v>
      </c>
      <c r="M497" s="76">
        <f t="shared" si="229"/>
        <v>0</v>
      </c>
      <c r="N497" s="76">
        <f t="shared" si="229"/>
        <v>0</v>
      </c>
      <c r="O497" s="76">
        <f t="shared" si="229"/>
        <v>48184.739181734752</v>
      </c>
      <c r="P497" s="76">
        <f t="shared" si="229"/>
        <v>0</v>
      </c>
      <c r="Q497" s="76">
        <f t="shared" ref="Q497:Z498" si="230">IF(VLOOKUP($E497,$D$6:$AN$1131,3,)=0,0,(VLOOKUP($E497,$D$6:$AN$1131,Q$2,)/VLOOKUP($E497,$D$6:$AN$1131,3,))*$F497)</f>
        <v>0</v>
      </c>
      <c r="R497" s="76">
        <f t="shared" si="230"/>
        <v>0</v>
      </c>
      <c r="S497" s="76">
        <f t="shared" si="230"/>
        <v>4472.671122428671</v>
      </c>
      <c r="T497" s="76">
        <f t="shared" si="230"/>
        <v>143.04893351962457</v>
      </c>
      <c r="U497" s="76">
        <f t="shared" si="230"/>
        <v>65.163563920270036</v>
      </c>
      <c r="V497" s="76">
        <f t="shared" si="230"/>
        <v>0</v>
      </c>
      <c r="W497" s="76">
        <f t="shared" si="230"/>
        <v>0</v>
      </c>
      <c r="X497" s="62">
        <f t="shared" si="230"/>
        <v>0</v>
      </c>
      <c r="Y497" s="62">
        <f t="shared" si="230"/>
        <v>0</v>
      </c>
      <c r="Z497" s="62">
        <f t="shared" si="230"/>
        <v>0</v>
      </c>
      <c r="AA497" s="64">
        <f>SUM(G497:Z497)</f>
        <v>784121.70729214826</v>
      </c>
      <c r="AB497" s="58" t="str">
        <f>IF(ABS(F497-AA497)&lt;0.01,"ok","err")</f>
        <v>ok</v>
      </c>
    </row>
    <row r="498" spans="1:28">
      <c r="A498" s="68" t="s">
        <v>1093</v>
      </c>
      <c r="C498" s="60" t="s">
        <v>1074</v>
      </c>
      <c r="D498" s="60" t="s">
        <v>554</v>
      </c>
      <c r="E498" s="60" t="s">
        <v>1334</v>
      </c>
      <c r="F498" s="79">
        <f>VLOOKUP(C498,'Functional Assignment'!$C$2:$AP$780,'Functional Assignment'!$Y$2,)</f>
        <v>548377.36188634671</v>
      </c>
      <c r="G498" s="79">
        <f t="shared" si="229"/>
        <v>472964.3955536455</v>
      </c>
      <c r="H498" s="79">
        <f t="shared" si="229"/>
        <v>58761.196696943713</v>
      </c>
      <c r="I498" s="79">
        <f t="shared" si="229"/>
        <v>0</v>
      </c>
      <c r="J498" s="79">
        <f t="shared" si="229"/>
        <v>0</v>
      </c>
      <c r="K498" s="79">
        <f t="shared" si="229"/>
        <v>3668.4884719356246</v>
      </c>
      <c r="L498" s="79">
        <f t="shared" si="229"/>
        <v>0</v>
      </c>
      <c r="M498" s="79">
        <f t="shared" si="229"/>
        <v>0</v>
      </c>
      <c r="N498" s="79">
        <f t="shared" si="229"/>
        <v>0</v>
      </c>
      <c r="O498" s="79">
        <f t="shared" si="229"/>
        <v>358.5138335512184</v>
      </c>
      <c r="P498" s="79">
        <f t="shared" si="229"/>
        <v>0</v>
      </c>
      <c r="Q498" s="79">
        <f t="shared" si="230"/>
        <v>0</v>
      </c>
      <c r="R498" s="79">
        <f t="shared" si="230"/>
        <v>0</v>
      </c>
      <c r="S498" s="79">
        <f t="shared" si="230"/>
        <v>12470.335042871326</v>
      </c>
      <c r="T498" s="79">
        <f t="shared" si="230"/>
        <v>23.814324692411844</v>
      </c>
      <c r="U498" s="79">
        <f t="shared" si="230"/>
        <v>130.617962706865</v>
      </c>
      <c r="V498" s="79">
        <f t="shared" si="230"/>
        <v>0</v>
      </c>
      <c r="W498" s="79">
        <f t="shared" si="230"/>
        <v>0</v>
      </c>
      <c r="X498" s="63">
        <f t="shared" si="230"/>
        <v>0</v>
      </c>
      <c r="Y498" s="63">
        <f t="shared" si="230"/>
        <v>0</v>
      </c>
      <c r="Z498" s="63">
        <f t="shared" si="230"/>
        <v>0</v>
      </c>
      <c r="AA498" s="63">
        <f>SUM(G498:Z498)</f>
        <v>548377.36188634648</v>
      </c>
      <c r="AB498" s="58" t="str">
        <f>IF(ABS(F498-AA498)&lt;0.01,"ok","err")</f>
        <v>ok</v>
      </c>
    </row>
    <row r="499" spans="1:28">
      <c r="A499" s="60" t="s">
        <v>712</v>
      </c>
      <c r="D499" s="60" t="s">
        <v>555</v>
      </c>
      <c r="F499" s="76">
        <f>F497+F498</f>
        <v>1332499.0691784946</v>
      </c>
      <c r="G499" s="76">
        <f t="shared" ref="G499:W499" si="231">G497+G498</f>
        <v>1016988.6095944054</v>
      </c>
      <c r="H499" s="76">
        <f t="shared" si="231"/>
        <v>158315.1741402146</v>
      </c>
      <c r="I499" s="76">
        <f t="shared" si="231"/>
        <v>0</v>
      </c>
      <c r="J499" s="76">
        <f t="shared" si="231"/>
        <v>0</v>
      </c>
      <c r="K499" s="76">
        <f t="shared" si="231"/>
        <v>91346.38147844981</v>
      </c>
      <c r="L499" s="76">
        <f t="shared" si="231"/>
        <v>0</v>
      </c>
      <c r="M499" s="76">
        <f t="shared" si="231"/>
        <v>0</v>
      </c>
      <c r="N499" s="76">
        <f t="shared" si="231"/>
        <v>0</v>
      </c>
      <c r="O499" s="76">
        <f>O497+O498</f>
        <v>48543.253015285969</v>
      </c>
      <c r="P499" s="76">
        <f t="shared" si="231"/>
        <v>0</v>
      </c>
      <c r="Q499" s="76">
        <f t="shared" si="231"/>
        <v>0</v>
      </c>
      <c r="R499" s="76">
        <f t="shared" si="231"/>
        <v>0</v>
      </c>
      <c r="S499" s="76">
        <f t="shared" si="231"/>
        <v>16943.006165299998</v>
      </c>
      <c r="T499" s="76">
        <f t="shared" si="231"/>
        <v>166.86325821203641</v>
      </c>
      <c r="U499" s="76">
        <f t="shared" si="231"/>
        <v>195.78152662713504</v>
      </c>
      <c r="V499" s="76">
        <f t="shared" si="231"/>
        <v>0</v>
      </c>
      <c r="W499" s="76">
        <f t="shared" si="231"/>
        <v>0</v>
      </c>
      <c r="X499" s="62">
        <f>X497+X498</f>
        <v>0</v>
      </c>
      <c r="Y499" s="62">
        <f>Y497+Y498</f>
        <v>0</v>
      </c>
      <c r="Z499" s="62">
        <f>Z497+Z498</f>
        <v>0</v>
      </c>
      <c r="AA499" s="64">
        <f>SUM(G499:Z499)</f>
        <v>1332499.0691784951</v>
      </c>
      <c r="AB499" s="58" t="str">
        <f>IF(ABS(F499-AA499)&lt;0.01,"ok","err")</f>
        <v>ok</v>
      </c>
    </row>
    <row r="500" spans="1:28">
      <c r="F500" s="79"/>
    </row>
    <row r="501" spans="1:28" ht="15">
      <c r="A501" s="65" t="s">
        <v>354</v>
      </c>
      <c r="F501" s="79"/>
    </row>
    <row r="502" spans="1:28">
      <c r="A502" s="68" t="s">
        <v>1093</v>
      </c>
      <c r="C502" s="60" t="s">
        <v>1074</v>
      </c>
      <c r="D502" s="60" t="s">
        <v>556</v>
      </c>
      <c r="E502" s="60" t="s">
        <v>1095</v>
      </c>
      <c r="F502" s="76">
        <f>VLOOKUP(C502,'Functional Assignment'!$C$2:$AP$780,'Functional Assignment'!$Z$2,)</f>
        <v>272334.4512778669</v>
      </c>
      <c r="G502" s="76">
        <f t="shared" ref="G502:Z502" si="232">IF(VLOOKUP($E502,$D$6:$AN$1131,3,)=0,0,(VLOOKUP($E502,$D$6:$AN$1131,G$2,)/VLOOKUP($E502,$D$6:$AN$1131,3,))*$F502)</f>
        <v>209320.72571293413</v>
      </c>
      <c r="H502" s="76">
        <f t="shared" si="232"/>
        <v>52679.383284422962</v>
      </c>
      <c r="I502" s="76">
        <f t="shared" si="232"/>
        <v>0</v>
      </c>
      <c r="J502" s="76">
        <f t="shared" si="232"/>
        <v>0</v>
      </c>
      <c r="K502" s="76">
        <f t="shared" si="232"/>
        <v>9190.25594842188</v>
      </c>
      <c r="L502" s="76">
        <f t="shared" si="232"/>
        <v>0</v>
      </c>
      <c r="M502" s="76">
        <f t="shared" si="232"/>
        <v>0</v>
      </c>
      <c r="N502" s="76">
        <f t="shared" si="232"/>
        <v>0</v>
      </c>
      <c r="O502" s="76">
        <f t="shared" si="232"/>
        <v>1144.0863320878996</v>
      </c>
      <c r="P502" s="76">
        <f t="shared" si="232"/>
        <v>0</v>
      </c>
      <c r="Q502" s="76">
        <f t="shared" si="232"/>
        <v>0</v>
      </c>
      <c r="R502" s="76">
        <f t="shared" si="232"/>
        <v>0</v>
      </c>
      <c r="S502" s="76">
        <f t="shared" si="232"/>
        <v>0</v>
      </c>
      <c r="T502" s="76">
        <f t="shared" si="232"/>
        <v>0</v>
      </c>
      <c r="U502" s="76">
        <f t="shared" si="232"/>
        <v>0</v>
      </c>
      <c r="V502" s="76">
        <f t="shared" si="232"/>
        <v>0</v>
      </c>
      <c r="W502" s="76">
        <f t="shared" si="232"/>
        <v>0</v>
      </c>
      <c r="X502" s="62">
        <f t="shared" si="232"/>
        <v>0</v>
      </c>
      <c r="Y502" s="62">
        <f t="shared" si="232"/>
        <v>0</v>
      </c>
      <c r="Z502" s="62">
        <f t="shared" si="232"/>
        <v>0</v>
      </c>
      <c r="AA502" s="64">
        <f>SUM(G502:Z502)</f>
        <v>272334.45127786684</v>
      </c>
      <c r="AB502" s="58" t="str">
        <f>IF(ABS(F502-AA502)&lt;0.01,"ok","err")</f>
        <v>ok</v>
      </c>
    </row>
    <row r="503" spans="1:28">
      <c r="F503" s="79"/>
    </row>
    <row r="504" spans="1:28" ht="15">
      <c r="A504" s="65" t="s">
        <v>353</v>
      </c>
      <c r="F504" s="79"/>
    </row>
    <row r="505" spans="1:28">
      <c r="A505" s="68" t="s">
        <v>1093</v>
      </c>
      <c r="C505" s="60" t="s">
        <v>1074</v>
      </c>
      <c r="D505" s="60" t="s">
        <v>557</v>
      </c>
      <c r="E505" s="60" t="s">
        <v>1096</v>
      </c>
      <c r="F505" s="76">
        <f>VLOOKUP(C505,'Functional Assignment'!$C$2:$AP$780,'Functional Assignment'!$AA$2,)</f>
        <v>315900.35665521439</v>
      </c>
      <c r="G505" s="76">
        <f t="shared" ref="G505:Z505" si="233">IF(VLOOKUP($E505,$D$6:$AN$1131,3,)=0,0,(VLOOKUP($E505,$D$6:$AN$1131,G$2,)/VLOOKUP($E505,$D$6:$AN$1131,3,))*$F505)</f>
        <v>221104.96569796884</v>
      </c>
      <c r="H505" s="76">
        <f t="shared" si="233"/>
        <v>65006.129059049759</v>
      </c>
      <c r="I505" s="76">
        <f t="shared" si="233"/>
        <v>0</v>
      </c>
      <c r="J505" s="76">
        <f t="shared" si="233"/>
        <v>2530.5827203185604</v>
      </c>
      <c r="K505" s="76">
        <f t="shared" si="233"/>
        <v>17487.268451289197</v>
      </c>
      <c r="L505" s="76">
        <f t="shared" si="233"/>
        <v>0</v>
      </c>
      <c r="M505" s="76">
        <f t="shared" si="233"/>
        <v>0</v>
      </c>
      <c r="N505" s="76">
        <f t="shared" si="233"/>
        <v>3962.6522942662104</v>
      </c>
      <c r="O505" s="76">
        <f t="shared" si="233"/>
        <v>1842.2709994444583</v>
      </c>
      <c r="P505" s="76">
        <f t="shared" si="233"/>
        <v>3241.6095196751589</v>
      </c>
      <c r="Q505" s="76">
        <f t="shared" si="233"/>
        <v>37.560685253708158</v>
      </c>
      <c r="R505" s="76">
        <f t="shared" si="233"/>
        <v>37.560685253708158</v>
      </c>
      <c r="S505" s="76">
        <f t="shared" si="233"/>
        <v>0</v>
      </c>
      <c r="T505" s="76">
        <f t="shared" si="233"/>
        <v>100.19610237817373</v>
      </c>
      <c r="U505" s="76">
        <f t="shared" si="233"/>
        <v>549.56044031664987</v>
      </c>
      <c r="V505" s="76">
        <f t="shared" si="233"/>
        <v>0</v>
      </c>
      <c r="W505" s="76">
        <f t="shared" si="233"/>
        <v>0</v>
      </c>
      <c r="X505" s="62">
        <f t="shared" si="233"/>
        <v>0</v>
      </c>
      <c r="Y505" s="62">
        <f t="shared" si="233"/>
        <v>0</v>
      </c>
      <c r="Z505" s="62">
        <f t="shared" si="233"/>
        <v>0</v>
      </c>
      <c r="AA505" s="64">
        <f>SUM(G505:Z505)</f>
        <v>315900.35665521445</v>
      </c>
      <c r="AB505" s="58" t="str">
        <f>IF(ABS(F505-AA505)&lt;0.01,"ok","err")</f>
        <v>ok</v>
      </c>
    </row>
    <row r="506" spans="1:28"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62"/>
      <c r="Y506" s="62"/>
      <c r="Z506" s="62"/>
      <c r="AA506" s="64"/>
    </row>
    <row r="507" spans="1:28" ht="15">
      <c r="A507" s="65" t="s">
        <v>371</v>
      </c>
      <c r="F507" s="79"/>
    </row>
    <row r="508" spans="1:28">
      <c r="A508" s="68" t="s">
        <v>1093</v>
      </c>
      <c r="C508" s="60" t="s">
        <v>1074</v>
      </c>
      <c r="D508" s="60" t="s">
        <v>558</v>
      </c>
      <c r="E508" s="60" t="s">
        <v>1097</v>
      </c>
      <c r="F508" s="76">
        <f>VLOOKUP(C508,'Functional Assignment'!$C$2:$AP$780,'Functional Assignment'!$AB$2,)</f>
        <v>865590.31416392652</v>
      </c>
      <c r="G508" s="76">
        <f t="shared" ref="G508:Z508" si="234">IF(VLOOKUP($E508,$D$6:$AN$1131,3,)=0,0,(VLOOKUP($E508,$D$6:$AN$1131,G$2,)/VLOOKUP($E508,$D$6:$AN$1131,3,))*$F508)</f>
        <v>0</v>
      </c>
      <c r="H508" s="76">
        <f t="shared" si="234"/>
        <v>0</v>
      </c>
      <c r="I508" s="76">
        <f t="shared" si="234"/>
        <v>0</v>
      </c>
      <c r="J508" s="76">
        <f t="shared" si="234"/>
        <v>0</v>
      </c>
      <c r="K508" s="76">
        <f t="shared" si="234"/>
        <v>0</v>
      </c>
      <c r="L508" s="76">
        <f t="shared" si="234"/>
        <v>0</v>
      </c>
      <c r="M508" s="76">
        <f t="shared" si="234"/>
        <v>0</v>
      </c>
      <c r="N508" s="76">
        <f t="shared" si="234"/>
        <v>0</v>
      </c>
      <c r="O508" s="76">
        <f t="shared" si="234"/>
        <v>0</v>
      </c>
      <c r="P508" s="76">
        <f t="shared" si="234"/>
        <v>0</v>
      </c>
      <c r="Q508" s="76">
        <f t="shared" si="234"/>
        <v>0</v>
      </c>
      <c r="R508" s="76">
        <f t="shared" si="234"/>
        <v>0</v>
      </c>
      <c r="S508" s="76">
        <f t="shared" si="234"/>
        <v>865590.31416392652</v>
      </c>
      <c r="T508" s="76">
        <f t="shared" si="234"/>
        <v>0</v>
      </c>
      <c r="U508" s="76">
        <f t="shared" si="234"/>
        <v>0</v>
      </c>
      <c r="V508" s="76">
        <f t="shared" si="234"/>
        <v>0</v>
      </c>
      <c r="W508" s="76">
        <f t="shared" si="234"/>
        <v>0</v>
      </c>
      <c r="X508" s="62">
        <f t="shared" si="234"/>
        <v>0</v>
      </c>
      <c r="Y508" s="62">
        <f t="shared" si="234"/>
        <v>0</v>
      </c>
      <c r="Z508" s="62">
        <f t="shared" si="234"/>
        <v>0</v>
      </c>
      <c r="AA508" s="64">
        <f>SUM(G508:Z508)</f>
        <v>865590.31416392652</v>
      </c>
      <c r="AB508" s="58" t="str">
        <f>IF(ABS(F508-AA508)&lt;0.01,"ok","err")</f>
        <v>ok</v>
      </c>
    </row>
    <row r="509" spans="1:28"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62"/>
      <c r="Y509" s="62"/>
      <c r="Z509" s="62"/>
      <c r="AA509" s="64"/>
    </row>
    <row r="510" spans="1:28" ht="15">
      <c r="A510" s="65" t="s">
        <v>1025</v>
      </c>
      <c r="F510" s="79"/>
    </row>
    <row r="511" spans="1:28">
      <c r="A511" s="68" t="s">
        <v>1093</v>
      </c>
      <c r="C511" s="60" t="s">
        <v>1074</v>
      </c>
      <c r="D511" s="60" t="s">
        <v>559</v>
      </c>
      <c r="E511" s="60" t="s">
        <v>1098</v>
      </c>
      <c r="F511" s="76">
        <f>VLOOKUP(C511,'Functional Assignment'!$C$2:$AP$780,'Functional Assignment'!$AC$2,)</f>
        <v>0</v>
      </c>
      <c r="G511" s="76">
        <f t="shared" ref="G511:Z511" si="235">IF(VLOOKUP($E511,$D$6:$AN$1131,3,)=0,0,(VLOOKUP($E511,$D$6:$AN$1131,G$2,)/VLOOKUP($E511,$D$6:$AN$1131,3,))*$F511)</f>
        <v>0</v>
      </c>
      <c r="H511" s="76">
        <f t="shared" si="235"/>
        <v>0</v>
      </c>
      <c r="I511" s="76">
        <f t="shared" si="235"/>
        <v>0</v>
      </c>
      <c r="J511" s="76">
        <f t="shared" si="235"/>
        <v>0</v>
      </c>
      <c r="K511" s="76">
        <f t="shared" si="235"/>
        <v>0</v>
      </c>
      <c r="L511" s="76">
        <f t="shared" si="235"/>
        <v>0</v>
      </c>
      <c r="M511" s="76">
        <f t="shared" si="235"/>
        <v>0</v>
      </c>
      <c r="N511" s="76">
        <f t="shared" si="235"/>
        <v>0</v>
      </c>
      <c r="O511" s="76">
        <f t="shared" si="235"/>
        <v>0</v>
      </c>
      <c r="P511" s="76">
        <f t="shared" si="235"/>
        <v>0</v>
      </c>
      <c r="Q511" s="76">
        <f t="shared" si="235"/>
        <v>0</v>
      </c>
      <c r="R511" s="76">
        <f t="shared" si="235"/>
        <v>0</v>
      </c>
      <c r="S511" s="76">
        <f t="shared" si="235"/>
        <v>0</v>
      </c>
      <c r="T511" s="76">
        <f t="shared" si="235"/>
        <v>0</v>
      </c>
      <c r="U511" s="76">
        <f t="shared" si="235"/>
        <v>0</v>
      </c>
      <c r="V511" s="76">
        <f t="shared" si="235"/>
        <v>0</v>
      </c>
      <c r="W511" s="76">
        <f t="shared" si="235"/>
        <v>0</v>
      </c>
      <c r="X511" s="62">
        <f t="shared" si="235"/>
        <v>0</v>
      </c>
      <c r="Y511" s="62">
        <f t="shared" si="235"/>
        <v>0</v>
      </c>
      <c r="Z511" s="62">
        <f t="shared" si="235"/>
        <v>0</v>
      </c>
      <c r="AA511" s="64">
        <f>SUM(G511:Z511)</f>
        <v>0</v>
      </c>
      <c r="AB511" s="58" t="str">
        <f>IF(ABS(F511-AA511)&lt;0.01,"ok","err")</f>
        <v>ok</v>
      </c>
    </row>
    <row r="512" spans="1:28"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62"/>
      <c r="Y512" s="62"/>
      <c r="Z512" s="62"/>
      <c r="AA512" s="64"/>
    </row>
    <row r="513" spans="1:28" ht="15">
      <c r="A513" s="65" t="s">
        <v>351</v>
      </c>
      <c r="F513" s="79"/>
    </row>
    <row r="514" spans="1:28">
      <c r="A514" s="68" t="s">
        <v>1093</v>
      </c>
      <c r="C514" s="60" t="s">
        <v>1074</v>
      </c>
      <c r="D514" s="60" t="s">
        <v>560</v>
      </c>
      <c r="E514" s="60" t="s">
        <v>1098</v>
      </c>
      <c r="F514" s="76">
        <f>VLOOKUP(C514,'Functional Assignment'!$C$2:$AP$780,'Functional Assignment'!$AD$2,)</f>
        <v>0</v>
      </c>
      <c r="G514" s="76">
        <f t="shared" ref="G514:Z514" si="236">IF(VLOOKUP($E514,$D$6:$AN$1131,3,)=0,0,(VLOOKUP($E514,$D$6:$AN$1131,G$2,)/VLOOKUP($E514,$D$6:$AN$1131,3,))*$F514)</f>
        <v>0</v>
      </c>
      <c r="H514" s="76">
        <f t="shared" si="236"/>
        <v>0</v>
      </c>
      <c r="I514" s="76">
        <f t="shared" si="236"/>
        <v>0</v>
      </c>
      <c r="J514" s="76">
        <f t="shared" si="236"/>
        <v>0</v>
      </c>
      <c r="K514" s="76">
        <f t="shared" si="236"/>
        <v>0</v>
      </c>
      <c r="L514" s="76">
        <f t="shared" si="236"/>
        <v>0</v>
      </c>
      <c r="M514" s="76">
        <f t="shared" si="236"/>
        <v>0</v>
      </c>
      <c r="N514" s="76">
        <f t="shared" si="236"/>
        <v>0</v>
      </c>
      <c r="O514" s="76">
        <f t="shared" si="236"/>
        <v>0</v>
      </c>
      <c r="P514" s="76">
        <f t="shared" si="236"/>
        <v>0</v>
      </c>
      <c r="Q514" s="76">
        <f t="shared" si="236"/>
        <v>0</v>
      </c>
      <c r="R514" s="76">
        <f t="shared" si="236"/>
        <v>0</v>
      </c>
      <c r="S514" s="76">
        <f t="shared" si="236"/>
        <v>0</v>
      </c>
      <c r="T514" s="76">
        <f t="shared" si="236"/>
        <v>0</v>
      </c>
      <c r="U514" s="76">
        <f t="shared" si="236"/>
        <v>0</v>
      </c>
      <c r="V514" s="76">
        <f t="shared" si="236"/>
        <v>0</v>
      </c>
      <c r="W514" s="76">
        <f t="shared" si="236"/>
        <v>0</v>
      </c>
      <c r="X514" s="62">
        <f t="shared" si="236"/>
        <v>0</v>
      </c>
      <c r="Y514" s="62">
        <f t="shared" si="236"/>
        <v>0</v>
      </c>
      <c r="Z514" s="62">
        <f t="shared" si="236"/>
        <v>0</v>
      </c>
      <c r="AA514" s="64">
        <f>SUM(G514:Z514)</f>
        <v>0</v>
      </c>
      <c r="AB514" s="58" t="str">
        <f>IF(ABS(F514-AA514)&lt;0.01,"ok","err")</f>
        <v>ok</v>
      </c>
    </row>
    <row r="515" spans="1:28"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62"/>
      <c r="Y515" s="62"/>
      <c r="Z515" s="62"/>
      <c r="AA515" s="64"/>
    </row>
    <row r="516" spans="1:28" ht="15">
      <c r="A516" s="65" t="s">
        <v>350</v>
      </c>
      <c r="F516" s="79"/>
    </row>
    <row r="517" spans="1:28">
      <c r="A517" s="68" t="s">
        <v>1093</v>
      </c>
      <c r="C517" s="60" t="s">
        <v>1074</v>
      </c>
      <c r="D517" s="60" t="s">
        <v>561</v>
      </c>
      <c r="E517" s="60" t="s">
        <v>1099</v>
      </c>
      <c r="F517" s="76">
        <f>VLOOKUP(C517,'Functional Assignment'!$C$2:$AP$780,'Functional Assignment'!$AE$2,)</f>
        <v>0</v>
      </c>
      <c r="G517" s="76">
        <f t="shared" ref="G517:Z517" si="237">IF(VLOOKUP($E517,$D$6:$AN$1131,3,)=0,0,(VLOOKUP($E517,$D$6:$AN$1131,G$2,)/VLOOKUP($E517,$D$6:$AN$1131,3,))*$F517)</f>
        <v>0</v>
      </c>
      <c r="H517" s="76">
        <f t="shared" si="237"/>
        <v>0</v>
      </c>
      <c r="I517" s="76">
        <f t="shared" si="237"/>
        <v>0</v>
      </c>
      <c r="J517" s="76">
        <f t="shared" si="237"/>
        <v>0</v>
      </c>
      <c r="K517" s="76">
        <f t="shared" si="237"/>
        <v>0</v>
      </c>
      <c r="L517" s="76">
        <f t="shared" si="237"/>
        <v>0</v>
      </c>
      <c r="M517" s="76">
        <f t="shared" si="237"/>
        <v>0</v>
      </c>
      <c r="N517" s="76">
        <f t="shared" si="237"/>
        <v>0</v>
      </c>
      <c r="O517" s="76">
        <f t="shared" si="237"/>
        <v>0</v>
      </c>
      <c r="P517" s="76">
        <f t="shared" si="237"/>
        <v>0</v>
      </c>
      <c r="Q517" s="76">
        <f t="shared" si="237"/>
        <v>0</v>
      </c>
      <c r="R517" s="76">
        <f t="shared" si="237"/>
        <v>0</v>
      </c>
      <c r="S517" s="76">
        <f t="shared" si="237"/>
        <v>0</v>
      </c>
      <c r="T517" s="76">
        <f t="shared" si="237"/>
        <v>0</v>
      </c>
      <c r="U517" s="76">
        <f t="shared" si="237"/>
        <v>0</v>
      </c>
      <c r="V517" s="76">
        <f t="shared" si="237"/>
        <v>0</v>
      </c>
      <c r="W517" s="76">
        <f t="shared" si="237"/>
        <v>0</v>
      </c>
      <c r="X517" s="62">
        <f t="shared" si="237"/>
        <v>0</v>
      </c>
      <c r="Y517" s="62">
        <f t="shared" si="237"/>
        <v>0</v>
      </c>
      <c r="Z517" s="62">
        <f t="shared" si="237"/>
        <v>0</v>
      </c>
      <c r="AA517" s="64">
        <f>SUM(G517:Z517)</f>
        <v>0</v>
      </c>
      <c r="AB517" s="58" t="str">
        <f>IF(ABS(F517-AA517)&lt;0.01,"ok","err")</f>
        <v>ok</v>
      </c>
    </row>
    <row r="518" spans="1:28"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62"/>
      <c r="Y518" s="62"/>
      <c r="Z518" s="62"/>
      <c r="AA518" s="64"/>
    </row>
    <row r="519" spans="1:28">
      <c r="A519" s="60" t="s">
        <v>922</v>
      </c>
      <c r="D519" s="60" t="s">
        <v>1109</v>
      </c>
      <c r="F519" s="76">
        <f>F474+F480+F483+F486+F494+F499+F502+F505+F508+F511+F514+F517</f>
        <v>32529208.918825753</v>
      </c>
      <c r="G519" s="76">
        <f t="shared" ref="G519:Z519" si="238">G474+G480+G483+G486+G494+G499+G502+G505+G508+G511+G514+G517</f>
        <v>15821224.614783587</v>
      </c>
      <c r="H519" s="76">
        <f t="shared" si="238"/>
        <v>4128892.9779181606</v>
      </c>
      <c r="I519" s="76">
        <f t="shared" si="238"/>
        <v>0</v>
      </c>
      <c r="J519" s="76">
        <f t="shared" si="238"/>
        <v>305436.67027339508</v>
      </c>
      <c r="K519" s="76">
        <f t="shared" si="238"/>
        <v>3938268.7350952788</v>
      </c>
      <c r="L519" s="76">
        <f t="shared" si="238"/>
        <v>0</v>
      </c>
      <c r="M519" s="76">
        <f t="shared" si="238"/>
        <v>0</v>
      </c>
      <c r="N519" s="76">
        <f t="shared" si="238"/>
        <v>3270855.6150380769</v>
      </c>
      <c r="O519" s="76">
        <f>O474+O480+O483+O486+O494+O499+O502+O505+O508+O511+O514+O517</f>
        <v>1955326.1324566021</v>
      </c>
      <c r="P519" s="76">
        <f t="shared" si="238"/>
        <v>1707682.6772375295</v>
      </c>
      <c r="Q519" s="76">
        <f t="shared" si="238"/>
        <v>205732.30099181121</v>
      </c>
      <c r="R519" s="76">
        <f t="shared" si="238"/>
        <v>95401.259794540762</v>
      </c>
      <c r="S519" s="76">
        <f t="shared" si="238"/>
        <v>1089901.8323440109</v>
      </c>
      <c r="T519" s="76">
        <f t="shared" si="238"/>
        <v>4094.6577747313927</v>
      </c>
      <c r="U519" s="76">
        <f t="shared" si="238"/>
        <v>6391.445118027631</v>
      </c>
      <c r="V519" s="76">
        <f t="shared" si="238"/>
        <v>0</v>
      </c>
      <c r="W519" s="76">
        <f t="shared" si="238"/>
        <v>0</v>
      </c>
      <c r="X519" s="62">
        <f t="shared" si="238"/>
        <v>0</v>
      </c>
      <c r="Y519" s="62">
        <f t="shared" si="238"/>
        <v>0</v>
      </c>
      <c r="Z519" s="62">
        <f t="shared" si="238"/>
        <v>0</v>
      </c>
      <c r="AA519" s="64">
        <f>SUM(G519:Z519)</f>
        <v>32529208.918825749</v>
      </c>
      <c r="AB519" s="58" t="str">
        <f>IF(ABS(F519-AA519)&lt;0.01,"ok","err")</f>
        <v>ok</v>
      </c>
    </row>
    <row r="520" spans="1:28"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62"/>
      <c r="Y520" s="62"/>
      <c r="Z520" s="62"/>
      <c r="AA520" s="64"/>
    </row>
    <row r="522" spans="1:28" ht="15">
      <c r="A522" s="65" t="s">
        <v>637</v>
      </c>
    </row>
    <row r="524" spans="1:28" ht="15">
      <c r="A524" s="65" t="s">
        <v>364</v>
      </c>
    </row>
    <row r="525" spans="1:28">
      <c r="A525" s="68" t="s">
        <v>359</v>
      </c>
      <c r="C525" s="60" t="s">
        <v>533</v>
      </c>
      <c r="D525" s="60" t="s">
        <v>562</v>
      </c>
      <c r="E525" s="60" t="s">
        <v>869</v>
      </c>
      <c r="F525" s="76">
        <f>VLOOKUP(C525,'Functional Assignment'!$C$2:$AP$780,'Functional Assignment'!$H$2,)</f>
        <v>-193847.67227717277</v>
      </c>
      <c r="G525" s="76">
        <f t="shared" ref="G525:P530" si="239">IF(VLOOKUP($E525,$D$6:$AN$1131,3,)=0,0,(VLOOKUP($E525,$D$6:$AN$1131,G$2,)/VLOOKUP($E525,$D$6:$AN$1131,3,))*$F525)</f>
        <v>-70129.829523780019</v>
      </c>
      <c r="H525" s="76">
        <f t="shared" si="239"/>
        <v>-22789.684170204757</v>
      </c>
      <c r="I525" s="76">
        <f t="shared" si="239"/>
        <v>0</v>
      </c>
      <c r="J525" s="76">
        <f t="shared" si="239"/>
        <v>-2714.2901334596545</v>
      </c>
      <c r="K525" s="76">
        <f t="shared" si="239"/>
        <v>-31448.571358081877</v>
      </c>
      <c r="L525" s="76">
        <f t="shared" si="239"/>
        <v>0</v>
      </c>
      <c r="M525" s="76">
        <f t="shared" si="239"/>
        <v>0</v>
      </c>
      <c r="N525" s="76">
        <f t="shared" si="239"/>
        <v>-30356.602696318361</v>
      </c>
      <c r="O525" s="76">
        <f t="shared" si="239"/>
        <v>-13351.246272271812</v>
      </c>
      <c r="P525" s="76">
        <f t="shared" si="239"/>
        <v>-18484.846080270378</v>
      </c>
      <c r="Q525" s="76">
        <f t="shared" ref="Q525:Z530" si="240">IF(VLOOKUP($E525,$D$6:$AN$1131,3,)=0,0,(VLOOKUP($E525,$D$6:$AN$1131,Q$2,)/VLOOKUP($E525,$D$6:$AN$1131,3,))*$F525)</f>
        <v>-1804.214153992096</v>
      </c>
      <c r="R525" s="76">
        <f t="shared" si="240"/>
        <v>-953.15992794060639</v>
      </c>
      <c r="S525" s="76">
        <f t="shared" si="240"/>
        <v>-1707.4173746636393</v>
      </c>
      <c r="T525" s="76">
        <f t="shared" si="240"/>
        <v>-55.655388798602417</v>
      </c>
      <c r="U525" s="76">
        <f t="shared" si="240"/>
        <v>-52.155197391015548</v>
      </c>
      <c r="V525" s="76">
        <f t="shared" si="240"/>
        <v>0</v>
      </c>
      <c r="W525" s="76">
        <f t="shared" si="240"/>
        <v>0</v>
      </c>
      <c r="X525" s="62">
        <f t="shared" si="240"/>
        <v>0</v>
      </c>
      <c r="Y525" s="62">
        <f t="shared" si="240"/>
        <v>0</v>
      </c>
      <c r="Z525" s="62">
        <f t="shared" si="240"/>
        <v>0</v>
      </c>
      <c r="AA525" s="64">
        <f t="shared" ref="AA525:AA531" si="241">SUM(G525:Z525)</f>
        <v>-193847.67227717279</v>
      </c>
      <c r="AB525" s="58" t="str">
        <f t="shared" ref="AB525:AB531" si="242">IF(ABS(F525-AA525)&lt;0.01,"ok","err")</f>
        <v>ok</v>
      </c>
    </row>
    <row r="526" spans="1:28">
      <c r="A526" s="68" t="s">
        <v>1255</v>
      </c>
      <c r="C526" s="60" t="s">
        <v>533</v>
      </c>
      <c r="D526" s="60" t="s">
        <v>563</v>
      </c>
      <c r="E526" s="60" t="s">
        <v>188</v>
      </c>
      <c r="F526" s="79">
        <f>VLOOKUP(C526,'Functional Assignment'!$C$2:$AP$780,'Functional Assignment'!$I$2,)</f>
        <v>-203067.70616745905</v>
      </c>
      <c r="G526" s="79">
        <f t="shared" si="239"/>
        <v>-86774.523414564042</v>
      </c>
      <c r="H526" s="79">
        <f t="shared" si="239"/>
        <v>-28394.572134625167</v>
      </c>
      <c r="I526" s="79">
        <f t="shared" si="239"/>
        <v>0</v>
      </c>
      <c r="J526" s="79">
        <f t="shared" si="239"/>
        <v>-2208.0783031330011</v>
      </c>
      <c r="K526" s="79">
        <f t="shared" si="239"/>
        <v>-29712.216493903936</v>
      </c>
      <c r="L526" s="79">
        <f t="shared" si="239"/>
        <v>0</v>
      </c>
      <c r="M526" s="79">
        <f t="shared" si="239"/>
        <v>0</v>
      </c>
      <c r="N526" s="79">
        <f t="shared" si="239"/>
        <v>-23661.175528095413</v>
      </c>
      <c r="O526" s="79">
        <f t="shared" si="239"/>
        <v>-15867.517816863176</v>
      </c>
      <c r="P526" s="79">
        <f t="shared" si="239"/>
        <v>-14152.537253155915</v>
      </c>
      <c r="Q526" s="79">
        <f t="shared" si="240"/>
        <v>-1634.0001833253114</v>
      </c>
      <c r="R526" s="79">
        <f t="shared" si="240"/>
        <v>-621.08981785405251</v>
      </c>
      <c r="S526" s="79">
        <f t="shared" si="240"/>
        <v>0</v>
      </c>
      <c r="T526" s="79">
        <f t="shared" si="240"/>
        <v>0</v>
      </c>
      <c r="U526" s="79">
        <f t="shared" si="240"/>
        <v>-41.995221939043304</v>
      </c>
      <c r="V526" s="79">
        <f t="shared" si="240"/>
        <v>0</v>
      </c>
      <c r="W526" s="79">
        <f t="shared" si="240"/>
        <v>0</v>
      </c>
      <c r="X526" s="63">
        <f t="shared" si="240"/>
        <v>0</v>
      </c>
      <c r="Y526" s="63">
        <f t="shared" si="240"/>
        <v>0</v>
      </c>
      <c r="Z526" s="63">
        <f t="shared" si="240"/>
        <v>0</v>
      </c>
      <c r="AA526" s="63">
        <f t="shared" si="241"/>
        <v>-203067.70616745911</v>
      </c>
      <c r="AB526" s="58" t="str">
        <f t="shared" si="242"/>
        <v>ok</v>
      </c>
    </row>
    <row r="527" spans="1:28">
      <c r="A527" s="68" t="s">
        <v>1256</v>
      </c>
      <c r="C527" s="60" t="s">
        <v>533</v>
      </c>
      <c r="D527" s="60" t="s">
        <v>564</v>
      </c>
      <c r="E527" s="60" t="s">
        <v>191</v>
      </c>
      <c r="F527" s="79">
        <f>VLOOKUP(C527,'Functional Assignment'!$C$2:$AP$780,'Functional Assignment'!$J$2,)</f>
        <v>-166920.96972115582</v>
      </c>
      <c r="G527" s="79">
        <f t="shared" si="239"/>
        <v>-65274.44742302868</v>
      </c>
      <c r="H527" s="79">
        <f t="shared" si="239"/>
        <v>-23588.568534925125</v>
      </c>
      <c r="I527" s="79">
        <f t="shared" si="239"/>
        <v>0</v>
      </c>
      <c r="J527" s="79">
        <f t="shared" si="239"/>
        <v>-1945.3920585660262</v>
      </c>
      <c r="K527" s="79">
        <f t="shared" si="239"/>
        <v>-27459.678033158871</v>
      </c>
      <c r="L527" s="79">
        <f t="shared" si="239"/>
        <v>0</v>
      </c>
      <c r="M527" s="79">
        <f t="shared" si="239"/>
        <v>0</v>
      </c>
      <c r="N527" s="79">
        <f t="shared" si="239"/>
        <v>-20768.464420836073</v>
      </c>
      <c r="O527" s="79">
        <f t="shared" si="239"/>
        <v>-14027.431892705577</v>
      </c>
      <c r="P527" s="79">
        <f t="shared" si="239"/>
        <v>-12011.471991159511</v>
      </c>
      <c r="Q527" s="79">
        <f t="shared" si="240"/>
        <v>-1296.9611102662768</v>
      </c>
      <c r="R527" s="79">
        <f t="shared" si="240"/>
        <v>-525.01823486631633</v>
      </c>
      <c r="S527" s="79">
        <f t="shared" si="240"/>
        <v>0</v>
      </c>
      <c r="T527" s="79">
        <f t="shared" si="240"/>
        <v>0</v>
      </c>
      <c r="U527" s="79">
        <f t="shared" si="240"/>
        <v>-23.53602164335425</v>
      </c>
      <c r="V527" s="79">
        <f t="shared" si="240"/>
        <v>0</v>
      </c>
      <c r="W527" s="79">
        <f t="shared" si="240"/>
        <v>0</v>
      </c>
      <c r="X527" s="63">
        <f t="shared" si="240"/>
        <v>0</v>
      </c>
      <c r="Y527" s="63">
        <f t="shared" si="240"/>
        <v>0</v>
      </c>
      <c r="Z527" s="63">
        <f t="shared" si="240"/>
        <v>0</v>
      </c>
      <c r="AA527" s="63">
        <f t="shared" si="241"/>
        <v>-166920.96972115582</v>
      </c>
      <c r="AB527" s="58" t="str">
        <f t="shared" si="242"/>
        <v>ok</v>
      </c>
    </row>
    <row r="528" spans="1:28">
      <c r="A528" s="68" t="s">
        <v>1257</v>
      </c>
      <c r="C528" s="60" t="s">
        <v>533</v>
      </c>
      <c r="D528" s="60" t="s">
        <v>565</v>
      </c>
      <c r="E528" s="60" t="s">
        <v>1091</v>
      </c>
      <c r="F528" s="79">
        <f>VLOOKUP(C528,'Functional Assignment'!$C$2:$AP$780,'Functional Assignment'!$K$2,)</f>
        <v>0</v>
      </c>
      <c r="G528" s="79">
        <f t="shared" si="239"/>
        <v>0</v>
      </c>
      <c r="H528" s="79">
        <f t="shared" si="239"/>
        <v>0</v>
      </c>
      <c r="I528" s="79">
        <f t="shared" si="239"/>
        <v>0</v>
      </c>
      <c r="J528" s="79">
        <f t="shared" si="239"/>
        <v>0</v>
      </c>
      <c r="K528" s="79">
        <f t="shared" si="239"/>
        <v>0</v>
      </c>
      <c r="L528" s="79">
        <f t="shared" si="239"/>
        <v>0</v>
      </c>
      <c r="M528" s="79">
        <f t="shared" si="239"/>
        <v>0</v>
      </c>
      <c r="N528" s="79">
        <f t="shared" si="239"/>
        <v>0</v>
      </c>
      <c r="O528" s="79">
        <f t="shared" si="239"/>
        <v>0</v>
      </c>
      <c r="P528" s="79">
        <f t="shared" si="239"/>
        <v>0</v>
      </c>
      <c r="Q528" s="79">
        <f t="shared" si="240"/>
        <v>0</v>
      </c>
      <c r="R528" s="79">
        <f t="shared" si="240"/>
        <v>0</v>
      </c>
      <c r="S528" s="79">
        <f t="shared" si="240"/>
        <v>0</v>
      </c>
      <c r="T528" s="79">
        <f t="shared" si="240"/>
        <v>0</v>
      </c>
      <c r="U528" s="79">
        <f t="shared" si="240"/>
        <v>0</v>
      </c>
      <c r="V528" s="79">
        <f t="shared" si="240"/>
        <v>0</v>
      </c>
      <c r="W528" s="79">
        <f t="shared" si="240"/>
        <v>0</v>
      </c>
      <c r="X528" s="63">
        <f t="shared" si="240"/>
        <v>0</v>
      </c>
      <c r="Y528" s="63">
        <f t="shared" si="240"/>
        <v>0</v>
      </c>
      <c r="Z528" s="63">
        <f t="shared" si="240"/>
        <v>0</v>
      </c>
      <c r="AA528" s="63">
        <f t="shared" si="241"/>
        <v>0</v>
      </c>
      <c r="AB528" s="58" t="str">
        <f t="shared" si="242"/>
        <v>ok</v>
      </c>
    </row>
    <row r="529" spans="1:28">
      <c r="A529" s="68" t="s">
        <v>1258</v>
      </c>
      <c r="C529" s="60" t="s">
        <v>533</v>
      </c>
      <c r="D529" s="60" t="s">
        <v>566</v>
      </c>
      <c r="E529" s="60" t="s">
        <v>1091</v>
      </c>
      <c r="F529" s="79">
        <f>VLOOKUP(C529,'Functional Assignment'!$C$2:$AP$780,'Functional Assignment'!$L$2,)</f>
        <v>0</v>
      </c>
      <c r="G529" s="79">
        <f t="shared" si="239"/>
        <v>0</v>
      </c>
      <c r="H529" s="79">
        <f t="shared" si="239"/>
        <v>0</v>
      </c>
      <c r="I529" s="79">
        <f t="shared" si="239"/>
        <v>0</v>
      </c>
      <c r="J529" s="79">
        <f t="shared" si="239"/>
        <v>0</v>
      </c>
      <c r="K529" s="79">
        <f t="shared" si="239"/>
        <v>0</v>
      </c>
      <c r="L529" s="79">
        <f t="shared" si="239"/>
        <v>0</v>
      </c>
      <c r="M529" s="79">
        <f t="shared" si="239"/>
        <v>0</v>
      </c>
      <c r="N529" s="79">
        <f t="shared" si="239"/>
        <v>0</v>
      </c>
      <c r="O529" s="79">
        <f t="shared" si="239"/>
        <v>0</v>
      </c>
      <c r="P529" s="79">
        <f t="shared" si="239"/>
        <v>0</v>
      </c>
      <c r="Q529" s="79">
        <f t="shared" si="240"/>
        <v>0</v>
      </c>
      <c r="R529" s="79">
        <f t="shared" si="240"/>
        <v>0</v>
      </c>
      <c r="S529" s="79">
        <f t="shared" si="240"/>
        <v>0</v>
      </c>
      <c r="T529" s="79">
        <f t="shared" si="240"/>
        <v>0</v>
      </c>
      <c r="U529" s="79">
        <f t="shared" si="240"/>
        <v>0</v>
      </c>
      <c r="V529" s="79">
        <f t="shared" si="240"/>
        <v>0</v>
      </c>
      <c r="W529" s="79">
        <f t="shared" si="240"/>
        <v>0</v>
      </c>
      <c r="X529" s="63">
        <f t="shared" si="240"/>
        <v>0</v>
      </c>
      <c r="Y529" s="63">
        <f t="shared" si="240"/>
        <v>0</v>
      </c>
      <c r="Z529" s="63">
        <f t="shared" si="240"/>
        <v>0</v>
      </c>
      <c r="AA529" s="63">
        <f t="shared" si="241"/>
        <v>0</v>
      </c>
      <c r="AB529" s="58" t="str">
        <f t="shared" si="242"/>
        <v>ok</v>
      </c>
    </row>
    <row r="530" spans="1:28">
      <c r="A530" s="68" t="s">
        <v>1258</v>
      </c>
      <c r="C530" s="60" t="s">
        <v>533</v>
      </c>
      <c r="D530" s="60" t="s">
        <v>567</v>
      </c>
      <c r="E530" s="60" t="s">
        <v>1091</v>
      </c>
      <c r="F530" s="79">
        <f>VLOOKUP(C530,'Functional Assignment'!$C$2:$AP$780,'Functional Assignment'!$M$2,)</f>
        <v>0</v>
      </c>
      <c r="G530" s="79">
        <f t="shared" si="239"/>
        <v>0</v>
      </c>
      <c r="H530" s="79">
        <f t="shared" si="239"/>
        <v>0</v>
      </c>
      <c r="I530" s="79">
        <f t="shared" si="239"/>
        <v>0</v>
      </c>
      <c r="J530" s="79">
        <f t="shared" si="239"/>
        <v>0</v>
      </c>
      <c r="K530" s="79">
        <f t="shared" si="239"/>
        <v>0</v>
      </c>
      <c r="L530" s="79">
        <f t="shared" si="239"/>
        <v>0</v>
      </c>
      <c r="M530" s="79">
        <f t="shared" si="239"/>
        <v>0</v>
      </c>
      <c r="N530" s="79">
        <f t="shared" si="239"/>
        <v>0</v>
      </c>
      <c r="O530" s="79">
        <f t="shared" si="239"/>
        <v>0</v>
      </c>
      <c r="P530" s="79">
        <f t="shared" si="239"/>
        <v>0</v>
      </c>
      <c r="Q530" s="79">
        <f t="shared" si="240"/>
        <v>0</v>
      </c>
      <c r="R530" s="79">
        <f t="shared" si="240"/>
        <v>0</v>
      </c>
      <c r="S530" s="79">
        <f t="shared" si="240"/>
        <v>0</v>
      </c>
      <c r="T530" s="79">
        <f t="shared" si="240"/>
        <v>0</v>
      </c>
      <c r="U530" s="79">
        <f t="shared" si="240"/>
        <v>0</v>
      </c>
      <c r="V530" s="79">
        <f t="shared" si="240"/>
        <v>0</v>
      </c>
      <c r="W530" s="79">
        <f t="shared" si="240"/>
        <v>0</v>
      </c>
      <c r="X530" s="63">
        <f t="shared" si="240"/>
        <v>0</v>
      </c>
      <c r="Y530" s="63">
        <f t="shared" si="240"/>
        <v>0</v>
      </c>
      <c r="Z530" s="63">
        <f t="shared" si="240"/>
        <v>0</v>
      </c>
      <c r="AA530" s="63">
        <f t="shared" si="241"/>
        <v>0</v>
      </c>
      <c r="AB530" s="58" t="str">
        <f t="shared" si="242"/>
        <v>ok</v>
      </c>
    </row>
    <row r="531" spans="1:28">
      <c r="A531" s="60" t="s">
        <v>387</v>
      </c>
      <c r="D531" s="60" t="s">
        <v>1110</v>
      </c>
      <c r="F531" s="76">
        <f>SUM(F525:F530)</f>
        <v>-563836.34816578764</v>
      </c>
      <c r="G531" s="76">
        <f t="shared" ref="G531:P531" si="243">SUM(G525:G530)</f>
        <v>-222178.80036137273</v>
      </c>
      <c r="H531" s="76">
        <f t="shared" si="243"/>
        <v>-74772.824839755049</v>
      </c>
      <c r="I531" s="76">
        <f t="shared" si="243"/>
        <v>0</v>
      </c>
      <c r="J531" s="76">
        <f t="shared" si="243"/>
        <v>-6867.7604951586818</v>
      </c>
      <c r="K531" s="76">
        <f t="shared" si="243"/>
        <v>-88620.465885144687</v>
      </c>
      <c r="L531" s="76">
        <f t="shared" si="243"/>
        <v>0</v>
      </c>
      <c r="M531" s="76">
        <f t="shared" si="243"/>
        <v>0</v>
      </c>
      <c r="N531" s="76">
        <f t="shared" si="243"/>
        <v>-74786.242645249848</v>
      </c>
      <c r="O531" s="76">
        <f>SUM(O525:O530)</f>
        <v>-43246.195981840567</v>
      </c>
      <c r="P531" s="76">
        <f t="shared" si="243"/>
        <v>-44648.855324585806</v>
      </c>
      <c r="Q531" s="76">
        <f t="shared" ref="Q531:W531" si="244">SUM(Q525:Q530)</f>
        <v>-4735.1754475836842</v>
      </c>
      <c r="R531" s="76">
        <f t="shared" si="244"/>
        <v>-2099.2679806609749</v>
      </c>
      <c r="S531" s="76">
        <f t="shared" si="244"/>
        <v>-1707.4173746636393</v>
      </c>
      <c r="T531" s="76">
        <f t="shared" si="244"/>
        <v>-55.655388798602417</v>
      </c>
      <c r="U531" s="76">
        <f t="shared" si="244"/>
        <v>-117.6864409734131</v>
      </c>
      <c r="V531" s="76">
        <f t="shared" si="244"/>
        <v>0</v>
      </c>
      <c r="W531" s="76">
        <f t="shared" si="244"/>
        <v>0</v>
      </c>
      <c r="X531" s="62">
        <f>SUM(X525:X530)</f>
        <v>0</v>
      </c>
      <c r="Y531" s="62">
        <f>SUM(Y525:Y530)</f>
        <v>0</v>
      </c>
      <c r="Z531" s="62">
        <f>SUM(Z525:Z530)</f>
        <v>0</v>
      </c>
      <c r="AA531" s="64">
        <f t="shared" si="241"/>
        <v>-563836.34816578752</v>
      </c>
      <c r="AB531" s="58" t="str">
        <f t="shared" si="242"/>
        <v>ok</v>
      </c>
    </row>
    <row r="532" spans="1:28">
      <c r="F532" s="79"/>
      <c r="G532" s="79"/>
    </row>
    <row r="533" spans="1:28" ht="15">
      <c r="A533" s="65" t="s">
        <v>1131</v>
      </c>
      <c r="F533" s="79"/>
      <c r="G533" s="79"/>
    </row>
    <row r="534" spans="1:28">
      <c r="A534" s="68" t="s">
        <v>1363</v>
      </c>
      <c r="C534" s="60" t="s">
        <v>533</v>
      </c>
      <c r="D534" s="60" t="s">
        <v>568</v>
      </c>
      <c r="E534" s="60" t="s">
        <v>1367</v>
      </c>
      <c r="F534" s="76">
        <f>VLOOKUP(C534,'Functional Assignment'!$C$2:$AP$780,'Functional Assignment'!$N$2,)</f>
        <v>-106787.72830435807</v>
      </c>
      <c r="G534" s="76">
        <f t="shared" ref="G534:P536" si="245">IF(VLOOKUP($E534,$D$6:$AN$1131,3,)=0,0,(VLOOKUP($E534,$D$6:$AN$1131,G$2,)/VLOOKUP($E534,$D$6:$AN$1131,3,))*$F534)</f>
        <v>-47455.174664828104</v>
      </c>
      <c r="H534" s="76">
        <f t="shared" si="245"/>
        <v>-13659.839930579874</v>
      </c>
      <c r="I534" s="76">
        <f t="shared" si="245"/>
        <v>0</v>
      </c>
      <c r="J534" s="76">
        <f t="shared" si="245"/>
        <v>-1213.6887391653304</v>
      </c>
      <c r="K534" s="76">
        <f t="shared" si="245"/>
        <v>-14086.809648185364</v>
      </c>
      <c r="L534" s="76">
        <f t="shared" si="245"/>
        <v>0</v>
      </c>
      <c r="M534" s="76">
        <f t="shared" si="245"/>
        <v>0</v>
      </c>
      <c r="N534" s="76">
        <f t="shared" si="245"/>
        <v>-12814.698208881206</v>
      </c>
      <c r="O534" s="76">
        <f t="shared" si="245"/>
        <v>-7608.6952475666849</v>
      </c>
      <c r="P534" s="76">
        <f t="shared" si="245"/>
        <v>-7881.2209551235674</v>
      </c>
      <c r="Q534" s="76">
        <f t="shared" ref="Q534:Z536" si="246">IF(VLOOKUP($E534,$D$6:$AN$1131,3,)=0,0,(VLOOKUP($E534,$D$6:$AN$1131,Q$2,)/VLOOKUP($E534,$D$6:$AN$1131,3,))*$F534)</f>
        <v>-794.46177271937893</v>
      </c>
      <c r="R534" s="76">
        <f t="shared" si="246"/>
        <v>-415.83272188706258</v>
      </c>
      <c r="S534" s="76">
        <f t="shared" si="246"/>
        <v>-819.17218173356684</v>
      </c>
      <c r="T534" s="76">
        <f t="shared" si="246"/>
        <v>-26.199491033067705</v>
      </c>
      <c r="U534" s="76">
        <f t="shared" si="246"/>
        <v>-11.934742654880644</v>
      </c>
      <c r="V534" s="76">
        <f t="shared" si="246"/>
        <v>0</v>
      </c>
      <c r="W534" s="76">
        <f t="shared" si="246"/>
        <v>0</v>
      </c>
      <c r="X534" s="62">
        <f t="shared" si="246"/>
        <v>0</v>
      </c>
      <c r="Y534" s="62">
        <f t="shared" si="246"/>
        <v>0</v>
      </c>
      <c r="Z534" s="62">
        <f t="shared" si="246"/>
        <v>0</v>
      </c>
      <c r="AA534" s="64">
        <f>SUM(G534:Z534)</f>
        <v>-106787.7283043581</v>
      </c>
      <c r="AB534" s="58" t="str">
        <f>IF(ABS(F534-AA534)&lt;0.01,"ok","err")</f>
        <v>ok</v>
      </c>
    </row>
    <row r="535" spans="1:28" hidden="1">
      <c r="A535" s="68" t="s">
        <v>1364</v>
      </c>
      <c r="C535" s="60" t="s">
        <v>533</v>
      </c>
      <c r="D535" s="60" t="s">
        <v>569</v>
      </c>
      <c r="E535" s="60" t="s">
        <v>188</v>
      </c>
      <c r="F535" s="79">
        <f>VLOOKUP(C535,'Functional Assignment'!$C$2:$AP$780,'Functional Assignment'!$O$2,)</f>
        <v>0</v>
      </c>
      <c r="G535" s="79">
        <f t="shared" si="245"/>
        <v>0</v>
      </c>
      <c r="H535" s="79">
        <f t="shared" si="245"/>
        <v>0</v>
      </c>
      <c r="I535" s="79">
        <f t="shared" si="245"/>
        <v>0</v>
      </c>
      <c r="J535" s="79">
        <f t="shared" si="245"/>
        <v>0</v>
      </c>
      <c r="K535" s="79">
        <f t="shared" si="245"/>
        <v>0</v>
      </c>
      <c r="L535" s="79">
        <f t="shared" si="245"/>
        <v>0</v>
      </c>
      <c r="M535" s="79">
        <f t="shared" si="245"/>
        <v>0</v>
      </c>
      <c r="N535" s="79">
        <f t="shared" si="245"/>
        <v>0</v>
      </c>
      <c r="O535" s="79">
        <f t="shared" si="245"/>
        <v>0</v>
      </c>
      <c r="P535" s="79">
        <f t="shared" si="245"/>
        <v>0</v>
      </c>
      <c r="Q535" s="79">
        <f t="shared" si="246"/>
        <v>0</v>
      </c>
      <c r="R535" s="79">
        <f t="shared" si="246"/>
        <v>0</v>
      </c>
      <c r="S535" s="79">
        <f t="shared" si="246"/>
        <v>0</v>
      </c>
      <c r="T535" s="79">
        <f t="shared" si="246"/>
        <v>0</v>
      </c>
      <c r="U535" s="79">
        <f t="shared" si="246"/>
        <v>0</v>
      </c>
      <c r="V535" s="79">
        <f t="shared" si="246"/>
        <v>0</v>
      </c>
      <c r="W535" s="79">
        <f t="shared" si="246"/>
        <v>0</v>
      </c>
      <c r="X535" s="63">
        <f t="shared" si="246"/>
        <v>0</v>
      </c>
      <c r="Y535" s="63">
        <f t="shared" si="246"/>
        <v>0</v>
      </c>
      <c r="Z535" s="63">
        <f t="shared" si="246"/>
        <v>0</v>
      </c>
      <c r="AA535" s="63">
        <f>SUM(G535:Z535)</f>
        <v>0</v>
      </c>
      <c r="AB535" s="58" t="str">
        <f>IF(ABS(F535-AA535)&lt;0.01,"ok","err")</f>
        <v>ok</v>
      </c>
    </row>
    <row r="536" spans="1:28" hidden="1">
      <c r="A536" s="68" t="s">
        <v>1364</v>
      </c>
      <c r="C536" s="60" t="s">
        <v>533</v>
      </c>
      <c r="D536" s="60" t="s">
        <v>570</v>
      </c>
      <c r="E536" s="60" t="s">
        <v>191</v>
      </c>
      <c r="F536" s="79">
        <f>VLOOKUP(C536,'Functional Assignment'!$C$2:$AP$780,'Functional Assignment'!$P$2,)</f>
        <v>0</v>
      </c>
      <c r="G536" s="79">
        <f t="shared" si="245"/>
        <v>0</v>
      </c>
      <c r="H536" s="79">
        <f t="shared" si="245"/>
        <v>0</v>
      </c>
      <c r="I536" s="79">
        <f t="shared" si="245"/>
        <v>0</v>
      </c>
      <c r="J536" s="79">
        <f t="shared" si="245"/>
        <v>0</v>
      </c>
      <c r="K536" s="79">
        <f t="shared" si="245"/>
        <v>0</v>
      </c>
      <c r="L536" s="79">
        <f t="shared" si="245"/>
        <v>0</v>
      </c>
      <c r="M536" s="79">
        <f t="shared" si="245"/>
        <v>0</v>
      </c>
      <c r="N536" s="79">
        <f t="shared" si="245"/>
        <v>0</v>
      </c>
      <c r="O536" s="79">
        <f t="shared" si="245"/>
        <v>0</v>
      </c>
      <c r="P536" s="79">
        <f t="shared" si="245"/>
        <v>0</v>
      </c>
      <c r="Q536" s="79">
        <f t="shared" si="246"/>
        <v>0</v>
      </c>
      <c r="R536" s="79">
        <f t="shared" si="246"/>
        <v>0</v>
      </c>
      <c r="S536" s="79">
        <f t="shared" si="246"/>
        <v>0</v>
      </c>
      <c r="T536" s="79">
        <f t="shared" si="246"/>
        <v>0</v>
      </c>
      <c r="U536" s="79">
        <f t="shared" si="246"/>
        <v>0</v>
      </c>
      <c r="V536" s="79">
        <f t="shared" si="246"/>
        <v>0</v>
      </c>
      <c r="W536" s="79">
        <f t="shared" si="246"/>
        <v>0</v>
      </c>
      <c r="X536" s="63">
        <f t="shared" si="246"/>
        <v>0</v>
      </c>
      <c r="Y536" s="63">
        <f t="shared" si="246"/>
        <v>0</v>
      </c>
      <c r="Z536" s="63">
        <f t="shared" si="246"/>
        <v>0</v>
      </c>
      <c r="AA536" s="63">
        <f>SUM(G536:Z536)</f>
        <v>0</v>
      </c>
      <c r="AB536" s="58" t="str">
        <f>IF(ABS(F536-AA536)&lt;0.01,"ok","err")</f>
        <v>ok</v>
      </c>
    </row>
    <row r="537" spans="1:28" hidden="1">
      <c r="A537" s="60" t="s">
        <v>1133</v>
      </c>
      <c r="D537" s="60" t="s">
        <v>571</v>
      </c>
      <c r="F537" s="76">
        <f>SUM(F534:F536)</f>
        <v>-106787.72830435807</v>
      </c>
      <c r="G537" s="76">
        <f t="shared" ref="G537:W537" si="247">SUM(G534:G536)</f>
        <v>-47455.174664828104</v>
      </c>
      <c r="H537" s="76">
        <f t="shared" si="247"/>
        <v>-13659.839930579874</v>
      </c>
      <c r="I537" s="76">
        <f t="shared" si="247"/>
        <v>0</v>
      </c>
      <c r="J537" s="76">
        <f t="shared" si="247"/>
        <v>-1213.6887391653304</v>
      </c>
      <c r="K537" s="76">
        <f t="shared" si="247"/>
        <v>-14086.809648185364</v>
      </c>
      <c r="L537" s="76">
        <f t="shared" si="247"/>
        <v>0</v>
      </c>
      <c r="M537" s="76">
        <f t="shared" si="247"/>
        <v>0</v>
      </c>
      <c r="N537" s="76">
        <f t="shared" si="247"/>
        <v>-12814.698208881206</v>
      </c>
      <c r="O537" s="76">
        <f>SUM(O534:O536)</f>
        <v>-7608.6952475666849</v>
      </c>
      <c r="P537" s="76">
        <f t="shared" si="247"/>
        <v>-7881.2209551235674</v>
      </c>
      <c r="Q537" s="76">
        <f t="shared" si="247"/>
        <v>-794.46177271937893</v>
      </c>
      <c r="R537" s="76">
        <f t="shared" si="247"/>
        <v>-415.83272188706258</v>
      </c>
      <c r="S537" s="76">
        <f t="shared" si="247"/>
        <v>-819.17218173356684</v>
      </c>
      <c r="T537" s="76">
        <f t="shared" si="247"/>
        <v>-26.199491033067705</v>
      </c>
      <c r="U537" s="76">
        <f t="shared" si="247"/>
        <v>-11.934742654880644</v>
      </c>
      <c r="V537" s="76">
        <f t="shared" si="247"/>
        <v>0</v>
      </c>
      <c r="W537" s="76">
        <f t="shared" si="247"/>
        <v>0</v>
      </c>
      <c r="X537" s="62">
        <f>SUM(X534:X536)</f>
        <v>0</v>
      </c>
      <c r="Y537" s="62">
        <f>SUM(Y534:Y536)</f>
        <v>0</v>
      </c>
      <c r="Z537" s="62">
        <f>SUM(Z534:Z536)</f>
        <v>0</v>
      </c>
      <c r="AA537" s="64">
        <f>SUM(G537:Z537)</f>
        <v>-106787.7283043581</v>
      </c>
      <c r="AB537" s="58" t="str">
        <f>IF(ABS(F537-AA537)&lt;0.01,"ok","err")</f>
        <v>ok</v>
      </c>
    </row>
    <row r="538" spans="1:28">
      <c r="F538" s="79"/>
      <c r="G538" s="79"/>
    </row>
    <row r="539" spans="1:28" ht="15">
      <c r="A539" s="65" t="s">
        <v>348</v>
      </c>
      <c r="F539" s="79"/>
      <c r="G539" s="79"/>
    </row>
    <row r="540" spans="1:28">
      <c r="A540" s="68" t="s">
        <v>372</v>
      </c>
      <c r="C540" s="60" t="s">
        <v>533</v>
      </c>
      <c r="D540" s="60" t="s">
        <v>572</v>
      </c>
      <c r="E540" s="60" t="s">
        <v>1368</v>
      </c>
      <c r="F540" s="76">
        <f>VLOOKUP(C540,'Functional Assignment'!$C$2:$AP$780,'Functional Assignment'!$Q$2,)</f>
        <v>0</v>
      </c>
      <c r="G540" s="76">
        <f t="shared" ref="G540:Z540" si="248">IF(VLOOKUP($E540,$D$6:$AN$1131,3,)=0,0,(VLOOKUP($E540,$D$6:$AN$1131,G$2,)/VLOOKUP($E540,$D$6:$AN$1131,3,))*$F540)</f>
        <v>0</v>
      </c>
      <c r="H540" s="76">
        <f t="shared" si="248"/>
        <v>0</v>
      </c>
      <c r="I540" s="76">
        <f t="shared" si="248"/>
        <v>0</v>
      </c>
      <c r="J540" s="76">
        <f t="shared" si="248"/>
        <v>0</v>
      </c>
      <c r="K540" s="76">
        <f t="shared" si="248"/>
        <v>0</v>
      </c>
      <c r="L540" s="76">
        <f t="shared" si="248"/>
        <v>0</v>
      </c>
      <c r="M540" s="76">
        <f t="shared" si="248"/>
        <v>0</v>
      </c>
      <c r="N540" s="76">
        <f t="shared" si="248"/>
        <v>0</v>
      </c>
      <c r="O540" s="76">
        <f t="shared" si="248"/>
        <v>0</v>
      </c>
      <c r="P540" s="76">
        <f t="shared" si="248"/>
        <v>0</v>
      </c>
      <c r="Q540" s="76">
        <f t="shared" si="248"/>
        <v>0</v>
      </c>
      <c r="R540" s="76">
        <f t="shared" si="248"/>
        <v>0</v>
      </c>
      <c r="S540" s="76">
        <f t="shared" si="248"/>
        <v>0</v>
      </c>
      <c r="T540" s="76">
        <f t="shared" si="248"/>
        <v>0</v>
      </c>
      <c r="U540" s="76">
        <f t="shared" si="248"/>
        <v>0</v>
      </c>
      <c r="V540" s="76">
        <f t="shared" si="248"/>
        <v>0</v>
      </c>
      <c r="W540" s="76">
        <f t="shared" si="248"/>
        <v>0</v>
      </c>
      <c r="X540" s="62">
        <f t="shared" si="248"/>
        <v>0</v>
      </c>
      <c r="Y540" s="62">
        <f t="shared" si="248"/>
        <v>0</v>
      </c>
      <c r="Z540" s="62">
        <f t="shared" si="248"/>
        <v>0</v>
      </c>
      <c r="AA540" s="64">
        <f>SUM(G540:Z540)</f>
        <v>0</v>
      </c>
      <c r="AB540" s="58" t="str">
        <f>IF(ABS(F540-AA540)&lt;0.01,"ok","err")</f>
        <v>ok</v>
      </c>
    </row>
    <row r="541" spans="1:28">
      <c r="F541" s="79"/>
    </row>
    <row r="542" spans="1:28" ht="15">
      <c r="A542" s="65" t="s">
        <v>349</v>
      </c>
      <c r="F542" s="79"/>
      <c r="G542" s="79"/>
    </row>
    <row r="543" spans="1:28">
      <c r="A543" s="68" t="s">
        <v>374</v>
      </c>
      <c r="C543" s="60" t="s">
        <v>533</v>
      </c>
      <c r="D543" s="60" t="s">
        <v>573</v>
      </c>
      <c r="E543" s="60" t="s">
        <v>1368</v>
      </c>
      <c r="F543" s="76">
        <f>VLOOKUP(C543,'Functional Assignment'!$C$2:$AP$780,'Functional Assignment'!$R$2,)</f>
        <v>-37188.080668584982</v>
      </c>
      <c r="G543" s="76">
        <f t="shared" ref="G543:Z543" si="249">IF(VLOOKUP($E543,$D$6:$AN$1131,3,)=0,0,(VLOOKUP($E543,$D$6:$AN$1131,G$2,)/VLOOKUP($E543,$D$6:$AN$1131,3,))*$F543)</f>
        <v>-17842.778103023131</v>
      </c>
      <c r="H543" s="76">
        <f t="shared" si="249"/>
        <v>-5135.9940096226055</v>
      </c>
      <c r="I543" s="76">
        <f t="shared" si="249"/>
        <v>0</v>
      </c>
      <c r="J543" s="76">
        <f t="shared" si="249"/>
        <v>-456.33756512364425</v>
      </c>
      <c r="K543" s="76">
        <f t="shared" si="249"/>
        <v>-5296.5313162862694</v>
      </c>
      <c r="L543" s="76">
        <f t="shared" si="249"/>
        <v>0</v>
      </c>
      <c r="M543" s="76">
        <f t="shared" si="249"/>
        <v>0</v>
      </c>
      <c r="N543" s="76">
        <f t="shared" si="249"/>
        <v>-4818.2272684319396</v>
      </c>
      <c r="O543" s="76">
        <f t="shared" si="249"/>
        <v>-2860.810478830228</v>
      </c>
      <c r="P543" s="76">
        <f t="shared" si="249"/>
        <v>0</v>
      </c>
      <c r="Q543" s="76">
        <f t="shared" si="249"/>
        <v>-298.7114729233632</v>
      </c>
      <c r="R543" s="76">
        <f t="shared" si="249"/>
        <v>-156.34988253675334</v>
      </c>
      <c r="S543" s="76">
        <f t="shared" si="249"/>
        <v>-308.00239531463359</v>
      </c>
      <c r="T543" s="76">
        <f t="shared" si="249"/>
        <v>-9.8508056964679724</v>
      </c>
      <c r="U543" s="76">
        <f t="shared" si="249"/>
        <v>-4.4873707959513602</v>
      </c>
      <c r="V543" s="76">
        <f t="shared" si="249"/>
        <v>0</v>
      </c>
      <c r="W543" s="76">
        <f t="shared" si="249"/>
        <v>0</v>
      </c>
      <c r="X543" s="62">
        <f t="shared" si="249"/>
        <v>0</v>
      </c>
      <c r="Y543" s="62">
        <f t="shared" si="249"/>
        <v>0</v>
      </c>
      <c r="Z543" s="62">
        <f t="shared" si="249"/>
        <v>0</v>
      </c>
      <c r="AA543" s="64">
        <f>SUM(G543:Z543)</f>
        <v>-37188.080668584997</v>
      </c>
      <c r="AB543" s="58" t="str">
        <f>IF(ABS(F543-AA543)&lt;0.01,"ok","err")</f>
        <v>ok</v>
      </c>
    </row>
    <row r="544" spans="1:28">
      <c r="F544" s="79"/>
    </row>
    <row r="545" spans="1:28" ht="15">
      <c r="A545" s="65" t="s">
        <v>373</v>
      </c>
      <c r="F545" s="79"/>
    </row>
    <row r="546" spans="1:28">
      <c r="A546" s="68" t="s">
        <v>623</v>
      </c>
      <c r="C546" s="60" t="s">
        <v>533</v>
      </c>
      <c r="D546" s="60" t="s">
        <v>574</v>
      </c>
      <c r="E546" s="60" t="s">
        <v>1368</v>
      </c>
      <c r="F546" s="76">
        <f>VLOOKUP(C546,'Functional Assignment'!$C$2:$AP$780,'Functional Assignment'!$S$2,)</f>
        <v>0</v>
      </c>
      <c r="G546" s="76">
        <f t="shared" ref="G546:P550" si="250">IF(VLOOKUP($E546,$D$6:$AN$1131,3,)=0,0,(VLOOKUP($E546,$D$6:$AN$1131,G$2,)/VLOOKUP($E546,$D$6:$AN$1131,3,))*$F546)</f>
        <v>0</v>
      </c>
      <c r="H546" s="76">
        <f t="shared" si="250"/>
        <v>0</v>
      </c>
      <c r="I546" s="76">
        <f t="shared" si="250"/>
        <v>0</v>
      </c>
      <c r="J546" s="76">
        <f t="shared" si="250"/>
        <v>0</v>
      </c>
      <c r="K546" s="76">
        <f t="shared" si="250"/>
        <v>0</v>
      </c>
      <c r="L546" s="76">
        <f t="shared" si="250"/>
        <v>0</v>
      </c>
      <c r="M546" s="76">
        <f t="shared" si="250"/>
        <v>0</v>
      </c>
      <c r="N546" s="76">
        <f t="shared" si="250"/>
        <v>0</v>
      </c>
      <c r="O546" s="76">
        <f t="shared" si="250"/>
        <v>0</v>
      </c>
      <c r="P546" s="76">
        <f t="shared" si="250"/>
        <v>0</v>
      </c>
      <c r="Q546" s="76">
        <f t="shared" ref="Q546:Z550" si="251">IF(VLOOKUP($E546,$D$6:$AN$1131,3,)=0,0,(VLOOKUP($E546,$D$6:$AN$1131,Q$2,)/VLOOKUP($E546,$D$6:$AN$1131,3,))*$F546)</f>
        <v>0</v>
      </c>
      <c r="R546" s="76">
        <f t="shared" si="251"/>
        <v>0</v>
      </c>
      <c r="S546" s="76">
        <f t="shared" si="251"/>
        <v>0</v>
      </c>
      <c r="T546" s="76">
        <f t="shared" si="251"/>
        <v>0</v>
      </c>
      <c r="U546" s="76">
        <f t="shared" si="251"/>
        <v>0</v>
      </c>
      <c r="V546" s="76">
        <f t="shared" si="251"/>
        <v>0</v>
      </c>
      <c r="W546" s="76">
        <f t="shared" si="251"/>
        <v>0</v>
      </c>
      <c r="X546" s="62">
        <f t="shared" si="251"/>
        <v>0</v>
      </c>
      <c r="Y546" s="62">
        <f t="shared" si="251"/>
        <v>0</v>
      </c>
      <c r="Z546" s="62">
        <f t="shared" si="251"/>
        <v>0</v>
      </c>
      <c r="AA546" s="64">
        <f t="shared" ref="AA546:AA551" si="252">SUM(G546:Z546)</f>
        <v>0</v>
      </c>
      <c r="AB546" s="58" t="str">
        <f t="shared" ref="AB546:AB551" si="253">IF(ABS(F546-AA546)&lt;0.01,"ok","err")</f>
        <v>ok</v>
      </c>
    </row>
    <row r="547" spans="1:28">
      <c r="A547" s="68" t="s">
        <v>624</v>
      </c>
      <c r="C547" s="60" t="s">
        <v>533</v>
      </c>
      <c r="D547" s="60" t="s">
        <v>575</v>
      </c>
      <c r="E547" s="60" t="s">
        <v>1368</v>
      </c>
      <c r="F547" s="79">
        <f>VLOOKUP(C547,'Functional Assignment'!$C$2:$AP$780,'Functional Assignment'!$T$2,)</f>
        <v>-63595.443111471155</v>
      </c>
      <c r="G547" s="79">
        <f t="shared" si="250"/>
        <v>-30512.985865387149</v>
      </c>
      <c r="H547" s="79">
        <f t="shared" si="250"/>
        <v>-8783.0780451041574</v>
      </c>
      <c r="I547" s="79">
        <f t="shared" si="250"/>
        <v>0</v>
      </c>
      <c r="J547" s="79">
        <f t="shared" si="250"/>
        <v>-780.38417527053934</v>
      </c>
      <c r="K547" s="79">
        <f t="shared" si="250"/>
        <v>-9057.6133523759399</v>
      </c>
      <c r="L547" s="79">
        <f t="shared" si="250"/>
        <v>0</v>
      </c>
      <c r="M547" s="79">
        <f t="shared" si="250"/>
        <v>0</v>
      </c>
      <c r="N547" s="79">
        <f t="shared" si="250"/>
        <v>-8239.6642321622057</v>
      </c>
      <c r="O547" s="79">
        <f t="shared" si="250"/>
        <v>-4892.2801819358046</v>
      </c>
      <c r="P547" s="79">
        <f t="shared" si="250"/>
        <v>0</v>
      </c>
      <c r="Q547" s="79">
        <f t="shared" si="251"/>
        <v>-510.82734417883393</v>
      </c>
      <c r="R547" s="79">
        <f t="shared" si="251"/>
        <v>-267.37438129607119</v>
      </c>
      <c r="S547" s="79">
        <f t="shared" si="251"/>
        <v>-526.71577713273643</v>
      </c>
      <c r="T547" s="79">
        <f t="shared" si="251"/>
        <v>-16.845890995420447</v>
      </c>
      <c r="U547" s="79">
        <f t="shared" si="251"/>
        <v>-7.6738656323039649</v>
      </c>
      <c r="V547" s="79">
        <f t="shared" si="251"/>
        <v>0</v>
      </c>
      <c r="W547" s="79">
        <f t="shared" si="251"/>
        <v>0</v>
      </c>
      <c r="X547" s="63">
        <f t="shared" si="251"/>
        <v>0</v>
      </c>
      <c r="Y547" s="63">
        <f t="shared" si="251"/>
        <v>0</v>
      </c>
      <c r="Z547" s="63">
        <f t="shared" si="251"/>
        <v>0</v>
      </c>
      <c r="AA547" s="63">
        <f t="shared" si="252"/>
        <v>-63595.44311147117</v>
      </c>
      <c r="AB547" s="58" t="str">
        <f t="shared" si="253"/>
        <v>ok</v>
      </c>
    </row>
    <row r="548" spans="1:28">
      <c r="A548" s="68" t="s">
        <v>625</v>
      </c>
      <c r="C548" s="60" t="s">
        <v>533</v>
      </c>
      <c r="D548" s="60" t="s">
        <v>576</v>
      </c>
      <c r="E548" s="60" t="s">
        <v>698</v>
      </c>
      <c r="F548" s="79">
        <f>VLOOKUP(C548,'Functional Assignment'!$C$2:$AP$780,'Functional Assignment'!$U$2,)</f>
        <v>-101203.98635674978</v>
      </c>
      <c r="G548" s="79">
        <f t="shared" si="250"/>
        <v>-87249.296150976064</v>
      </c>
      <c r="H548" s="79">
        <f t="shared" si="250"/>
        <v>-10839.871036795384</v>
      </c>
      <c r="I548" s="79">
        <f t="shared" si="250"/>
        <v>0</v>
      </c>
      <c r="J548" s="79">
        <f t="shared" si="250"/>
        <v>-17.252928236825337</v>
      </c>
      <c r="K548" s="79">
        <f t="shared" si="250"/>
        <v>-676.73812262269746</v>
      </c>
      <c r="L548" s="79">
        <f t="shared" si="250"/>
        <v>0</v>
      </c>
      <c r="M548" s="79">
        <f t="shared" si="250"/>
        <v>0</v>
      </c>
      <c r="N548" s="79">
        <f t="shared" si="250"/>
        <v>-25.280332347014905</v>
      </c>
      <c r="O548" s="79">
        <f t="shared" si="250"/>
        <v>-66.136224907830453</v>
      </c>
      <c r="P548" s="79">
        <f t="shared" si="250"/>
        <v>0</v>
      </c>
      <c r="Q548" s="79">
        <f t="shared" si="251"/>
        <v>-0.23962400328924077</v>
      </c>
      <c r="R548" s="79">
        <f t="shared" si="251"/>
        <v>-0.23962400328924077</v>
      </c>
      <c r="S548" s="79">
        <f t="shared" si="251"/>
        <v>-2300.4436813552202</v>
      </c>
      <c r="T548" s="79">
        <f t="shared" si="251"/>
        <v>-4.393106726969414</v>
      </c>
      <c r="U548" s="79">
        <f t="shared" si="251"/>
        <v>-24.09552477519588</v>
      </c>
      <c r="V548" s="79">
        <f t="shared" si="251"/>
        <v>0</v>
      </c>
      <c r="W548" s="79">
        <f t="shared" si="251"/>
        <v>0</v>
      </c>
      <c r="X548" s="63">
        <f t="shared" si="251"/>
        <v>0</v>
      </c>
      <c r="Y548" s="63">
        <f t="shared" si="251"/>
        <v>0</v>
      </c>
      <c r="Z548" s="63">
        <f t="shared" si="251"/>
        <v>0</v>
      </c>
      <c r="AA548" s="63">
        <f t="shared" si="252"/>
        <v>-101203.98635674978</v>
      </c>
      <c r="AB548" s="58" t="str">
        <f t="shared" si="253"/>
        <v>ok</v>
      </c>
    </row>
    <row r="549" spans="1:28">
      <c r="A549" s="68" t="s">
        <v>626</v>
      </c>
      <c r="C549" s="60" t="s">
        <v>533</v>
      </c>
      <c r="D549" s="60" t="s">
        <v>577</v>
      </c>
      <c r="E549" s="60" t="s">
        <v>678</v>
      </c>
      <c r="F549" s="79">
        <f>VLOOKUP(C549,'Functional Assignment'!$C$2:$AP$780,'Functional Assignment'!$V$2,)</f>
        <v>-17482.626304005174</v>
      </c>
      <c r="G549" s="79">
        <f t="shared" si="250"/>
        <v>-14671.5601827562</v>
      </c>
      <c r="H549" s="79">
        <f t="shared" si="250"/>
        <v>-2684.829339934985</v>
      </c>
      <c r="I549" s="79">
        <f t="shared" si="250"/>
        <v>0</v>
      </c>
      <c r="J549" s="79">
        <f t="shared" si="250"/>
        <v>0</v>
      </c>
      <c r="K549" s="79">
        <f t="shared" si="250"/>
        <v>0</v>
      </c>
      <c r="L549" s="79">
        <f t="shared" si="250"/>
        <v>0</v>
      </c>
      <c r="M549" s="79">
        <f t="shared" si="250"/>
        <v>0</v>
      </c>
      <c r="N549" s="79">
        <f t="shared" si="250"/>
        <v>0</v>
      </c>
      <c r="O549" s="79">
        <f t="shared" si="250"/>
        <v>0</v>
      </c>
      <c r="P549" s="79">
        <f t="shared" si="250"/>
        <v>0</v>
      </c>
      <c r="Q549" s="79">
        <f t="shared" si="251"/>
        <v>0</v>
      </c>
      <c r="R549" s="79">
        <f t="shared" si="251"/>
        <v>0</v>
      </c>
      <c r="S549" s="79">
        <f t="shared" si="251"/>
        <v>-120.62158605585792</v>
      </c>
      <c r="T549" s="79">
        <f t="shared" si="251"/>
        <v>-3.857826514051117</v>
      </c>
      <c r="U549" s="79">
        <f t="shared" si="251"/>
        <v>-1.7573687440822119</v>
      </c>
      <c r="V549" s="79">
        <f t="shared" si="251"/>
        <v>0</v>
      </c>
      <c r="W549" s="79">
        <f t="shared" si="251"/>
        <v>0</v>
      </c>
      <c r="X549" s="63">
        <f t="shared" si="251"/>
        <v>0</v>
      </c>
      <c r="Y549" s="63">
        <f t="shared" si="251"/>
        <v>0</v>
      </c>
      <c r="Z549" s="63">
        <f t="shared" si="251"/>
        <v>0</v>
      </c>
      <c r="AA549" s="63">
        <f t="shared" si="252"/>
        <v>-17482.626304005174</v>
      </c>
      <c r="AB549" s="58" t="str">
        <f t="shared" si="253"/>
        <v>ok</v>
      </c>
    </row>
    <row r="550" spans="1:28">
      <c r="A550" s="68" t="s">
        <v>627</v>
      </c>
      <c r="C550" s="60" t="s">
        <v>533</v>
      </c>
      <c r="D550" s="60" t="s">
        <v>578</v>
      </c>
      <c r="E550" s="60" t="s">
        <v>697</v>
      </c>
      <c r="F550" s="79">
        <f>VLOOKUP(C550,'Functional Assignment'!$C$2:$AP$780,'Functional Assignment'!$W$2,)</f>
        <v>-26567.579103227159</v>
      </c>
      <c r="G550" s="79">
        <f t="shared" si="250"/>
        <v>-23083.513716343874</v>
      </c>
      <c r="H550" s="79">
        <f t="shared" si="250"/>
        <v>-2867.9006341584764</v>
      </c>
      <c r="I550" s="79">
        <f t="shared" si="250"/>
        <v>0</v>
      </c>
      <c r="J550" s="79">
        <f t="shared" si="250"/>
        <v>0</v>
      </c>
      <c r="K550" s="79">
        <f t="shared" si="250"/>
        <v>0</v>
      </c>
      <c r="L550" s="79">
        <f t="shared" si="250"/>
        <v>0</v>
      </c>
      <c r="M550" s="79">
        <f t="shared" si="250"/>
        <v>0</v>
      </c>
      <c r="N550" s="79">
        <f t="shared" si="250"/>
        <v>0</v>
      </c>
      <c r="O550" s="79">
        <f t="shared" si="250"/>
        <v>0</v>
      </c>
      <c r="P550" s="79">
        <f t="shared" si="250"/>
        <v>0</v>
      </c>
      <c r="Q550" s="79">
        <f t="shared" si="251"/>
        <v>0</v>
      </c>
      <c r="R550" s="79">
        <f t="shared" si="251"/>
        <v>0</v>
      </c>
      <c r="S550" s="79">
        <f t="shared" si="251"/>
        <v>-608.62752612183408</v>
      </c>
      <c r="T550" s="79">
        <f t="shared" si="251"/>
        <v>-1.1622826070010255</v>
      </c>
      <c r="U550" s="79">
        <f t="shared" si="251"/>
        <v>-6.3749439959753227</v>
      </c>
      <c r="V550" s="79">
        <f t="shared" si="251"/>
        <v>0</v>
      </c>
      <c r="W550" s="79">
        <f t="shared" si="251"/>
        <v>0</v>
      </c>
      <c r="X550" s="63">
        <f t="shared" si="251"/>
        <v>0</v>
      </c>
      <c r="Y550" s="63">
        <f t="shared" si="251"/>
        <v>0</v>
      </c>
      <c r="Z550" s="63">
        <f t="shared" si="251"/>
        <v>0</v>
      </c>
      <c r="AA550" s="63">
        <f t="shared" si="252"/>
        <v>-26567.579103227159</v>
      </c>
      <c r="AB550" s="58" t="str">
        <f t="shared" si="253"/>
        <v>ok</v>
      </c>
    </row>
    <row r="551" spans="1:28">
      <c r="A551" s="60" t="s">
        <v>378</v>
      </c>
      <c r="D551" s="60" t="s">
        <v>579</v>
      </c>
      <c r="F551" s="76">
        <f>SUM(F546:F550)</f>
        <v>-208849.63487545328</v>
      </c>
      <c r="G551" s="76">
        <f t="shared" ref="G551:W551" si="254">SUM(G546:G550)</f>
        <v>-155517.3559154633</v>
      </c>
      <c r="H551" s="76">
        <f t="shared" si="254"/>
        <v>-25175.679055993001</v>
      </c>
      <c r="I551" s="76">
        <f t="shared" si="254"/>
        <v>0</v>
      </c>
      <c r="J551" s="76">
        <f t="shared" si="254"/>
        <v>-797.63710350736471</v>
      </c>
      <c r="K551" s="76">
        <f t="shared" si="254"/>
        <v>-9734.3514749986371</v>
      </c>
      <c r="L551" s="76">
        <f t="shared" si="254"/>
        <v>0</v>
      </c>
      <c r="M551" s="76">
        <f t="shared" si="254"/>
        <v>0</v>
      </c>
      <c r="N551" s="76">
        <f t="shared" si="254"/>
        <v>-8264.9445645092201</v>
      </c>
      <c r="O551" s="76">
        <f>SUM(O546:O550)</f>
        <v>-4958.4164068436348</v>
      </c>
      <c r="P551" s="76">
        <f t="shared" si="254"/>
        <v>0</v>
      </c>
      <c r="Q551" s="76">
        <f t="shared" si="254"/>
        <v>-511.06696818212316</v>
      </c>
      <c r="R551" s="76">
        <f t="shared" si="254"/>
        <v>-267.61400529936043</v>
      </c>
      <c r="S551" s="76">
        <f t="shared" si="254"/>
        <v>-3556.4085706656488</v>
      </c>
      <c r="T551" s="76">
        <f t="shared" si="254"/>
        <v>-26.259106843442002</v>
      </c>
      <c r="U551" s="76">
        <f t="shared" si="254"/>
        <v>-39.901703147557377</v>
      </c>
      <c r="V551" s="76">
        <f t="shared" si="254"/>
        <v>0</v>
      </c>
      <c r="W551" s="76">
        <f t="shared" si="254"/>
        <v>0</v>
      </c>
      <c r="X551" s="62">
        <f>SUM(X546:X550)</f>
        <v>0</v>
      </c>
      <c r="Y551" s="62">
        <f>SUM(Y546:Y550)</f>
        <v>0</v>
      </c>
      <c r="Z551" s="62">
        <f>SUM(Z546:Z550)</f>
        <v>0</v>
      </c>
      <c r="AA551" s="64">
        <f t="shared" si="252"/>
        <v>-208849.63487545334</v>
      </c>
      <c r="AB551" s="58" t="str">
        <f t="shared" si="253"/>
        <v>ok</v>
      </c>
    </row>
    <row r="552" spans="1:28">
      <c r="F552" s="79"/>
    </row>
    <row r="553" spans="1:28" ht="15">
      <c r="A553" s="65" t="s">
        <v>634</v>
      </c>
      <c r="F553" s="79"/>
    </row>
    <row r="554" spans="1:28">
      <c r="A554" s="68" t="s">
        <v>1090</v>
      </c>
      <c r="C554" s="60" t="s">
        <v>533</v>
      </c>
      <c r="D554" s="60" t="s">
        <v>580</v>
      </c>
      <c r="E554" s="60" t="s">
        <v>1336</v>
      </c>
      <c r="F554" s="76">
        <f>VLOOKUP(C554,'Functional Assignment'!$C$2:$AP$780,'Functional Assignment'!$X$2,)</f>
        <v>-24166.2641652864</v>
      </c>
      <c r="G554" s="76">
        <f t="shared" ref="G554:P555" si="255">IF(VLOOKUP($E554,$D$6:$AN$1131,3,)=0,0,(VLOOKUP($E554,$D$6:$AN$1131,G$2,)/VLOOKUP($E554,$D$6:$AN$1131,3,))*$F554)</f>
        <v>-16766.57175353901</v>
      </c>
      <c r="H554" s="76">
        <f t="shared" si="255"/>
        <v>-3068.207008204502</v>
      </c>
      <c r="I554" s="76">
        <f t="shared" si="255"/>
        <v>0</v>
      </c>
      <c r="J554" s="76">
        <f t="shared" si="255"/>
        <v>0</v>
      </c>
      <c r="K554" s="76">
        <f t="shared" si="255"/>
        <v>-2702.1916421218257</v>
      </c>
      <c r="L554" s="76">
        <f t="shared" si="255"/>
        <v>0</v>
      </c>
      <c r="M554" s="76">
        <f t="shared" si="255"/>
        <v>0</v>
      </c>
      <c r="N554" s="76">
        <f t="shared" si="255"/>
        <v>0</v>
      </c>
      <c r="O554" s="76">
        <f t="shared" si="255"/>
        <v>-1485.0311182207577</v>
      </c>
      <c r="P554" s="76">
        <f t="shared" si="255"/>
        <v>0</v>
      </c>
      <c r="Q554" s="76">
        <f t="shared" ref="Q554:Z555" si="256">IF(VLOOKUP($E554,$D$6:$AN$1131,3,)=0,0,(VLOOKUP($E554,$D$6:$AN$1131,Q$2,)/VLOOKUP($E554,$D$6:$AN$1131,3,))*$F554)</f>
        <v>0</v>
      </c>
      <c r="R554" s="76">
        <f t="shared" si="256"/>
        <v>0</v>
      </c>
      <c r="S554" s="76">
        <f t="shared" si="256"/>
        <v>-137.84563144199242</v>
      </c>
      <c r="T554" s="76">
        <f t="shared" si="256"/>
        <v>-4.4087012052451016</v>
      </c>
      <c r="U554" s="76">
        <f t="shared" si="256"/>
        <v>-2.0083105530734242</v>
      </c>
      <c r="V554" s="76">
        <f t="shared" si="256"/>
        <v>0</v>
      </c>
      <c r="W554" s="76">
        <f t="shared" si="256"/>
        <v>0</v>
      </c>
      <c r="X554" s="62">
        <f t="shared" si="256"/>
        <v>0</v>
      </c>
      <c r="Y554" s="62">
        <f t="shared" si="256"/>
        <v>0</v>
      </c>
      <c r="Z554" s="62">
        <f t="shared" si="256"/>
        <v>0</v>
      </c>
      <c r="AA554" s="64">
        <f>SUM(G554:Z554)</f>
        <v>-24166.264165286408</v>
      </c>
      <c r="AB554" s="58" t="str">
        <f>IF(ABS(F554-AA554)&lt;0.01,"ok","err")</f>
        <v>ok</v>
      </c>
    </row>
    <row r="555" spans="1:28">
      <c r="A555" s="68" t="s">
        <v>1093</v>
      </c>
      <c r="C555" s="60" t="s">
        <v>533</v>
      </c>
      <c r="D555" s="60" t="s">
        <v>581</v>
      </c>
      <c r="E555" s="60" t="s">
        <v>1334</v>
      </c>
      <c r="F555" s="79">
        <f>VLOOKUP(C555,'Functional Assignment'!$C$2:$AP$780,'Functional Assignment'!$Y$2,)</f>
        <v>-16900.733733508026</v>
      </c>
      <c r="G555" s="79">
        <f t="shared" si="255"/>
        <v>-14576.541393294061</v>
      </c>
      <c r="H555" s="79">
        <f t="shared" si="255"/>
        <v>-1810.9925906152966</v>
      </c>
      <c r="I555" s="79">
        <f t="shared" si="255"/>
        <v>0</v>
      </c>
      <c r="J555" s="79">
        <f t="shared" si="255"/>
        <v>0</v>
      </c>
      <c r="K555" s="79">
        <f t="shared" si="255"/>
        <v>-113.06109839282077</v>
      </c>
      <c r="L555" s="79">
        <f t="shared" si="255"/>
        <v>0</v>
      </c>
      <c r="M555" s="79">
        <f t="shared" si="255"/>
        <v>0</v>
      </c>
      <c r="N555" s="79">
        <f t="shared" si="255"/>
        <v>0</v>
      </c>
      <c r="O555" s="79">
        <f t="shared" si="255"/>
        <v>-11.049228618383665</v>
      </c>
      <c r="P555" s="79">
        <f t="shared" si="255"/>
        <v>0</v>
      </c>
      <c r="Q555" s="79">
        <f t="shared" si="256"/>
        <v>0</v>
      </c>
      <c r="R555" s="79">
        <f t="shared" si="256"/>
        <v>0</v>
      </c>
      <c r="S555" s="79">
        <f t="shared" si="256"/>
        <v>-384.32989174137902</v>
      </c>
      <c r="T555" s="79">
        <f t="shared" si="256"/>
        <v>-0.7339463454240357</v>
      </c>
      <c r="U555" s="79">
        <f t="shared" si="256"/>
        <v>-4.0255845006591056</v>
      </c>
      <c r="V555" s="79">
        <f t="shared" si="256"/>
        <v>0</v>
      </c>
      <c r="W555" s="79">
        <f t="shared" si="256"/>
        <v>0</v>
      </c>
      <c r="X555" s="63">
        <f t="shared" si="256"/>
        <v>0</v>
      </c>
      <c r="Y555" s="63">
        <f t="shared" si="256"/>
        <v>0</v>
      </c>
      <c r="Z555" s="63">
        <f t="shared" si="256"/>
        <v>0</v>
      </c>
      <c r="AA555" s="63">
        <f>SUM(G555:Z555)</f>
        <v>-16900.733733508019</v>
      </c>
      <c r="AB555" s="58" t="str">
        <f>IF(ABS(F555-AA555)&lt;0.01,"ok","err")</f>
        <v>ok</v>
      </c>
    </row>
    <row r="556" spans="1:28">
      <c r="A556" s="60" t="s">
        <v>712</v>
      </c>
      <c r="D556" s="60" t="s">
        <v>582</v>
      </c>
      <c r="F556" s="76">
        <f>F554+F555</f>
        <v>-41066.997898794427</v>
      </c>
      <c r="G556" s="76">
        <f t="shared" ref="G556:W556" si="257">G554+G555</f>
        <v>-31343.113146833071</v>
      </c>
      <c r="H556" s="76">
        <f t="shared" si="257"/>
        <v>-4879.1995988197987</v>
      </c>
      <c r="I556" s="76">
        <f t="shared" si="257"/>
        <v>0</v>
      </c>
      <c r="J556" s="76">
        <f t="shared" si="257"/>
        <v>0</v>
      </c>
      <c r="K556" s="76">
        <f t="shared" si="257"/>
        <v>-2815.2527405146466</v>
      </c>
      <c r="L556" s="76">
        <f t="shared" si="257"/>
        <v>0</v>
      </c>
      <c r="M556" s="76">
        <f t="shared" si="257"/>
        <v>0</v>
      </c>
      <c r="N556" s="76">
        <f t="shared" si="257"/>
        <v>0</v>
      </c>
      <c r="O556" s="76">
        <f>O554+O555</f>
        <v>-1496.0803468391414</v>
      </c>
      <c r="P556" s="76">
        <f t="shared" si="257"/>
        <v>0</v>
      </c>
      <c r="Q556" s="76">
        <f t="shared" si="257"/>
        <v>0</v>
      </c>
      <c r="R556" s="76">
        <f t="shared" si="257"/>
        <v>0</v>
      </c>
      <c r="S556" s="76">
        <f t="shared" si="257"/>
        <v>-522.17552318337141</v>
      </c>
      <c r="T556" s="76">
        <f t="shared" si="257"/>
        <v>-5.1426475506691371</v>
      </c>
      <c r="U556" s="76">
        <f t="shared" si="257"/>
        <v>-6.0338950537325298</v>
      </c>
      <c r="V556" s="76">
        <f t="shared" si="257"/>
        <v>0</v>
      </c>
      <c r="W556" s="76">
        <f t="shared" si="257"/>
        <v>0</v>
      </c>
      <c r="X556" s="62">
        <f>X554+X555</f>
        <v>0</v>
      </c>
      <c r="Y556" s="62">
        <f>Y554+Y555</f>
        <v>0</v>
      </c>
      <c r="Z556" s="62">
        <f>Z554+Z555</f>
        <v>0</v>
      </c>
      <c r="AA556" s="64">
        <f>SUM(G556:Z556)</f>
        <v>-41066.997898794427</v>
      </c>
      <c r="AB556" s="58" t="str">
        <f>IF(ABS(F556-AA556)&lt;0.01,"ok","err")</f>
        <v>ok</v>
      </c>
    </row>
    <row r="557" spans="1:28">
      <c r="F557" s="79"/>
    </row>
    <row r="558" spans="1:28" ht="15">
      <c r="A558" s="65" t="s">
        <v>354</v>
      </c>
      <c r="F558" s="79"/>
    </row>
    <row r="559" spans="1:28">
      <c r="A559" s="68" t="s">
        <v>1093</v>
      </c>
      <c r="C559" s="60" t="s">
        <v>533</v>
      </c>
      <c r="D559" s="60" t="s">
        <v>583</v>
      </c>
      <c r="E559" s="60" t="s">
        <v>1095</v>
      </c>
      <c r="F559" s="76">
        <f>VLOOKUP(C559,'Functional Assignment'!$C$2:$AP$780,'Functional Assignment'!$Z$2,)</f>
        <v>-8393.220375975623</v>
      </c>
      <c r="G559" s="76">
        <f t="shared" ref="G559:Z559" si="258">IF(VLOOKUP($E559,$D$6:$AN$1131,3,)=0,0,(VLOOKUP($E559,$D$6:$AN$1131,G$2,)/VLOOKUP($E559,$D$6:$AN$1131,3,))*$F559)</f>
        <v>-6451.1668352060151</v>
      </c>
      <c r="H559" s="76">
        <f t="shared" si="258"/>
        <v>-1623.5539466342309</v>
      </c>
      <c r="I559" s="76">
        <f t="shared" si="258"/>
        <v>0</v>
      </c>
      <c r="J559" s="76">
        <f t="shared" si="258"/>
        <v>0</v>
      </c>
      <c r="K559" s="76">
        <f t="shared" si="258"/>
        <v>-283.23938864430647</v>
      </c>
      <c r="L559" s="76">
        <f t="shared" si="258"/>
        <v>0</v>
      </c>
      <c r="M559" s="76">
        <f t="shared" si="258"/>
        <v>0</v>
      </c>
      <c r="N559" s="76">
        <f t="shared" si="258"/>
        <v>0</v>
      </c>
      <c r="O559" s="76">
        <f t="shared" si="258"/>
        <v>-35.260205491069982</v>
      </c>
      <c r="P559" s="76">
        <f t="shared" si="258"/>
        <v>0</v>
      </c>
      <c r="Q559" s="76">
        <f t="shared" si="258"/>
        <v>0</v>
      </c>
      <c r="R559" s="76">
        <f t="shared" si="258"/>
        <v>0</v>
      </c>
      <c r="S559" s="76">
        <f t="shared" si="258"/>
        <v>0</v>
      </c>
      <c r="T559" s="76">
        <f t="shared" si="258"/>
        <v>0</v>
      </c>
      <c r="U559" s="76">
        <f t="shared" si="258"/>
        <v>0</v>
      </c>
      <c r="V559" s="76">
        <f t="shared" si="258"/>
        <v>0</v>
      </c>
      <c r="W559" s="76">
        <f t="shared" si="258"/>
        <v>0</v>
      </c>
      <c r="X559" s="62">
        <f t="shared" si="258"/>
        <v>0</v>
      </c>
      <c r="Y559" s="62">
        <f t="shared" si="258"/>
        <v>0</v>
      </c>
      <c r="Z559" s="62">
        <f t="shared" si="258"/>
        <v>0</v>
      </c>
      <c r="AA559" s="64">
        <f>SUM(G559:Z559)</f>
        <v>-8393.2203759756212</v>
      </c>
      <c r="AB559" s="58" t="str">
        <f>IF(ABS(F559-AA559)&lt;0.01,"ok","err")</f>
        <v>ok</v>
      </c>
    </row>
    <row r="560" spans="1:28">
      <c r="F560" s="79"/>
    </row>
    <row r="561" spans="1:28" ht="15">
      <c r="A561" s="65" t="s">
        <v>353</v>
      </c>
      <c r="F561" s="79"/>
    </row>
    <row r="562" spans="1:28">
      <c r="A562" s="68" t="s">
        <v>1093</v>
      </c>
      <c r="C562" s="60" t="s">
        <v>533</v>
      </c>
      <c r="D562" s="60" t="s">
        <v>584</v>
      </c>
      <c r="E562" s="60" t="s">
        <v>1096</v>
      </c>
      <c r="F562" s="76">
        <f>VLOOKUP(C562,'Functional Assignment'!$C$2:$AP$780,'Functional Assignment'!$AA$2,)</f>
        <v>-9735.9011972790304</v>
      </c>
      <c r="G562" s="76">
        <f t="shared" ref="G562:Z562" si="259">IF(VLOOKUP($E562,$D$6:$AN$1131,3,)=0,0,(VLOOKUP($E562,$D$6:$AN$1131,G$2,)/VLOOKUP($E562,$D$6:$AN$1131,3,))*$F562)</f>
        <v>-6814.3515982562949</v>
      </c>
      <c r="H562" s="76">
        <f t="shared" si="259"/>
        <v>-2003.4584843069404</v>
      </c>
      <c r="I562" s="76">
        <f t="shared" si="259"/>
        <v>0</v>
      </c>
      <c r="J562" s="76">
        <f t="shared" si="259"/>
        <v>-77.991375500260688</v>
      </c>
      <c r="K562" s="76">
        <f t="shared" si="259"/>
        <v>-538.94943220297887</v>
      </c>
      <c r="L562" s="76">
        <f t="shared" si="259"/>
        <v>0</v>
      </c>
      <c r="M562" s="76">
        <f t="shared" si="259"/>
        <v>0</v>
      </c>
      <c r="N562" s="76">
        <f t="shared" si="259"/>
        <v>-122.12708977171101</v>
      </c>
      <c r="O562" s="76">
        <f t="shared" si="259"/>
        <v>-56.777930291417654</v>
      </c>
      <c r="P562" s="76">
        <f t="shared" si="259"/>
        <v>-99.904888800623439</v>
      </c>
      <c r="Q562" s="76">
        <f t="shared" si="259"/>
        <v>-1.1576027466512893</v>
      </c>
      <c r="R562" s="76">
        <f t="shared" si="259"/>
        <v>-1.1576027466512893</v>
      </c>
      <c r="S562" s="76">
        <f t="shared" si="259"/>
        <v>0</v>
      </c>
      <c r="T562" s="76">
        <f t="shared" si="259"/>
        <v>-3.087996998278324</v>
      </c>
      <c r="U562" s="76">
        <f t="shared" si="259"/>
        <v>-16.937195657223533</v>
      </c>
      <c r="V562" s="76">
        <f t="shared" si="259"/>
        <v>0</v>
      </c>
      <c r="W562" s="76">
        <f t="shared" si="259"/>
        <v>0</v>
      </c>
      <c r="X562" s="62">
        <f t="shared" si="259"/>
        <v>0</v>
      </c>
      <c r="Y562" s="62">
        <f t="shared" si="259"/>
        <v>0</v>
      </c>
      <c r="Z562" s="62">
        <f t="shared" si="259"/>
        <v>0</v>
      </c>
      <c r="AA562" s="64">
        <f>SUM(G562:Z562)</f>
        <v>-9735.9011972790286</v>
      </c>
      <c r="AB562" s="58" t="str">
        <f>IF(ABS(F562-AA562)&lt;0.01,"ok","err")</f>
        <v>ok</v>
      </c>
    </row>
    <row r="563" spans="1:28"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62"/>
      <c r="Y563" s="62"/>
      <c r="Z563" s="62"/>
      <c r="AA563" s="64"/>
    </row>
    <row r="564" spans="1:28" ht="15">
      <c r="A564" s="65" t="s">
        <v>371</v>
      </c>
      <c r="F564" s="79"/>
    </row>
    <row r="565" spans="1:28">
      <c r="A565" s="68" t="s">
        <v>1093</v>
      </c>
      <c r="C565" s="60" t="s">
        <v>533</v>
      </c>
      <c r="D565" s="60" t="s">
        <v>585</v>
      </c>
      <c r="E565" s="60" t="s">
        <v>1097</v>
      </c>
      <c r="F565" s="76">
        <f>VLOOKUP(C565,'Functional Assignment'!$C$2:$AP$780,'Functional Assignment'!$AB$2,)</f>
        <v>-26677.088513766957</v>
      </c>
      <c r="G565" s="76">
        <f t="shared" ref="G565:Z565" si="260">IF(VLOOKUP($E565,$D$6:$AN$1131,3,)=0,0,(VLOOKUP($E565,$D$6:$AN$1131,G$2,)/VLOOKUP($E565,$D$6:$AN$1131,3,))*$F565)</f>
        <v>0</v>
      </c>
      <c r="H565" s="76">
        <f t="shared" si="260"/>
        <v>0</v>
      </c>
      <c r="I565" s="76">
        <f t="shared" si="260"/>
        <v>0</v>
      </c>
      <c r="J565" s="76">
        <f t="shared" si="260"/>
        <v>0</v>
      </c>
      <c r="K565" s="76">
        <f t="shared" si="260"/>
        <v>0</v>
      </c>
      <c r="L565" s="76">
        <f t="shared" si="260"/>
        <v>0</v>
      </c>
      <c r="M565" s="76">
        <f t="shared" si="260"/>
        <v>0</v>
      </c>
      <c r="N565" s="76">
        <f t="shared" si="260"/>
        <v>0</v>
      </c>
      <c r="O565" s="76">
        <f t="shared" si="260"/>
        <v>0</v>
      </c>
      <c r="P565" s="76">
        <f t="shared" si="260"/>
        <v>0</v>
      </c>
      <c r="Q565" s="76">
        <f t="shared" si="260"/>
        <v>0</v>
      </c>
      <c r="R565" s="76">
        <f t="shared" si="260"/>
        <v>0</v>
      </c>
      <c r="S565" s="76">
        <f t="shared" si="260"/>
        <v>-26677.088513766957</v>
      </c>
      <c r="T565" s="76">
        <f t="shared" si="260"/>
        <v>0</v>
      </c>
      <c r="U565" s="76">
        <f t="shared" si="260"/>
        <v>0</v>
      </c>
      <c r="V565" s="76">
        <f t="shared" si="260"/>
        <v>0</v>
      </c>
      <c r="W565" s="76">
        <f t="shared" si="260"/>
        <v>0</v>
      </c>
      <c r="X565" s="62">
        <f t="shared" si="260"/>
        <v>0</v>
      </c>
      <c r="Y565" s="62">
        <f t="shared" si="260"/>
        <v>0</v>
      </c>
      <c r="Z565" s="62">
        <f t="shared" si="260"/>
        <v>0</v>
      </c>
      <c r="AA565" s="64">
        <f>SUM(G565:Z565)</f>
        <v>-26677.088513766957</v>
      </c>
      <c r="AB565" s="58" t="str">
        <f>IF(ABS(F565-AA565)&lt;0.01,"ok","err")</f>
        <v>ok</v>
      </c>
    </row>
    <row r="566" spans="1:28"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62"/>
      <c r="Y566" s="62"/>
      <c r="Z566" s="62"/>
      <c r="AA566" s="64"/>
    </row>
    <row r="567" spans="1:28" ht="15">
      <c r="A567" s="65" t="s">
        <v>1025</v>
      </c>
      <c r="F567" s="79"/>
    </row>
    <row r="568" spans="1:28">
      <c r="A568" s="68" t="s">
        <v>1093</v>
      </c>
      <c r="C568" s="60" t="s">
        <v>533</v>
      </c>
      <c r="D568" s="60" t="s">
        <v>586</v>
      </c>
      <c r="E568" s="60" t="s">
        <v>1098</v>
      </c>
      <c r="F568" s="76">
        <f>VLOOKUP(C568,'Functional Assignment'!$C$2:$AP$780,'Functional Assignment'!$AC$2,)</f>
        <v>0</v>
      </c>
      <c r="G568" s="76">
        <f t="shared" ref="G568:Z568" si="261">IF(VLOOKUP($E568,$D$6:$AN$1131,3,)=0,0,(VLOOKUP($E568,$D$6:$AN$1131,G$2,)/VLOOKUP($E568,$D$6:$AN$1131,3,))*$F568)</f>
        <v>0</v>
      </c>
      <c r="H568" s="76">
        <f t="shared" si="261"/>
        <v>0</v>
      </c>
      <c r="I568" s="76">
        <f t="shared" si="261"/>
        <v>0</v>
      </c>
      <c r="J568" s="76">
        <f t="shared" si="261"/>
        <v>0</v>
      </c>
      <c r="K568" s="76">
        <f t="shared" si="261"/>
        <v>0</v>
      </c>
      <c r="L568" s="76">
        <f t="shared" si="261"/>
        <v>0</v>
      </c>
      <c r="M568" s="76">
        <f t="shared" si="261"/>
        <v>0</v>
      </c>
      <c r="N568" s="76">
        <f t="shared" si="261"/>
        <v>0</v>
      </c>
      <c r="O568" s="76">
        <f t="shared" si="261"/>
        <v>0</v>
      </c>
      <c r="P568" s="76">
        <f t="shared" si="261"/>
        <v>0</v>
      </c>
      <c r="Q568" s="76">
        <f t="shared" si="261"/>
        <v>0</v>
      </c>
      <c r="R568" s="76">
        <f t="shared" si="261"/>
        <v>0</v>
      </c>
      <c r="S568" s="76">
        <f t="shared" si="261"/>
        <v>0</v>
      </c>
      <c r="T568" s="76">
        <f t="shared" si="261"/>
        <v>0</v>
      </c>
      <c r="U568" s="76">
        <f t="shared" si="261"/>
        <v>0</v>
      </c>
      <c r="V568" s="76">
        <f t="shared" si="261"/>
        <v>0</v>
      </c>
      <c r="W568" s="76">
        <f t="shared" si="261"/>
        <v>0</v>
      </c>
      <c r="X568" s="62">
        <f t="shared" si="261"/>
        <v>0</v>
      </c>
      <c r="Y568" s="62">
        <f t="shared" si="261"/>
        <v>0</v>
      </c>
      <c r="Z568" s="62">
        <f t="shared" si="261"/>
        <v>0</v>
      </c>
      <c r="AA568" s="64">
        <f>SUM(G568:Z568)</f>
        <v>0</v>
      </c>
      <c r="AB568" s="58" t="str">
        <f>IF(ABS(F568-AA568)&lt;0.01,"ok","err")</f>
        <v>ok</v>
      </c>
    </row>
    <row r="569" spans="1:28"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62"/>
      <c r="Y569" s="62"/>
      <c r="Z569" s="62"/>
      <c r="AA569" s="64"/>
    </row>
    <row r="570" spans="1:28" ht="15">
      <c r="A570" s="65" t="s">
        <v>351</v>
      </c>
      <c r="F570" s="79"/>
    </row>
    <row r="571" spans="1:28">
      <c r="A571" s="68" t="s">
        <v>1093</v>
      </c>
      <c r="C571" s="60" t="s">
        <v>533</v>
      </c>
      <c r="D571" s="60" t="s">
        <v>587</v>
      </c>
      <c r="E571" s="60" t="s">
        <v>1098</v>
      </c>
      <c r="F571" s="76">
        <f>VLOOKUP(C571,'Functional Assignment'!$C$2:$AP$780,'Functional Assignment'!$AD$2,)</f>
        <v>0</v>
      </c>
      <c r="G571" s="76">
        <f t="shared" ref="G571:Z571" si="262">IF(VLOOKUP($E571,$D$6:$AN$1131,3,)=0,0,(VLOOKUP($E571,$D$6:$AN$1131,G$2,)/VLOOKUP($E571,$D$6:$AN$1131,3,))*$F571)</f>
        <v>0</v>
      </c>
      <c r="H571" s="76">
        <f t="shared" si="262"/>
        <v>0</v>
      </c>
      <c r="I571" s="76">
        <f t="shared" si="262"/>
        <v>0</v>
      </c>
      <c r="J571" s="76">
        <f t="shared" si="262"/>
        <v>0</v>
      </c>
      <c r="K571" s="76">
        <f t="shared" si="262"/>
        <v>0</v>
      </c>
      <c r="L571" s="76">
        <f t="shared" si="262"/>
        <v>0</v>
      </c>
      <c r="M571" s="76">
        <f t="shared" si="262"/>
        <v>0</v>
      </c>
      <c r="N571" s="76">
        <f t="shared" si="262"/>
        <v>0</v>
      </c>
      <c r="O571" s="76">
        <f t="shared" si="262"/>
        <v>0</v>
      </c>
      <c r="P571" s="76">
        <f t="shared" si="262"/>
        <v>0</v>
      </c>
      <c r="Q571" s="76">
        <f t="shared" si="262"/>
        <v>0</v>
      </c>
      <c r="R571" s="76">
        <f t="shared" si="262"/>
        <v>0</v>
      </c>
      <c r="S571" s="76">
        <f t="shared" si="262"/>
        <v>0</v>
      </c>
      <c r="T571" s="76">
        <f t="shared" si="262"/>
        <v>0</v>
      </c>
      <c r="U571" s="76">
        <f t="shared" si="262"/>
        <v>0</v>
      </c>
      <c r="V571" s="76">
        <f t="shared" si="262"/>
        <v>0</v>
      </c>
      <c r="W571" s="76">
        <f t="shared" si="262"/>
        <v>0</v>
      </c>
      <c r="X571" s="62">
        <f t="shared" si="262"/>
        <v>0</v>
      </c>
      <c r="Y571" s="62">
        <f t="shared" si="262"/>
        <v>0</v>
      </c>
      <c r="Z571" s="62">
        <f t="shared" si="262"/>
        <v>0</v>
      </c>
      <c r="AA571" s="64">
        <f>SUM(G571:Z571)</f>
        <v>0</v>
      </c>
      <c r="AB571" s="58" t="str">
        <f>IF(ABS(F571-AA571)&lt;0.01,"ok","err")</f>
        <v>ok</v>
      </c>
    </row>
    <row r="572" spans="1:28"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62"/>
      <c r="Y572" s="62"/>
      <c r="Z572" s="62"/>
      <c r="AA572" s="64"/>
    </row>
    <row r="573" spans="1:28" ht="15">
      <c r="A573" s="65" t="s">
        <v>350</v>
      </c>
      <c r="F573" s="79"/>
    </row>
    <row r="574" spans="1:28">
      <c r="A574" s="68" t="s">
        <v>1093</v>
      </c>
      <c r="C574" s="60" t="s">
        <v>533</v>
      </c>
      <c r="D574" s="60" t="s">
        <v>588</v>
      </c>
      <c r="E574" s="60" t="s">
        <v>1099</v>
      </c>
      <c r="F574" s="76">
        <f>VLOOKUP(C574,'Functional Assignment'!$C$2:$AP$780,'Functional Assignment'!$AE$2,)</f>
        <v>0</v>
      </c>
      <c r="G574" s="76">
        <f t="shared" ref="G574:Z574" si="263">IF(VLOOKUP($E574,$D$6:$AN$1131,3,)=0,0,(VLOOKUP($E574,$D$6:$AN$1131,G$2,)/VLOOKUP($E574,$D$6:$AN$1131,3,))*$F574)</f>
        <v>0</v>
      </c>
      <c r="H574" s="76">
        <f t="shared" si="263"/>
        <v>0</v>
      </c>
      <c r="I574" s="76">
        <f t="shared" si="263"/>
        <v>0</v>
      </c>
      <c r="J574" s="76">
        <f t="shared" si="263"/>
        <v>0</v>
      </c>
      <c r="K574" s="76">
        <f t="shared" si="263"/>
        <v>0</v>
      </c>
      <c r="L574" s="76">
        <f t="shared" si="263"/>
        <v>0</v>
      </c>
      <c r="M574" s="76">
        <f t="shared" si="263"/>
        <v>0</v>
      </c>
      <c r="N574" s="76">
        <f t="shared" si="263"/>
        <v>0</v>
      </c>
      <c r="O574" s="76">
        <f t="shared" si="263"/>
        <v>0</v>
      </c>
      <c r="P574" s="76">
        <f t="shared" si="263"/>
        <v>0</v>
      </c>
      <c r="Q574" s="76">
        <f t="shared" si="263"/>
        <v>0</v>
      </c>
      <c r="R574" s="76">
        <f t="shared" si="263"/>
        <v>0</v>
      </c>
      <c r="S574" s="76">
        <f t="shared" si="263"/>
        <v>0</v>
      </c>
      <c r="T574" s="76">
        <f t="shared" si="263"/>
        <v>0</v>
      </c>
      <c r="U574" s="76">
        <f t="shared" si="263"/>
        <v>0</v>
      </c>
      <c r="V574" s="76">
        <f t="shared" si="263"/>
        <v>0</v>
      </c>
      <c r="W574" s="76">
        <f t="shared" si="263"/>
        <v>0</v>
      </c>
      <c r="X574" s="62">
        <f t="shared" si="263"/>
        <v>0</v>
      </c>
      <c r="Y574" s="62">
        <f t="shared" si="263"/>
        <v>0</v>
      </c>
      <c r="Z574" s="62">
        <f t="shared" si="263"/>
        <v>0</v>
      </c>
      <c r="AA574" s="64">
        <f>SUM(G574:Z574)</f>
        <v>0</v>
      </c>
      <c r="AB574" s="58" t="str">
        <f>IF(ABS(F574-AA574)&lt;0.01,"ok","err")</f>
        <v>ok</v>
      </c>
    </row>
    <row r="575" spans="1:28"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62"/>
      <c r="Y575" s="62"/>
      <c r="Z575" s="62"/>
      <c r="AA575" s="64"/>
    </row>
    <row r="576" spans="1:28">
      <c r="A576" s="60" t="s">
        <v>922</v>
      </c>
      <c r="D576" s="60" t="s">
        <v>1111</v>
      </c>
      <c r="F576" s="76">
        <f>F531+F537+F540+F543+F551+F556+F559+F562+F565+F568+F571+F574</f>
        <v>-1002535.0000000001</v>
      </c>
      <c r="G576" s="76">
        <f t="shared" ref="G576:Z576" si="264">G531+G537+G540+G543+G551+G556+G559+G562+G565+G568+G571+G574</f>
        <v>-487602.74062498263</v>
      </c>
      <c r="H576" s="76">
        <f t="shared" si="264"/>
        <v>-127250.54986571152</v>
      </c>
      <c r="I576" s="76">
        <f t="shared" si="264"/>
        <v>0</v>
      </c>
      <c r="J576" s="76">
        <f t="shared" si="264"/>
        <v>-9413.4152784552807</v>
      </c>
      <c r="K576" s="76">
        <f t="shared" si="264"/>
        <v>-121375.59988597687</v>
      </c>
      <c r="L576" s="76">
        <f t="shared" si="264"/>
        <v>0</v>
      </c>
      <c r="M576" s="76">
        <f t="shared" si="264"/>
        <v>0</v>
      </c>
      <c r="N576" s="76">
        <f t="shared" si="264"/>
        <v>-100806.23977684391</v>
      </c>
      <c r="O576" s="76">
        <f>O531+O537+O540+O543+O551+O556+O559+O562+O565+O568+O571+O574</f>
        <v>-60262.236597702744</v>
      </c>
      <c r="P576" s="76">
        <f t="shared" si="264"/>
        <v>-52629.981168509992</v>
      </c>
      <c r="Q576" s="76">
        <f t="shared" si="264"/>
        <v>-6340.5732641552013</v>
      </c>
      <c r="R576" s="76">
        <f t="shared" si="264"/>
        <v>-2940.2221931308027</v>
      </c>
      <c r="S576" s="76">
        <f t="shared" si="264"/>
        <v>-33590.264559327814</v>
      </c>
      <c r="T576" s="76">
        <f t="shared" si="264"/>
        <v>-126.19543692052756</v>
      </c>
      <c r="U576" s="76">
        <f t="shared" si="264"/>
        <v>-196.98134828275855</v>
      </c>
      <c r="V576" s="76">
        <f t="shared" si="264"/>
        <v>0</v>
      </c>
      <c r="W576" s="76">
        <f t="shared" si="264"/>
        <v>0</v>
      </c>
      <c r="X576" s="62">
        <f t="shared" si="264"/>
        <v>0</v>
      </c>
      <c r="Y576" s="62">
        <f t="shared" si="264"/>
        <v>0</v>
      </c>
      <c r="Z576" s="62">
        <f t="shared" si="264"/>
        <v>0</v>
      </c>
      <c r="AA576" s="64">
        <f>SUM(G576:Z576)</f>
        <v>-1002535</v>
      </c>
      <c r="AB576" s="58" t="str">
        <f>IF(ABS(F576-AA576)&lt;0.01,"ok","err")</f>
        <v>ok</v>
      </c>
    </row>
    <row r="577" spans="1:28"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62"/>
      <c r="Y577" s="62"/>
      <c r="Z577" s="62"/>
      <c r="AA577" s="64"/>
      <c r="AB577" s="58"/>
    </row>
    <row r="578" spans="1:28"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62"/>
      <c r="Y578" s="62"/>
      <c r="Z578" s="62"/>
      <c r="AA578" s="64"/>
      <c r="AB578" s="58"/>
    </row>
    <row r="579" spans="1:28"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62"/>
      <c r="Y579" s="62"/>
      <c r="Z579" s="62"/>
      <c r="AA579" s="64"/>
      <c r="AB579" s="58"/>
    </row>
    <row r="580" spans="1:28" ht="15">
      <c r="A580" s="65" t="s">
        <v>1070</v>
      </c>
    </row>
    <row r="582" spans="1:28" ht="15">
      <c r="A582" s="65" t="s">
        <v>364</v>
      </c>
    </row>
    <row r="583" spans="1:28">
      <c r="A583" s="68" t="s">
        <v>359</v>
      </c>
      <c r="C583" s="60" t="s">
        <v>1075</v>
      </c>
      <c r="D583" s="60" t="s">
        <v>562</v>
      </c>
      <c r="E583" s="60" t="s">
        <v>869</v>
      </c>
      <c r="F583" s="76">
        <f>VLOOKUP(C583,'Functional Assignment'!$C$2:$AP$780,'Functional Assignment'!$H$2,)</f>
        <v>0</v>
      </c>
      <c r="G583" s="76">
        <f t="shared" ref="G583:P588" si="265">IF(VLOOKUP($E583,$D$6:$AN$1131,3,)=0,0,(VLOOKUP($E583,$D$6:$AN$1131,G$2,)/VLOOKUP($E583,$D$6:$AN$1131,3,))*$F583)</f>
        <v>0</v>
      </c>
      <c r="H583" s="76">
        <f t="shared" si="265"/>
        <v>0</v>
      </c>
      <c r="I583" s="76">
        <f t="shared" si="265"/>
        <v>0</v>
      </c>
      <c r="J583" s="76">
        <f t="shared" si="265"/>
        <v>0</v>
      </c>
      <c r="K583" s="76">
        <f t="shared" si="265"/>
        <v>0</v>
      </c>
      <c r="L583" s="76">
        <f t="shared" si="265"/>
        <v>0</v>
      </c>
      <c r="M583" s="76">
        <f t="shared" si="265"/>
        <v>0</v>
      </c>
      <c r="N583" s="76">
        <f t="shared" si="265"/>
        <v>0</v>
      </c>
      <c r="O583" s="76">
        <f t="shared" si="265"/>
        <v>0</v>
      </c>
      <c r="P583" s="76">
        <f t="shared" si="265"/>
        <v>0</v>
      </c>
      <c r="Q583" s="76">
        <f t="shared" ref="Q583:Z588" si="266">IF(VLOOKUP($E583,$D$6:$AN$1131,3,)=0,0,(VLOOKUP($E583,$D$6:$AN$1131,Q$2,)/VLOOKUP($E583,$D$6:$AN$1131,3,))*$F583)</f>
        <v>0</v>
      </c>
      <c r="R583" s="76">
        <f t="shared" si="266"/>
        <v>0</v>
      </c>
      <c r="S583" s="76">
        <f t="shared" si="266"/>
        <v>0</v>
      </c>
      <c r="T583" s="76">
        <f t="shared" si="266"/>
        <v>0</v>
      </c>
      <c r="U583" s="76">
        <f t="shared" si="266"/>
        <v>0</v>
      </c>
      <c r="V583" s="76">
        <f t="shared" si="266"/>
        <v>0</v>
      </c>
      <c r="W583" s="76">
        <f t="shared" si="266"/>
        <v>0</v>
      </c>
      <c r="X583" s="62">
        <f t="shared" si="266"/>
        <v>0</v>
      </c>
      <c r="Y583" s="62">
        <f t="shared" si="266"/>
        <v>0</v>
      </c>
      <c r="Z583" s="62">
        <f t="shared" si="266"/>
        <v>0</v>
      </c>
      <c r="AA583" s="64">
        <f t="shared" ref="AA583:AA589" si="267">SUM(G583:Z583)</f>
        <v>0</v>
      </c>
      <c r="AB583" s="58" t="str">
        <f t="shared" ref="AB583:AB589" si="268">IF(ABS(F583-AA583)&lt;0.01,"ok","err")</f>
        <v>ok</v>
      </c>
    </row>
    <row r="584" spans="1:28">
      <c r="A584" s="68" t="s">
        <v>1255</v>
      </c>
      <c r="C584" s="60" t="s">
        <v>1075</v>
      </c>
      <c r="D584" s="60" t="s">
        <v>563</v>
      </c>
      <c r="E584" s="60" t="s">
        <v>188</v>
      </c>
      <c r="F584" s="79">
        <f>VLOOKUP(C584,'Functional Assignment'!$C$2:$AP$780,'Functional Assignment'!$I$2,)</f>
        <v>0</v>
      </c>
      <c r="G584" s="79">
        <f t="shared" si="265"/>
        <v>0</v>
      </c>
      <c r="H584" s="79">
        <f t="shared" si="265"/>
        <v>0</v>
      </c>
      <c r="I584" s="79">
        <f t="shared" si="265"/>
        <v>0</v>
      </c>
      <c r="J584" s="79">
        <f t="shared" si="265"/>
        <v>0</v>
      </c>
      <c r="K584" s="79">
        <f t="shared" si="265"/>
        <v>0</v>
      </c>
      <c r="L584" s="79">
        <f t="shared" si="265"/>
        <v>0</v>
      </c>
      <c r="M584" s="79">
        <f t="shared" si="265"/>
        <v>0</v>
      </c>
      <c r="N584" s="79">
        <f t="shared" si="265"/>
        <v>0</v>
      </c>
      <c r="O584" s="79">
        <f t="shared" si="265"/>
        <v>0</v>
      </c>
      <c r="P584" s="79">
        <f t="shared" si="265"/>
        <v>0</v>
      </c>
      <c r="Q584" s="79">
        <f t="shared" si="266"/>
        <v>0</v>
      </c>
      <c r="R584" s="79">
        <f t="shared" si="266"/>
        <v>0</v>
      </c>
      <c r="S584" s="79">
        <f t="shared" si="266"/>
        <v>0</v>
      </c>
      <c r="T584" s="79">
        <f t="shared" si="266"/>
        <v>0</v>
      </c>
      <c r="U584" s="79">
        <f t="shared" si="266"/>
        <v>0</v>
      </c>
      <c r="V584" s="79">
        <f t="shared" si="266"/>
        <v>0</v>
      </c>
      <c r="W584" s="79">
        <f t="shared" si="266"/>
        <v>0</v>
      </c>
      <c r="X584" s="63">
        <f t="shared" si="266"/>
        <v>0</v>
      </c>
      <c r="Y584" s="63">
        <f t="shared" si="266"/>
        <v>0</v>
      </c>
      <c r="Z584" s="63">
        <f t="shared" si="266"/>
        <v>0</v>
      </c>
      <c r="AA584" s="63">
        <f t="shared" si="267"/>
        <v>0</v>
      </c>
      <c r="AB584" s="58" t="str">
        <f t="shared" si="268"/>
        <v>ok</v>
      </c>
    </row>
    <row r="585" spans="1:28">
      <c r="A585" s="68" t="s">
        <v>1256</v>
      </c>
      <c r="C585" s="60" t="s">
        <v>1075</v>
      </c>
      <c r="D585" s="60" t="s">
        <v>564</v>
      </c>
      <c r="E585" s="60" t="s">
        <v>191</v>
      </c>
      <c r="F585" s="79">
        <f>VLOOKUP(C585,'Functional Assignment'!$C$2:$AP$780,'Functional Assignment'!$J$2,)</f>
        <v>0</v>
      </c>
      <c r="G585" s="79">
        <f t="shared" si="265"/>
        <v>0</v>
      </c>
      <c r="H585" s="79">
        <f t="shared" si="265"/>
        <v>0</v>
      </c>
      <c r="I585" s="79">
        <f t="shared" si="265"/>
        <v>0</v>
      </c>
      <c r="J585" s="79">
        <f t="shared" si="265"/>
        <v>0</v>
      </c>
      <c r="K585" s="79">
        <f t="shared" si="265"/>
        <v>0</v>
      </c>
      <c r="L585" s="79">
        <f t="shared" si="265"/>
        <v>0</v>
      </c>
      <c r="M585" s="79">
        <f t="shared" si="265"/>
        <v>0</v>
      </c>
      <c r="N585" s="79">
        <f t="shared" si="265"/>
        <v>0</v>
      </c>
      <c r="O585" s="79">
        <f t="shared" si="265"/>
        <v>0</v>
      </c>
      <c r="P585" s="79">
        <f t="shared" si="265"/>
        <v>0</v>
      </c>
      <c r="Q585" s="79">
        <f t="shared" si="266"/>
        <v>0</v>
      </c>
      <c r="R585" s="79">
        <f t="shared" si="266"/>
        <v>0</v>
      </c>
      <c r="S585" s="79">
        <f t="shared" si="266"/>
        <v>0</v>
      </c>
      <c r="T585" s="79">
        <f t="shared" si="266"/>
        <v>0</v>
      </c>
      <c r="U585" s="79">
        <f t="shared" si="266"/>
        <v>0</v>
      </c>
      <c r="V585" s="79">
        <f t="shared" si="266"/>
        <v>0</v>
      </c>
      <c r="W585" s="79">
        <f t="shared" si="266"/>
        <v>0</v>
      </c>
      <c r="X585" s="63">
        <f t="shared" si="266"/>
        <v>0</v>
      </c>
      <c r="Y585" s="63">
        <f t="shared" si="266"/>
        <v>0</v>
      </c>
      <c r="Z585" s="63">
        <f t="shared" si="266"/>
        <v>0</v>
      </c>
      <c r="AA585" s="63">
        <f t="shared" si="267"/>
        <v>0</v>
      </c>
      <c r="AB585" s="58" t="str">
        <f t="shared" si="268"/>
        <v>ok</v>
      </c>
    </row>
    <row r="586" spans="1:28">
      <c r="A586" s="68" t="s">
        <v>1257</v>
      </c>
      <c r="C586" s="60" t="s">
        <v>1075</v>
      </c>
      <c r="D586" s="60" t="s">
        <v>565</v>
      </c>
      <c r="E586" s="60" t="s">
        <v>1091</v>
      </c>
      <c r="F586" s="79">
        <f>VLOOKUP(C586,'Functional Assignment'!$C$2:$AP$780,'Functional Assignment'!$K$2,)</f>
        <v>0</v>
      </c>
      <c r="G586" s="79">
        <f t="shared" si="265"/>
        <v>0</v>
      </c>
      <c r="H586" s="79">
        <f t="shared" si="265"/>
        <v>0</v>
      </c>
      <c r="I586" s="79">
        <f t="shared" si="265"/>
        <v>0</v>
      </c>
      <c r="J586" s="79">
        <f t="shared" si="265"/>
        <v>0</v>
      </c>
      <c r="K586" s="79">
        <f t="shared" si="265"/>
        <v>0</v>
      </c>
      <c r="L586" s="79">
        <f t="shared" si="265"/>
        <v>0</v>
      </c>
      <c r="M586" s="79">
        <f t="shared" si="265"/>
        <v>0</v>
      </c>
      <c r="N586" s="79">
        <f t="shared" si="265"/>
        <v>0</v>
      </c>
      <c r="O586" s="79">
        <f t="shared" si="265"/>
        <v>0</v>
      </c>
      <c r="P586" s="79">
        <f t="shared" si="265"/>
        <v>0</v>
      </c>
      <c r="Q586" s="79">
        <f t="shared" si="266"/>
        <v>0</v>
      </c>
      <c r="R586" s="79">
        <f t="shared" si="266"/>
        <v>0</v>
      </c>
      <c r="S586" s="79">
        <f t="shared" si="266"/>
        <v>0</v>
      </c>
      <c r="T586" s="79">
        <f t="shared" si="266"/>
        <v>0</v>
      </c>
      <c r="U586" s="79">
        <f t="shared" si="266"/>
        <v>0</v>
      </c>
      <c r="V586" s="79">
        <f t="shared" si="266"/>
        <v>0</v>
      </c>
      <c r="W586" s="79">
        <f t="shared" si="266"/>
        <v>0</v>
      </c>
      <c r="X586" s="63">
        <f t="shared" si="266"/>
        <v>0</v>
      </c>
      <c r="Y586" s="63">
        <f t="shared" si="266"/>
        <v>0</v>
      </c>
      <c r="Z586" s="63">
        <f t="shared" si="266"/>
        <v>0</v>
      </c>
      <c r="AA586" s="63">
        <f t="shared" si="267"/>
        <v>0</v>
      </c>
      <c r="AB586" s="58" t="str">
        <f t="shared" si="268"/>
        <v>ok</v>
      </c>
    </row>
    <row r="587" spans="1:28">
      <c r="A587" s="68" t="s">
        <v>1258</v>
      </c>
      <c r="C587" s="60" t="s">
        <v>1075</v>
      </c>
      <c r="D587" s="60" t="s">
        <v>566</v>
      </c>
      <c r="E587" s="60" t="s">
        <v>1091</v>
      </c>
      <c r="F587" s="79">
        <f>VLOOKUP(C587,'Functional Assignment'!$C$2:$AP$780,'Functional Assignment'!$L$2,)</f>
        <v>0</v>
      </c>
      <c r="G587" s="79">
        <f t="shared" si="265"/>
        <v>0</v>
      </c>
      <c r="H587" s="79">
        <f t="shared" si="265"/>
        <v>0</v>
      </c>
      <c r="I587" s="79">
        <f t="shared" si="265"/>
        <v>0</v>
      </c>
      <c r="J587" s="79">
        <f t="shared" si="265"/>
        <v>0</v>
      </c>
      <c r="K587" s="79">
        <f t="shared" si="265"/>
        <v>0</v>
      </c>
      <c r="L587" s="79">
        <f t="shared" si="265"/>
        <v>0</v>
      </c>
      <c r="M587" s="79">
        <f t="shared" si="265"/>
        <v>0</v>
      </c>
      <c r="N587" s="79">
        <f t="shared" si="265"/>
        <v>0</v>
      </c>
      <c r="O587" s="79">
        <f t="shared" si="265"/>
        <v>0</v>
      </c>
      <c r="P587" s="79">
        <f t="shared" si="265"/>
        <v>0</v>
      </c>
      <c r="Q587" s="79">
        <f t="shared" si="266"/>
        <v>0</v>
      </c>
      <c r="R587" s="79">
        <f t="shared" si="266"/>
        <v>0</v>
      </c>
      <c r="S587" s="79">
        <f t="shared" si="266"/>
        <v>0</v>
      </c>
      <c r="T587" s="79">
        <f t="shared" si="266"/>
        <v>0</v>
      </c>
      <c r="U587" s="79">
        <f t="shared" si="266"/>
        <v>0</v>
      </c>
      <c r="V587" s="79">
        <f t="shared" si="266"/>
        <v>0</v>
      </c>
      <c r="W587" s="79">
        <f t="shared" si="266"/>
        <v>0</v>
      </c>
      <c r="X587" s="63">
        <f t="shared" si="266"/>
        <v>0</v>
      </c>
      <c r="Y587" s="63">
        <f t="shared" si="266"/>
        <v>0</v>
      </c>
      <c r="Z587" s="63">
        <f t="shared" si="266"/>
        <v>0</v>
      </c>
      <c r="AA587" s="63">
        <f t="shared" si="267"/>
        <v>0</v>
      </c>
      <c r="AB587" s="58" t="str">
        <f t="shared" si="268"/>
        <v>ok</v>
      </c>
    </row>
    <row r="588" spans="1:28">
      <c r="A588" s="68" t="s">
        <v>1258</v>
      </c>
      <c r="C588" s="60" t="s">
        <v>1075</v>
      </c>
      <c r="D588" s="60" t="s">
        <v>567</v>
      </c>
      <c r="E588" s="60" t="s">
        <v>1091</v>
      </c>
      <c r="F588" s="79">
        <f>VLOOKUP(C588,'Functional Assignment'!$C$2:$AP$780,'Functional Assignment'!$M$2,)</f>
        <v>0</v>
      </c>
      <c r="G588" s="79">
        <f t="shared" si="265"/>
        <v>0</v>
      </c>
      <c r="H588" s="79">
        <f t="shared" si="265"/>
        <v>0</v>
      </c>
      <c r="I588" s="79">
        <f t="shared" si="265"/>
        <v>0</v>
      </c>
      <c r="J588" s="79">
        <f t="shared" si="265"/>
        <v>0</v>
      </c>
      <c r="K588" s="79">
        <f t="shared" si="265"/>
        <v>0</v>
      </c>
      <c r="L588" s="79">
        <f t="shared" si="265"/>
        <v>0</v>
      </c>
      <c r="M588" s="79">
        <f t="shared" si="265"/>
        <v>0</v>
      </c>
      <c r="N588" s="79">
        <f t="shared" si="265"/>
        <v>0</v>
      </c>
      <c r="O588" s="79">
        <f t="shared" si="265"/>
        <v>0</v>
      </c>
      <c r="P588" s="79">
        <f t="shared" si="265"/>
        <v>0</v>
      </c>
      <c r="Q588" s="79">
        <f t="shared" si="266"/>
        <v>0</v>
      </c>
      <c r="R588" s="79">
        <f t="shared" si="266"/>
        <v>0</v>
      </c>
      <c r="S588" s="79">
        <f t="shared" si="266"/>
        <v>0</v>
      </c>
      <c r="T588" s="79">
        <f t="shared" si="266"/>
        <v>0</v>
      </c>
      <c r="U588" s="79">
        <f t="shared" si="266"/>
        <v>0</v>
      </c>
      <c r="V588" s="79">
        <f t="shared" si="266"/>
        <v>0</v>
      </c>
      <c r="W588" s="79">
        <f t="shared" si="266"/>
        <v>0</v>
      </c>
      <c r="X588" s="63">
        <f t="shared" si="266"/>
        <v>0</v>
      </c>
      <c r="Y588" s="63">
        <f t="shared" si="266"/>
        <v>0</v>
      </c>
      <c r="Z588" s="63">
        <f t="shared" si="266"/>
        <v>0</v>
      </c>
      <c r="AA588" s="63">
        <f t="shared" si="267"/>
        <v>0</v>
      </c>
      <c r="AB588" s="58" t="str">
        <f t="shared" si="268"/>
        <v>ok</v>
      </c>
    </row>
    <row r="589" spans="1:28">
      <c r="A589" s="60" t="s">
        <v>387</v>
      </c>
      <c r="D589" s="60" t="s">
        <v>1110</v>
      </c>
      <c r="F589" s="76">
        <f>SUM(F583:F588)</f>
        <v>0</v>
      </c>
      <c r="G589" s="76">
        <f t="shared" ref="G589:P589" si="269">SUM(G583:G588)</f>
        <v>0</v>
      </c>
      <c r="H589" s="76">
        <f t="shared" si="269"/>
        <v>0</v>
      </c>
      <c r="I589" s="76">
        <f t="shared" si="269"/>
        <v>0</v>
      </c>
      <c r="J589" s="76">
        <f t="shared" si="269"/>
        <v>0</v>
      </c>
      <c r="K589" s="76">
        <f t="shared" si="269"/>
        <v>0</v>
      </c>
      <c r="L589" s="76">
        <f t="shared" si="269"/>
        <v>0</v>
      </c>
      <c r="M589" s="76">
        <f t="shared" si="269"/>
        <v>0</v>
      </c>
      <c r="N589" s="76">
        <f t="shared" si="269"/>
        <v>0</v>
      </c>
      <c r="O589" s="76">
        <f>SUM(O583:O588)</f>
        <v>0</v>
      </c>
      <c r="P589" s="76">
        <f t="shared" si="269"/>
        <v>0</v>
      </c>
      <c r="Q589" s="76">
        <f t="shared" ref="Q589:W589" si="270">SUM(Q583:Q588)</f>
        <v>0</v>
      </c>
      <c r="R589" s="76">
        <f t="shared" si="270"/>
        <v>0</v>
      </c>
      <c r="S589" s="76">
        <f t="shared" si="270"/>
        <v>0</v>
      </c>
      <c r="T589" s="76">
        <f t="shared" si="270"/>
        <v>0</v>
      </c>
      <c r="U589" s="76">
        <f t="shared" si="270"/>
        <v>0</v>
      </c>
      <c r="V589" s="76">
        <f t="shared" si="270"/>
        <v>0</v>
      </c>
      <c r="W589" s="76">
        <f t="shared" si="270"/>
        <v>0</v>
      </c>
      <c r="X589" s="62">
        <f>SUM(X583:X588)</f>
        <v>0</v>
      </c>
      <c r="Y589" s="62">
        <f>SUM(Y583:Y588)</f>
        <v>0</v>
      </c>
      <c r="Z589" s="62">
        <f>SUM(Z583:Z588)</f>
        <v>0</v>
      </c>
      <c r="AA589" s="64">
        <f t="shared" si="267"/>
        <v>0</v>
      </c>
      <c r="AB589" s="58" t="str">
        <f t="shared" si="268"/>
        <v>ok</v>
      </c>
    </row>
    <row r="590" spans="1:28">
      <c r="F590" s="79"/>
      <c r="G590" s="79"/>
    </row>
    <row r="591" spans="1:28" ht="15">
      <c r="A591" s="65" t="s">
        <v>1131</v>
      </c>
      <c r="F591" s="79"/>
      <c r="G591" s="79"/>
    </row>
    <row r="592" spans="1:28">
      <c r="A592" s="68" t="s">
        <v>1363</v>
      </c>
      <c r="C592" s="60" t="s">
        <v>1075</v>
      </c>
      <c r="D592" s="60" t="s">
        <v>568</v>
      </c>
      <c r="E592" s="60" t="s">
        <v>1367</v>
      </c>
      <c r="F592" s="76">
        <f>VLOOKUP(C592,'Functional Assignment'!$C$2:$AP$780,'Functional Assignment'!$N$2,)</f>
        <v>0</v>
      </c>
      <c r="G592" s="76">
        <f t="shared" ref="G592:P594" si="271">IF(VLOOKUP($E592,$D$6:$AN$1131,3,)=0,0,(VLOOKUP($E592,$D$6:$AN$1131,G$2,)/VLOOKUP($E592,$D$6:$AN$1131,3,))*$F592)</f>
        <v>0</v>
      </c>
      <c r="H592" s="76">
        <f t="shared" si="271"/>
        <v>0</v>
      </c>
      <c r="I592" s="76">
        <f t="shared" si="271"/>
        <v>0</v>
      </c>
      <c r="J592" s="76">
        <f t="shared" si="271"/>
        <v>0</v>
      </c>
      <c r="K592" s="76">
        <f t="shared" si="271"/>
        <v>0</v>
      </c>
      <c r="L592" s="76">
        <f t="shared" si="271"/>
        <v>0</v>
      </c>
      <c r="M592" s="76">
        <f t="shared" si="271"/>
        <v>0</v>
      </c>
      <c r="N592" s="76">
        <f t="shared" si="271"/>
        <v>0</v>
      </c>
      <c r="O592" s="76">
        <f t="shared" si="271"/>
        <v>0</v>
      </c>
      <c r="P592" s="76">
        <f t="shared" si="271"/>
        <v>0</v>
      </c>
      <c r="Q592" s="76">
        <f t="shared" ref="Q592:Z594" si="272">IF(VLOOKUP($E592,$D$6:$AN$1131,3,)=0,0,(VLOOKUP($E592,$D$6:$AN$1131,Q$2,)/VLOOKUP($E592,$D$6:$AN$1131,3,))*$F592)</f>
        <v>0</v>
      </c>
      <c r="R592" s="76">
        <f t="shared" si="272"/>
        <v>0</v>
      </c>
      <c r="S592" s="76">
        <f t="shared" si="272"/>
        <v>0</v>
      </c>
      <c r="T592" s="76">
        <f t="shared" si="272"/>
        <v>0</v>
      </c>
      <c r="U592" s="76">
        <f t="shared" si="272"/>
        <v>0</v>
      </c>
      <c r="V592" s="76">
        <f t="shared" si="272"/>
        <v>0</v>
      </c>
      <c r="W592" s="76">
        <f t="shared" si="272"/>
        <v>0</v>
      </c>
      <c r="X592" s="62">
        <f t="shared" si="272"/>
        <v>0</v>
      </c>
      <c r="Y592" s="62">
        <f t="shared" si="272"/>
        <v>0</v>
      </c>
      <c r="Z592" s="62">
        <f t="shared" si="272"/>
        <v>0</v>
      </c>
      <c r="AA592" s="64">
        <f>SUM(G592:Z592)</f>
        <v>0</v>
      </c>
      <c r="AB592" s="58" t="str">
        <f>IF(ABS(F592-AA592)&lt;0.01,"ok","err")</f>
        <v>ok</v>
      </c>
    </row>
    <row r="593" spans="1:28" hidden="1">
      <c r="A593" s="68" t="s">
        <v>1364</v>
      </c>
      <c r="C593" s="60" t="s">
        <v>1075</v>
      </c>
      <c r="D593" s="60" t="s">
        <v>569</v>
      </c>
      <c r="E593" s="60" t="s">
        <v>188</v>
      </c>
      <c r="F593" s="79">
        <f>VLOOKUP(C593,'Functional Assignment'!$C$2:$AP$780,'Functional Assignment'!$O$2,)</f>
        <v>0</v>
      </c>
      <c r="G593" s="79">
        <f t="shared" si="271"/>
        <v>0</v>
      </c>
      <c r="H593" s="79">
        <f t="shared" si="271"/>
        <v>0</v>
      </c>
      <c r="I593" s="79">
        <f t="shared" si="271"/>
        <v>0</v>
      </c>
      <c r="J593" s="79">
        <f t="shared" si="271"/>
        <v>0</v>
      </c>
      <c r="K593" s="79">
        <f t="shared" si="271"/>
        <v>0</v>
      </c>
      <c r="L593" s="79">
        <f t="shared" si="271"/>
        <v>0</v>
      </c>
      <c r="M593" s="79">
        <f t="shared" si="271"/>
        <v>0</v>
      </c>
      <c r="N593" s="79">
        <f t="shared" si="271"/>
        <v>0</v>
      </c>
      <c r="O593" s="79">
        <f t="shared" si="271"/>
        <v>0</v>
      </c>
      <c r="P593" s="79">
        <f t="shared" si="271"/>
        <v>0</v>
      </c>
      <c r="Q593" s="79">
        <f t="shared" si="272"/>
        <v>0</v>
      </c>
      <c r="R593" s="79">
        <f t="shared" si="272"/>
        <v>0</v>
      </c>
      <c r="S593" s="79">
        <f t="shared" si="272"/>
        <v>0</v>
      </c>
      <c r="T593" s="79">
        <f t="shared" si="272"/>
        <v>0</v>
      </c>
      <c r="U593" s="79">
        <f t="shared" si="272"/>
        <v>0</v>
      </c>
      <c r="V593" s="79">
        <f t="shared" si="272"/>
        <v>0</v>
      </c>
      <c r="W593" s="79">
        <f t="shared" si="272"/>
        <v>0</v>
      </c>
      <c r="X593" s="63">
        <f t="shared" si="272"/>
        <v>0</v>
      </c>
      <c r="Y593" s="63">
        <f t="shared" si="272"/>
        <v>0</v>
      </c>
      <c r="Z593" s="63">
        <f t="shared" si="272"/>
        <v>0</v>
      </c>
      <c r="AA593" s="63">
        <f>SUM(G593:Z593)</f>
        <v>0</v>
      </c>
      <c r="AB593" s="58" t="str">
        <f>IF(ABS(F593-AA593)&lt;0.01,"ok","err")</f>
        <v>ok</v>
      </c>
    </row>
    <row r="594" spans="1:28" hidden="1">
      <c r="A594" s="68" t="s">
        <v>1364</v>
      </c>
      <c r="C594" s="60" t="s">
        <v>1075</v>
      </c>
      <c r="D594" s="60" t="s">
        <v>570</v>
      </c>
      <c r="E594" s="60" t="s">
        <v>191</v>
      </c>
      <c r="F594" s="79">
        <f>VLOOKUP(C594,'Functional Assignment'!$C$2:$AP$780,'Functional Assignment'!$P$2,)</f>
        <v>0</v>
      </c>
      <c r="G594" s="79">
        <f t="shared" si="271"/>
        <v>0</v>
      </c>
      <c r="H594" s="79">
        <f t="shared" si="271"/>
        <v>0</v>
      </c>
      <c r="I594" s="79">
        <f t="shared" si="271"/>
        <v>0</v>
      </c>
      <c r="J594" s="79">
        <f t="shared" si="271"/>
        <v>0</v>
      </c>
      <c r="K594" s="79">
        <f t="shared" si="271"/>
        <v>0</v>
      </c>
      <c r="L594" s="79">
        <f t="shared" si="271"/>
        <v>0</v>
      </c>
      <c r="M594" s="79">
        <f t="shared" si="271"/>
        <v>0</v>
      </c>
      <c r="N594" s="79">
        <f t="shared" si="271"/>
        <v>0</v>
      </c>
      <c r="O594" s="79">
        <f t="shared" si="271"/>
        <v>0</v>
      </c>
      <c r="P594" s="79">
        <f t="shared" si="271"/>
        <v>0</v>
      </c>
      <c r="Q594" s="79">
        <f t="shared" si="272"/>
        <v>0</v>
      </c>
      <c r="R594" s="79">
        <f t="shared" si="272"/>
        <v>0</v>
      </c>
      <c r="S594" s="79">
        <f t="shared" si="272"/>
        <v>0</v>
      </c>
      <c r="T594" s="79">
        <f t="shared" si="272"/>
        <v>0</v>
      </c>
      <c r="U594" s="79">
        <f t="shared" si="272"/>
        <v>0</v>
      </c>
      <c r="V594" s="79">
        <f t="shared" si="272"/>
        <v>0</v>
      </c>
      <c r="W594" s="79">
        <f t="shared" si="272"/>
        <v>0</v>
      </c>
      <c r="X594" s="63">
        <f t="shared" si="272"/>
        <v>0</v>
      </c>
      <c r="Y594" s="63">
        <f t="shared" si="272"/>
        <v>0</v>
      </c>
      <c r="Z594" s="63">
        <f t="shared" si="272"/>
        <v>0</v>
      </c>
      <c r="AA594" s="63">
        <f>SUM(G594:Z594)</f>
        <v>0</v>
      </c>
      <c r="AB594" s="58" t="str">
        <f>IF(ABS(F594-AA594)&lt;0.01,"ok","err")</f>
        <v>ok</v>
      </c>
    </row>
    <row r="595" spans="1:28" hidden="1">
      <c r="A595" s="60" t="s">
        <v>1133</v>
      </c>
      <c r="D595" s="60" t="s">
        <v>571</v>
      </c>
      <c r="F595" s="76">
        <f>SUM(F592:F594)</f>
        <v>0</v>
      </c>
      <c r="G595" s="76">
        <f t="shared" ref="G595:W595" si="273">SUM(G592:G594)</f>
        <v>0</v>
      </c>
      <c r="H595" s="76">
        <f t="shared" si="273"/>
        <v>0</v>
      </c>
      <c r="I595" s="76">
        <f t="shared" si="273"/>
        <v>0</v>
      </c>
      <c r="J595" s="76">
        <f t="shared" si="273"/>
        <v>0</v>
      </c>
      <c r="K595" s="76">
        <f t="shared" si="273"/>
        <v>0</v>
      </c>
      <c r="L595" s="76">
        <f t="shared" si="273"/>
        <v>0</v>
      </c>
      <c r="M595" s="76">
        <f t="shared" si="273"/>
        <v>0</v>
      </c>
      <c r="N595" s="76">
        <f t="shared" si="273"/>
        <v>0</v>
      </c>
      <c r="O595" s="76">
        <f>SUM(O592:O594)</f>
        <v>0</v>
      </c>
      <c r="P595" s="76">
        <f t="shared" si="273"/>
        <v>0</v>
      </c>
      <c r="Q595" s="76">
        <f t="shared" si="273"/>
        <v>0</v>
      </c>
      <c r="R595" s="76">
        <f t="shared" si="273"/>
        <v>0</v>
      </c>
      <c r="S595" s="76">
        <f t="shared" si="273"/>
        <v>0</v>
      </c>
      <c r="T595" s="76">
        <f t="shared" si="273"/>
        <v>0</v>
      </c>
      <c r="U595" s="76">
        <f t="shared" si="273"/>
        <v>0</v>
      </c>
      <c r="V595" s="76">
        <f t="shared" si="273"/>
        <v>0</v>
      </c>
      <c r="W595" s="76">
        <f t="shared" si="273"/>
        <v>0</v>
      </c>
      <c r="X595" s="62">
        <f>SUM(X592:X594)</f>
        <v>0</v>
      </c>
      <c r="Y595" s="62">
        <f>SUM(Y592:Y594)</f>
        <v>0</v>
      </c>
      <c r="Z595" s="62">
        <f>SUM(Z592:Z594)</f>
        <v>0</v>
      </c>
      <c r="AA595" s="64">
        <f>SUM(G595:Z595)</f>
        <v>0</v>
      </c>
      <c r="AB595" s="58" t="str">
        <f>IF(ABS(F595-AA595)&lt;0.01,"ok","err")</f>
        <v>ok</v>
      </c>
    </row>
    <row r="596" spans="1:28">
      <c r="F596" s="79"/>
      <c r="G596" s="79"/>
    </row>
    <row r="597" spans="1:28" ht="15">
      <c r="A597" s="65" t="s">
        <v>348</v>
      </c>
      <c r="F597" s="79"/>
      <c r="G597" s="79"/>
    </row>
    <row r="598" spans="1:28">
      <c r="A598" s="68" t="s">
        <v>372</v>
      </c>
      <c r="C598" s="60" t="s">
        <v>1075</v>
      </c>
      <c r="D598" s="60" t="s">
        <v>572</v>
      </c>
      <c r="E598" s="60" t="s">
        <v>1368</v>
      </c>
      <c r="F598" s="76">
        <f>VLOOKUP(C598,'Functional Assignment'!$C$2:$AP$780,'Functional Assignment'!$Q$2,)</f>
        <v>0</v>
      </c>
      <c r="G598" s="76">
        <f t="shared" ref="G598:Z598" si="274">IF(VLOOKUP($E598,$D$6:$AN$1131,3,)=0,0,(VLOOKUP($E598,$D$6:$AN$1131,G$2,)/VLOOKUP($E598,$D$6:$AN$1131,3,))*$F598)</f>
        <v>0</v>
      </c>
      <c r="H598" s="76">
        <f t="shared" si="274"/>
        <v>0</v>
      </c>
      <c r="I598" s="76">
        <f t="shared" si="274"/>
        <v>0</v>
      </c>
      <c r="J598" s="76">
        <f t="shared" si="274"/>
        <v>0</v>
      </c>
      <c r="K598" s="76">
        <f t="shared" si="274"/>
        <v>0</v>
      </c>
      <c r="L598" s="76">
        <f t="shared" si="274"/>
        <v>0</v>
      </c>
      <c r="M598" s="76">
        <f t="shared" si="274"/>
        <v>0</v>
      </c>
      <c r="N598" s="76">
        <f t="shared" si="274"/>
        <v>0</v>
      </c>
      <c r="O598" s="76">
        <f t="shared" si="274"/>
        <v>0</v>
      </c>
      <c r="P598" s="76">
        <f t="shared" si="274"/>
        <v>0</v>
      </c>
      <c r="Q598" s="76">
        <f t="shared" si="274"/>
        <v>0</v>
      </c>
      <c r="R598" s="76">
        <f t="shared" si="274"/>
        <v>0</v>
      </c>
      <c r="S598" s="76">
        <f t="shared" si="274"/>
        <v>0</v>
      </c>
      <c r="T598" s="76">
        <f t="shared" si="274"/>
        <v>0</v>
      </c>
      <c r="U598" s="76">
        <f t="shared" si="274"/>
        <v>0</v>
      </c>
      <c r="V598" s="76">
        <f t="shared" si="274"/>
        <v>0</v>
      </c>
      <c r="W598" s="76">
        <f t="shared" si="274"/>
        <v>0</v>
      </c>
      <c r="X598" s="62">
        <f t="shared" si="274"/>
        <v>0</v>
      </c>
      <c r="Y598" s="62">
        <f t="shared" si="274"/>
        <v>0</v>
      </c>
      <c r="Z598" s="62">
        <f t="shared" si="274"/>
        <v>0</v>
      </c>
      <c r="AA598" s="64">
        <f>SUM(G598:Z598)</f>
        <v>0</v>
      </c>
      <c r="AB598" s="58" t="str">
        <f>IF(ABS(F598-AA598)&lt;0.01,"ok","err")</f>
        <v>ok</v>
      </c>
    </row>
    <row r="599" spans="1:28">
      <c r="F599" s="79"/>
    </row>
    <row r="600" spans="1:28" ht="15">
      <c r="A600" s="65" t="s">
        <v>349</v>
      </c>
      <c r="F600" s="79"/>
      <c r="G600" s="79"/>
    </row>
    <row r="601" spans="1:28">
      <c r="A601" s="68" t="s">
        <v>374</v>
      </c>
      <c r="C601" s="60" t="s">
        <v>1075</v>
      </c>
      <c r="D601" s="60" t="s">
        <v>573</v>
      </c>
      <c r="E601" s="60" t="s">
        <v>1368</v>
      </c>
      <c r="F601" s="76">
        <f>VLOOKUP(C601,'Functional Assignment'!$C$2:$AP$780,'Functional Assignment'!$R$2,)</f>
        <v>0</v>
      </c>
      <c r="G601" s="76">
        <f t="shared" ref="G601:Z601" si="275">IF(VLOOKUP($E601,$D$6:$AN$1131,3,)=0,0,(VLOOKUP($E601,$D$6:$AN$1131,G$2,)/VLOOKUP($E601,$D$6:$AN$1131,3,))*$F601)</f>
        <v>0</v>
      </c>
      <c r="H601" s="76">
        <f t="shared" si="275"/>
        <v>0</v>
      </c>
      <c r="I601" s="76">
        <f t="shared" si="275"/>
        <v>0</v>
      </c>
      <c r="J601" s="76">
        <f t="shared" si="275"/>
        <v>0</v>
      </c>
      <c r="K601" s="76">
        <f t="shared" si="275"/>
        <v>0</v>
      </c>
      <c r="L601" s="76">
        <f t="shared" si="275"/>
        <v>0</v>
      </c>
      <c r="M601" s="76">
        <f t="shared" si="275"/>
        <v>0</v>
      </c>
      <c r="N601" s="76">
        <f t="shared" si="275"/>
        <v>0</v>
      </c>
      <c r="O601" s="76">
        <f t="shared" si="275"/>
        <v>0</v>
      </c>
      <c r="P601" s="76">
        <f t="shared" si="275"/>
        <v>0</v>
      </c>
      <c r="Q601" s="76">
        <f t="shared" si="275"/>
        <v>0</v>
      </c>
      <c r="R601" s="76">
        <f t="shared" si="275"/>
        <v>0</v>
      </c>
      <c r="S601" s="76">
        <f t="shared" si="275"/>
        <v>0</v>
      </c>
      <c r="T601" s="76">
        <f t="shared" si="275"/>
        <v>0</v>
      </c>
      <c r="U601" s="76">
        <f t="shared" si="275"/>
        <v>0</v>
      </c>
      <c r="V601" s="76">
        <f t="shared" si="275"/>
        <v>0</v>
      </c>
      <c r="W601" s="76">
        <f t="shared" si="275"/>
        <v>0</v>
      </c>
      <c r="X601" s="62">
        <f t="shared" si="275"/>
        <v>0</v>
      </c>
      <c r="Y601" s="62">
        <f t="shared" si="275"/>
        <v>0</v>
      </c>
      <c r="Z601" s="62">
        <f t="shared" si="275"/>
        <v>0</v>
      </c>
      <c r="AA601" s="64">
        <f>SUM(G601:Z601)</f>
        <v>0</v>
      </c>
      <c r="AB601" s="58" t="str">
        <f>IF(ABS(F601-AA601)&lt;0.01,"ok","err")</f>
        <v>ok</v>
      </c>
    </row>
    <row r="602" spans="1:28">
      <c r="F602" s="79"/>
    </row>
    <row r="603" spans="1:28" ht="15">
      <c r="A603" s="65" t="s">
        <v>373</v>
      </c>
      <c r="F603" s="79"/>
    </row>
    <row r="604" spans="1:28">
      <c r="A604" s="68" t="s">
        <v>623</v>
      </c>
      <c r="C604" s="60" t="s">
        <v>1075</v>
      </c>
      <c r="D604" s="60" t="s">
        <v>574</v>
      </c>
      <c r="E604" s="60" t="s">
        <v>1368</v>
      </c>
      <c r="F604" s="76">
        <f>VLOOKUP(C604,'Functional Assignment'!$C$2:$AP$780,'Functional Assignment'!$S$2,)</f>
        <v>0</v>
      </c>
      <c r="G604" s="76">
        <f t="shared" ref="G604:P608" si="276">IF(VLOOKUP($E604,$D$6:$AN$1131,3,)=0,0,(VLOOKUP($E604,$D$6:$AN$1131,G$2,)/VLOOKUP($E604,$D$6:$AN$1131,3,))*$F604)</f>
        <v>0</v>
      </c>
      <c r="H604" s="76">
        <f t="shared" si="276"/>
        <v>0</v>
      </c>
      <c r="I604" s="76">
        <f t="shared" si="276"/>
        <v>0</v>
      </c>
      <c r="J604" s="76">
        <f t="shared" si="276"/>
        <v>0</v>
      </c>
      <c r="K604" s="76">
        <f t="shared" si="276"/>
        <v>0</v>
      </c>
      <c r="L604" s="76">
        <f t="shared" si="276"/>
        <v>0</v>
      </c>
      <c r="M604" s="76">
        <f t="shared" si="276"/>
        <v>0</v>
      </c>
      <c r="N604" s="76">
        <f t="shared" si="276"/>
        <v>0</v>
      </c>
      <c r="O604" s="76">
        <f t="shared" si="276"/>
        <v>0</v>
      </c>
      <c r="P604" s="76">
        <f t="shared" si="276"/>
        <v>0</v>
      </c>
      <c r="Q604" s="76">
        <f t="shared" ref="Q604:Z608" si="277">IF(VLOOKUP($E604,$D$6:$AN$1131,3,)=0,0,(VLOOKUP($E604,$D$6:$AN$1131,Q$2,)/VLOOKUP($E604,$D$6:$AN$1131,3,))*$F604)</f>
        <v>0</v>
      </c>
      <c r="R604" s="76">
        <f t="shared" si="277"/>
        <v>0</v>
      </c>
      <c r="S604" s="76">
        <f t="shared" si="277"/>
        <v>0</v>
      </c>
      <c r="T604" s="76">
        <f t="shared" si="277"/>
        <v>0</v>
      </c>
      <c r="U604" s="76">
        <f t="shared" si="277"/>
        <v>0</v>
      </c>
      <c r="V604" s="76">
        <f t="shared" si="277"/>
        <v>0</v>
      </c>
      <c r="W604" s="76">
        <f t="shared" si="277"/>
        <v>0</v>
      </c>
      <c r="X604" s="62">
        <f t="shared" si="277"/>
        <v>0</v>
      </c>
      <c r="Y604" s="62">
        <f t="shared" si="277"/>
        <v>0</v>
      </c>
      <c r="Z604" s="62">
        <f t="shared" si="277"/>
        <v>0</v>
      </c>
      <c r="AA604" s="64">
        <f t="shared" ref="AA604:AA609" si="278">SUM(G604:Z604)</f>
        <v>0</v>
      </c>
      <c r="AB604" s="58" t="str">
        <f t="shared" ref="AB604:AB609" si="279">IF(ABS(F604-AA604)&lt;0.01,"ok","err")</f>
        <v>ok</v>
      </c>
    </row>
    <row r="605" spans="1:28">
      <c r="A605" s="68" t="s">
        <v>624</v>
      </c>
      <c r="C605" s="60" t="s">
        <v>1075</v>
      </c>
      <c r="D605" s="60" t="s">
        <v>575</v>
      </c>
      <c r="E605" s="60" t="s">
        <v>1368</v>
      </c>
      <c r="F605" s="79">
        <f>VLOOKUP(C605,'Functional Assignment'!$C$2:$AP$780,'Functional Assignment'!$T$2,)</f>
        <v>0</v>
      </c>
      <c r="G605" s="79">
        <f t="shared" si="276"/>
        <v>0</v>
      </c>
      <c r="H605" s="79">
        <f t="shared" si="276"/>
        <v>0</v>
      </c>
      <c r="I605" s="79">
        <f t="shared" si="276"/>
        <v>0</v>
      </c>
      <c r="J605" s="79">
        <f t="shared" si="276"/>
        <v>0</v>
      </c>
      <c r="K605" s="79">
        <f t="shared" si="276"/>
        <v>0</v>
      </c>
      <c r="L605" s="79">
        <f t="shared" si="276"/>
        <v>0</v>
      </c>
      <c r="M605" s="79">
        <f t="shared" si="276"/>
        <v>0</v>
      </c>
      <c r="N605" s="79">
        <f t="shared" si="276"/>
        <v>0</v>
      </c>
      <c r="O605" s="79">
        <f t="shared" si="276"/>
        <v>0</v>
      </c>
      <c r="P605" s="79">
        <f t="shared" si="276"/>
        <v>0</v>
      </c>
      <c r="Q605" s="79">
        <f t="shared" si="277"/>
        <v>0</v>
      </c>
      <c r="R605" s="79">
        <f t="shared" si="277"/>
        <v>0</v>
      </c>
      <c r="S605" s="79">
        <f t="shared" si="277"/>
        <v>0</v>
      </c>
      <c r="T605" s="79">
        <f t="shared" si="277"/>
        <v>0</v>
      </c>
      <c r="U605" s="79">
        <f t="shared" si="277"/>
        <v>0</v>
      </c>
      <c r="V605" s="79">
        <f t="shared" si="277"/>
        <v>0</v>
      </c>
      <c r="W605" s="79">
        <f t="shared" si="277"/>
        <v>0</v>
      </c>
      <c r="X605" s="63">
        <f t="shared" si="277"/>
        <v>0</v>
      </c>
      <c r="Y605" s="63">
        <f t="shared" si="277"/>
        <v>0</v>
      </c>
      <c r="Z605" s="63">
        <f t="shared" si="277"/>
        <v>0</v>
      </c>
      <c r="AA605" s="63">
        <f t="shared" si="278"/>
        <v>0</v>
      </c>
      <c r="AB605" s="58" t="str">
        <f t="shared" si="279"/>
        <v>ok</v>
      </c>
    </row>
    <row r="606" spans="1:28">
      <c r="A606" s="68" t="s">
        <v>625</v>
      </c>
      <c r="C606" s="60" t="s">
        <v>1075</v>
      </c>
      <c r="D606" s="60" t="s">
        <v>576</v>
      </c>
      <c r="E606" s="60" t="s">
        <v>698</v>
      </c>
      <c r="F606" s="79">
        <f>VLOOKUP(C606,'Functional Assignment'!$C$2:$AP$780,'Functional Assignment'!$U$2,)</f>
        <v>0</v>
      </c>
      <c r="G606" s="79">
        <f t="shared" si="276"/>
        <v>0</v>
      </c>
      <c r="H606" s="79">
        <f t="shared" si="276"/>
        <v>0</v>
      </c>
      <c r="I606" s="79">
        <f t="shared" si="276"/>
        <v>0</v>
      </c>
      <c r="J606" s="79">
        <f t="shared" si="276"/>
        <v>0</v>
      </c>
      <c r="K606" s="79">
        <f t="shared" si="276"/>
        <v>0</v>
      </c>
      <c r="L606" s="79">
        <f t="shared" si="276"/>
        <v>0</v>
      </c>
      <c r="M606" s="79">
        <f t="shared" si="276"/>
        <v>0</v>
      </c>
      <c r="N606" s="79">
        <f t="shared" si="276"/>
        <v>0</v>
      </c>
      <c r="O606" s="79">
        <f t="shared" si="276"/>
        <v>0</v>
      </c>
      <c r="P606" s="79">
        <f t="shared" si="276"/>
        <v>0</v>
      </c>
      <c r="Q606" s="79">
        <f t="shared" si="277"/>
        <v>0</v>
      </c>
      <c r="R606" s="79">
        <f t="shared" si="277"/>
        <v>0</v>
      </c>
      <c r="S606" s="79">
        <f t="shared" si="277"/>
        <v>0</v>
      </c>
      <c r="T606" s="79">
        <f t="shared" si="277"/>
        <v>0</v>
      </c>
      <c r="U606" s="79">
        <f t="shared" si="277"/>
        <v>0</v>
      </c>
      <c r="V606" s="79">
        <f t="shared" si="277"/>
        <v>0</v>
      </c>
      <c r="W606" s="79">
        <f t="shared" si="277"/>
        <v>0</v>
      </c>
      <c r="X606" s="63">
        <f t="shared" si="277"/>
        <v>0</v>
      </c>
      <c r="Y606" s="63">
        <f t="shared" si="277"/>
        <v>0</v>
      </c>
      <c r="Z606" s="63">
        <f t="shared" si="277"/>
        <v>0</v>
      </c>
      <c r="AA606" s="63">
        <f t="shared" si="278"/>
        <v>0</v>
      </c>
      <c r="AB606" s="58" t="str">
        <f t="shared" si="279"/>
        <v>ok</v>
      </c>
    </row>
    <row r="607" spans="1:28">
      <c r="A607" s="68" t="s">
        <v>626</v>
      </c>
      <c r="C607" s="60" t="s">
        <v>1075</v>
      </c>
      <c r="D607" s="60" t="s">
        <v>577</v>
      </c>
      <c r="E607" s="60" t="s">
        <v>678</v>
      </c>
      <c r="F607" s="79">
        <f>VLOOKUP(C607,'Functional Assignment'!$C$2:$AP$780,'Functional Assignment'!$V$2,)</f>
        <v>0</v>
      </c>
      <c r="G607" s="79">
        <f t="shared" si="276"/>
        <v>0</v>
      </c>
      <c r="H607" s="79">
        <f t="shared" si="276"/>
        <v>0</v>
      </c>
      <c r="I607" s="79">
        <f t="shared" si="276"/>
        <v>0</v>
      </c>
      <c r="J607" s="79">
        <f t="shared" si="276"/>
        <v>0</v>
      </c>
      <c r="K607" s="79">
        <f t="shared" si="276"/>
        <v>0</v>
      </c>
      <c r="L607" s="79">
        <f t="shared" si="276"/>
        <v>0</v>
      </c>
      <c r="M607" s="79">
        <f t="shared" si="276"/>
        <v>0</v>
      </c>
      <c r="N607" s="79">
        <f t="shared" si="276"/>
        <v>0</v>
      </c>
      <c r="O607" s="79">
        <f t="shared" si="276"/>
        <v>0</v>
      </c>
      <c r="P607" s="79">
        <f t="shared" si="276"/>
        <v>0</v>
      </c>
      <c r="Q607" s="79">
        <f t="shared" si="277"/>
        <v>0</v>
      </c>
      <c r="R607" s="79">
        <f t="shared" si="277"/>
        <v>0</v>
      </c>
      <c r="S607" s="79">
        <f t="shared" si="277"/>
        <v>0</v>
      </c>
      <c r="T607" s="79">
        <f t="shared" si="277"/>
        <v>0</v>
      </c>
      <c r="U607" s="79">
        <f t="shared" si="277"/>
        <v>0</v>
      </c>
      <c r="V607" s="79">
        <f t="shared" si="277"/>
        <v>0</v>
      </c>
      <c r="W607" s="79">
        <f t="shared" si="277"/>
        <v>0</v>
      </c>
      <c r="X607" s="63">
        <f t="shared" si="277"/>
        <v>0</v>
      </c>
      <c r="Y607" s="63">
        <f t="shared" si="277"/>
        <v>0</v>
      </c>
      <c r="Z607" s="63">
        <f t="shared" si="277"/>
        <v>0</v>
      </c>
      <c r="AA607" s="63">
        <f t="shared" si="278"/>
        <v>0</v>
      </c>
      <c r="AB607" s="58" t="str">
        <f t="shared" si="279"/>
        <v>ok</v>
      </c>
    </row>
    <row r="608" spans="1:28">
      <c r="A608" s="68" t="s">
        <v>627</v>
      </c>
      <c r="C608" s="60" t="s">
        <v>1075</v>
      </c>
      <c r="D608" s="60" t="s">
        <v>578</v>
      </c>
      <c r="E608" s="60" t="s">
        <v>697</v>
      </c>
      <c r="F608" s="79">
        <f>VLOOKUP(C608,'Functional Assignment'!$C$2:$AP$780,'Functional Assignment'!$W$2,)</f>
        <v>0</v>
      </c>
      <c r="G608" s="79">
        <f t="shared" si="276"/>
        <v>0</v>
      </c>
      <c r="H608" s="79">
        <f t="shared" si="276"/>
        <v>0</v>
      </c>
      <c r="I608" s="79">
        <f t="shared" si="276"/>
        <v>0</v>
      </c>
      <c r="J608" s="79">
        <f t="shared" si="276"/>
        <v>0</v>
      </c>
      <c r="K608" s="79">
        <f t="shared" si="276"/>
        <v>0</v>
      </c>
      <c r="L608" s="79">
        <f t="shared" si="276"/>
        <v>0</v>
      </c>
      <c r="M608" s="79">
        <f t="shared" si="276"/>
        <v>0</v>
      </c>
      <c r="N608" s="79">
        <f t="shared" si="276"/>
        <v>0</v>
      </c>
      <c r="O608" s="79">
        <f t="shared" si="276"/>
        <v>0</v>
      </c>
      <c r="P608" s="79">
        <f t="shared" si="276"/>
        <v>0</v>
      </c>
      <c r="Q608" s="79">
        <f t="shared" si="277"/>
        <v>0</v>
      </c>
      <c r="R608" s="79">
        <f t="shared" si="277"/>
        <v>0</v>
      </c>
      <c r="S608" s="79">
        <f t="shared" si="277"/>
        <v>0</v>
      </c>
      <c r="T608" s="79">
        <f t="shared" si="277"/>
        <v>0</v>
      </c>
      <c r="U608" s="79">
        <f t="shared" si="277"/>
        <v>0</v>
      </c>
      <c r="V608" s="79">
        <f t="shared" si="277"/>
        <v>0</v>
      </c>
      <c r="W608" s="79">
        <f t="shared" si="277"/>
        <v>0</v>
      </c>
      <c r="X608" s="63">
        <f t="shared" si="277"/>
        <v>0</v>
      </c>
      <c r="Y608" s="63">
        <f t="shared" si="277"/>
        <v>0</v>
      </c>
      <c r="Z608" s="63">
        <f t="shared" si="277"/>
        <v>0</v>
      </c>
      <c r="AA608" s="63">
        <f t="shared" si="278"/>
        <v>0</v>
      </c>
      <c r="AB608" s="58" t="str">
        <f t="shared" si="279"/>
        <v>ok</v>
      </c>
    </row>
    <row r="609" spans="1:28">
      <c r="A609" s="60" t="s">
        <v>378</v>
      </c>
      <c r="D609" s="60" t="s">
        <v>579</v>
      </c>
      <c r="F609" s="76">
        <f>SUM(F604:F608)</f>
        <v>0</v>
      </c>
      <c r="G609" s="76">
        <f t="shared" ref="G609:W609" si="280">SUM(G604:G608)</f>
        <v>0</v>
      </c>
      <c r="H609" s="76">
        <f t="shared" si="280"/>
        <v>0</v>
      </c>
      <c r="I609" s="76">
        <f t="shared" si="280"/>
        <v>0</v>
      </c>
      <c r="J609" s="76">
        <f t="shared" si="280"/>
        <v>0</v>
      </c>
      <c r="K609" s="76">
        <f t="shared" si="280"/>
        <v>0</v>
      </c>
      <c r="L609" s="76">
        <f t="shared" si="280"/>
        <v>0</v>
      </c>
      <c r="M609" s="76">
        <f t="shared" si="280"/>
        <v>0</v>
      </c>
      <c r="N609" s="76">
        <f t="shared" si="280"/>
        <v>0</v>
      </c>
      <c r="O609" s="76">
        <f>SUM(O604:O608)</f>
        <v>0</v>
      </c>
      <c r="P609" s="76">
        <f t="shared" si="280"/>
        <v>0</v>
      </c>
      <c r="Q609" s="76">
        <f t="shared" si="280"/>
        <v>0</v>
      </c>
      <c r="R609" s="76">
        <f t="shared" si="280"/>
        <v>0</v>
      </c>
      <c r="S609" s="76">
        <f t="shared" si="280"/>
        <v>0</v>
      </c>
      <c r="T609" s="76">
        <f t="shared" si="280"/>
        <v>0</v>
      </c>
      <c r="U609" s="76">
        <f t="shared" si="280"/>
        <v>0</v>
      </c>
      <c r="V609" s="76">
        <f t="shared" si="280"/>
        <v>0</v>
      </c>
      <c r="W609" s="76">
        <f t="shared" si="280"/>
        <v>0</v>
      </c>
      <c r="X609" s="62">
        <f>SUM(X604:X608)</f>
        <v>0</v>
      </c>
      <c r="Y609" s="62">
        <f>SUM(Y604:Y608)</f>
        <v>0</v>
      </c>
      <c r="Z609" s="62">
        <f>SUM(Z604:Z608)</f>
        <v>0</v>
      </c>
      <c r="AA609" s="64">
        <f t="shared" si="278"/>
        <v>0</v>
      </c>
      <c r="AB609" s="58" t="str">
        <f t="shared" si="279"/>
        <v>ok</v>
      </c>
    </row>
    <row r="610" spans="1:28">
      <c r="F610" s="79"/>
    </row>
    <row r="611" spans="1:28" ht="15">
      <c r="A611" s="65" t="s">
        <v>634</v>
      </c>
      <c r="F611" s="79"/>
    </row>
    <row r="612" spans="1:28">
      <c r="A612" s="68" t="s">
        <v>1090</v>
      </c>
      <c r="C612" s="60" t="s">
        <v>1075</v>
      </c>
      <c r="D612" s="60" t="s">
        <v>580</v>
      </c>
      <c r="E612" s="60" t="s">
        <v>1336</v>
      </c>
      <c r="F612" s="76">
        <f>VLOOKUP(C612,'Functional Assignment'!$C$2:$AP$780,'Functional Assignment'!$X$2,)</f>
        <v>0</v>
      </c>
      <c r="G612" s="76">
        <f t="shared" ref="G612:P613" si="281">IF(VLOOKUP($E612,$D$6:$AN$1131,3,)=0,0,(VLOOKUP($E612,$D$6:$AN$1131,G$2,)/VLOOKUP($E612,$D$6:$AN$1131,3,))*$F612)</f>
        <v>0</v>
      </c>
      <c r="H612" s="76">
        <f t="shared" si="281"/>
        <v>0</v>
      </c>
      <c r="I612" s="76">
        <f t="shared" si="281"/>
        <v>0</v>
      </c>
      <c r="J612" s="76">
        <f t="shared" si="281"/>
        <v>0</v>
      </c>
      <c r="K612" s="76">
        <f t="shared" si="281"/>
        <v>0</v>
      </c>
      <c r="L612" s="76">
        <f t="shared" si="281"/>
        <v>0</v>
      </c>
      <c r="M612" s="76">
        <f t="shared" si="281"/>
        <v>0</v>
      </c>
      <c r="N612" s="76">
        <f t="shared" si="281"/>
        <v>0</v>
      </c>
      <c r="O612" s="76">
        <f t="shared" si="281"/>
        <v>0</v>
      </c>
      <c r="P612" s="76">
        <f t="shared" si="281"/>
        <v>0</v>
      </c>
      <c r="Q612" s="76">
        <f t="shared" ref="Q612:Z613" si="282">IF(VLOOKUP($E612,$D$6:$AN$1131,3,)=0,0,(VLOOKUP($E612,$D$6:$AN$1131,Q$2,)/VLOOKUP($E612,$D$6:$AN$1131,3,))*$F612)</f>
        <v>0</v>
      </c>
      <c r="R612" s="76">
        <f t="shared" si="282"/>
        <v>0</v>
      </c>
      <c r="S612" s="76">
        <f t="shared" si="282"/>
        <v>0</v>
      </c>
      <c r="T612" s="76">
        <f t="shared" si="282"/>
        <v>0</v>
      </c>
      <c r="U612" s="76">
        <f t="shared" si="282"/>
        <v>0</v>
      </c>
      <c r="V612" s="76">
        <f t="shared" si="282"/>
        <v>0</v>
      </c>
      <c r="W612" s="76">
        <f t="shared" si="282"/>
        <v>0</v>
      </c>
      <c r="X612" s="62">
        <f t="shared" si="282"/>
        <v>0</v>
      </c>
      <c r="Y612" s="62">
        <f t="shared" si="282"/>
        <v>0</v>
      </c>
      <c r="Z612" s="62">
        <f t="shared" si="282"/>
        <v>0</v>
      </c>
      <c r="AA612" s="64">
        <f>SUM(G612:Z612)</f>
        <v>0</v>
      </c>
      <c r="AB612" s="58" t="str">
        <f>IF(ABS(F612-AA612)&lt;0.01,"ok","err")</f>
        <v>ok</v>
      </c>
    </row>
    <row r="613" spans="1:28">
      <c r="A613" s="68" t="s">
        <v>1093</v>
      </c>
      <c r="C613" s="60" t="s">
        <v>1075</v>
      </c>
      <c r="D613" s="60" t="s">
        <v>581</v>
      </c>
      <c r="E613" s="60" t="s">
        <v>1334</v>
      </c>
      <c r="F613" s="79">
        <f>VLOOKUP(C613,'Functional Assignment'!$C$2:$AP$780,'Functional Assignment'!$Y$2,)</f>
        <v>0</v>
      </c>
      <c r="G613" s="79">
        <f t="shared" si="281"/>
        <v>0</v>
      </c>
      <c r="H613" s="79">
        <f t="shared" si="281"/>
        <v>0</v>
      </c>
      <c r="I613" s="79">
        <f t="shared" si="281"/>
        <v>0</v>
      </c>
      <c r="J613" s="79">
        <f t="shared" si="281"/>
        <v>0</v>
      </c>
      <c r="K613" s="79">
        <f t="shared" si="281"/>
        <v>0</v>
      </c>
      <c r="L613" s="79">
        <f t="shared" si="281"/>
        <v>0</v>
      </c>
      <c r="M613" s="79">
        <f t="shared" si="281"/>
        <v>0</v>
      </c>
      <c r="N613" s="79">
        <f t="shared" si="281"/>
        <v>0</v>
      </c>
      <c r="O613" s="79">
        <f t="shared" si="281"/>
        <v>0</v>
      </c>
      <c r="P613" s="79">
        <f t="shared" si="281"/>
        <v>0</v>
      </c>
      <c r="Q613" s="79">
        <f t="shared" si="282"/>
        <v>0</v>
      </c>
      <c r="R613" s="79">
        <f t="shared" si="282"/>
        <v>0</v>
      </c>
      <c r="S613" s="79">
        <f t="shared" si="282"/>
        <v>0</v>
      </c>
      <c r="T613" s="79">
        <f t="shared" si="282"/>
        <v>0</v>
      </c>
      <c r="U613" s="79">
        <f t="shared" si="282"/>
        <v>0</v>
      </c>
      <c r="V613" s="79">
        <f t="shared" si="282"/>
        <v>0</v>
      </c>
      <c r="W613" s="79">
        <f t="shared" si="282"/>
        <v>0</v>
      </c>
      <c r="X613" s="63">
        <f t="shared" si="282"/>
        <v>0</v>
      </c>
      <c r="Y613" s="63">
        <f t="shared" si="282"/>
        <v>0</v>
      </c>
      <c r="Z613" s="63">
        <f t="shared" si="282"/>
        <v>0</v>
      </c>
      <c r="AA613" s="63">
        <f>SUM(G613:Z613)</f>
        <v>0</v>
      </c>
      <c r="AB613" s="58" t="str">
        <f>IF(ABS(F613-AA613)&lt;0.01,"ok","err")</f>
        <v>ok</v>
      </c>
    </row>
    <row r="614" spans="1:28">
      <c r="A614" s="60" t="s">
        <v>712</v>
      </c>
      <c r="D614" s="60" t="s">
        <v>582</v>
      </c>
      <c r="F614" s="76">
        <f>F612+F613</f>
        <v>0</v>
      </c>
      <c r="G614" s="76">
        <f t="shared" ref="G614:W614" si="283">G612+G613</f>
        <v>0</v>
      </c>
      <c r="H614" s="76">
        <f t="shared" si="283"/>
        <v>0</v>
      </c>
      <c r="I614" s="76">
        <f t="shared" si="283"/>
        <v>0</v>
      </c>
      <c r="J614" s="76">
        <f t="shared" si="283"/>
        <v>0</v>
      </c>
      <c r="K614" s="76">
        <f t="shared" si="283"/>
        <v>0</v>
      </c>
      <c r="L614" s="76">
        <f t="shared" si="283"/>
        <v>0</v>
      </c>
      <c r="M614" s="76">
        <f t="shared" si="283"/>
        <v>0</v>
      </c>
      <c r="N614" s="76">
        <f t="shared" si="283"/>
        <v>0</v>
      </c>
      <c r="O614" s="76">
        <f>O612+O613</f>
        <v>0</v>
      </c>
      <c r="P614" s="76">
        <f t="shared" si="283"/>
        <v>0</v>
      </c>
      <c r="Q614" s="76">
        <f t="shared" si="283"/>
        <v>0</v>
      </c>
      <c r="R614" s="76">
        <f t="shared" si="283"/>
        <v>0</v>
      </c>
      <c r="S614" s="76">
        <f t="shared" si="283"/>
        <v>0</v>
      </c>
      <c r="T614" s="76">
        <f t="shared" si="283"/>
        <v>0</v>
      </c>
      <c r="U614" s="76">
        <f t="shared" si="283"/>
        <v>0</v>
      </c>
      <c r="V614" s="76">
        <f t="shared" si="283"/>
        <v>0</v>
      </c>
      <c r="W614" s="76">
        <f t="shared" si="283"/>
        <v>0</v>
      </c>
      <c r="X614" s="62">
        <f>X612+X613</f>
        <v>0</v>
      </c>
      <c r="Y614" s="62">
        <f>Y612+Y613</f>
        <v>0</v>
      </c>
      <c r="Z614" s="62">
        <f>Z612+Z613</f>
        <v>0</v>
      </c>
      <c r="AA614" s="64">
        <f>SUM(G614:Z614)</f>
        <v>0</v>
      </c>
      <c r="AB614" s="58" t="str">
        <f>IF(ABS(F614-AA614)&lt;0.01,"ok","err")</f>
        <v>ok</v>
      </c>
    </row>
    <row r="615" spans="1:28">
      <c r="F615" s="79"/>
    </row>
    <row r="616" spans="1:28" ht="15">
      <c r="A616" s="65" t="s">
        <v>354</v>
      </c>
      <c r="F616" s="79"/>
    </row>
    <row r="617" spans="1:28">
      <c r="A617" s="68" t="s">
        <v>1093</v>
      </c>
      <c r="C617" s="60" t="s">
        <v>1075</v>
      </c>
      <c r="D617" s="60" t="s">
        <v>583</v>
      </c>
      <c r="E617" s="60" t="s">
        <v>1095</v>
      </c>
      <c r="F617" s="76">
        <f>VLOOKUP(C617,'Functional Assignment'!$C$2:$AP$780,'Functional Assignment'!$Z$2,)</f>
        <v>0</v>
      </c>
      <c r="G617" s="76">
        <f t="shared" ref="G617:Z617" si="284">IF(VLOOKUP($E617,$D$6:$AN$1131,3,)=0,0,(VLOOKUP($E617,$D$6:$AN$1131,G$2,)/VLOOKUP($E617,$D$6:$AN$1131,3,))*$F617)</f>
        <v>0</v>
      </c>
      <c r="H617" s="76">
        <f t="shared" si="284"/>
        <v>0</v>
      </c>
      <c r="I617" s="76">
        <f t="shared" si="284"/>
        <v>0</v>
      </c>
      <c r="J617" s="76">
        <f t="shared" si="284"/>
        <v>0</v>
      </c>
      <c r="K617" s="76">
        <f t="shared" si="284"/>
        <v>0</v>
      </c>
      <c r="L617" s="76">
        <f t="shared" si="284"/>
        <v>0</v>
      </c>
      <c r="M617" s="76">
        <f t="shared" si="284"/>
        <v>0</v>
      </c>
      <c r="N617" s="76">
        <f t="shared" si="284"/>
        <v>0</v>
      </c>
      <c r="O617" s="76">
        <f t="shared" si="284"/>
        <v>0</v>
      </c>
      <c r="P617" s="76">
        <f t="shared" si="284"/>
        <v>0</v>
      </c>
      <c r="Q617" s="76">
        <f t="shared" si="284"/>
        <v>0</v>
      </c>
      <c r="R617" s="76">
        <f t="shared" si="284"/>
        <v>0</v>
      </c>
      <c r="S617" s="76">
        <f t="shared" si="284"/>
        <v>0</v>
      </c>
      <c r="T617" s="76">
        <f t="shared" si="284"/>
        <v>0</v>
      </c>
      <c r="U617" s="76">
        <f t="shared" si="284"/>
        <v>0</v>
      </c>
      <c r="V617" s="76">
        <f t="shared" si="284"/>
        <v>0</v>
      </c>
      <c r="W617" s="76">
        <f t="shared" si="284"/>
        <v>0</v>
      </c>
      <c r="X617" s="62">
        <f t="shared" si="284"/>
        <v>0</v>
      </c>
      <c r="Y617" s="62">
        <f t="shared" si="284"/>
        <v>0</v>
      </c>
      <c r="Z617" s="62">
        <f t="shared" si="284"/>
        <v>0</v>
      </c>
      <c r="AA617" s="64">
        <f>SUM(G617:Z617)</f>
        <v>0</v>
      </c>
      <c r="AB617" s="58" t="str">
        <f>IF(ABS(F617-AA617)&lt;0.01,"ok","err")</f>
        <v>ok</v>
      </c>
    </row>
    <row r="618" spans="1:28">
      <c r="F618" s="79"/>
    </row>
    <row r="619" spans="1:28" ht="15">
      <c r="A619" s="65" t="s">
        <v>353</v>
      </c>
      <c r="F619" s="79"/>
    </row>
    <row r="620" spans="1:28">
      <c r="A620" s="68" t="s">
        <v>1093</v>
      </c>
      <c r="C620" s="60" t="s">
        <v>1075</v>
      </c>
      <c r="D620" s="60" t="s">
        <v>584</v>
      </c>
      <c r="E620" s="60" t="s">
        <v>1096</v>
      </c>
      <c r="F620" s="76">
        <f>VLOOKUP(C620,'Functional Assignment'!$C$2:$AP$780,'Functional Assignment'!$AA$2,)</f>
        <v>0</v>
      </c>
      <c r="G620" s="76">
        <f t="shared" ref="G620:Z620" si="285">IF(VLOOKUP($E620,$D$6:$AN$1131,3,)=0,0,(VLOOKUP($E620,$D$6:$AN$1131,G$2,)/VLOOKUP($E620,$D$6:$AN$1131,3,))*$F620)</f>
        <v>0</v>
      </c>
      <c r="H620" s="76">
        <f t="shared" si="285"/>
        <v>0</v>
      </c>
      <c r="I620" s="76">
        <f t="shared" si="285"/>
        <v>0</v>
      </c>
      <c r="J620" s="76">
        <f t="shared" si="285"/>
        <v>0</v>
      </c>
      <c r="K620" s="76">
        <f t="shared" si="285"/>
        <v>0</v>
      </c>
      <c r="L620" s="76">
        <f t="shared" si="285"/>
        <v>0</v>
      </c>
      <c r="M620" s="76">
        <f t="shared" si="285"/>
        <v>0</v>
      </c>
      <c r="N620" s="76">
        <f t="shared" si="285"/>
        <v>0</v>
      </c>
      <c r="O620" s="76">
        <f t="shared" si="285"/>
        <v>0</v>
      </c>
      <c r="P620" s="76">
        <f t="shared" si="285"/>
        <v>0</v>
      </c>
      <c r="Q620" s="76">
        <f t="shared" si="285"/>
        <v>0</v>
      </c>
      <c r="R620" s="76">
        <f t="shared" si="285"/>
        <v>0</v>
      </c>
      <c r="S620" s="76">
        <f t="shared" si="285"/>
        <v>0</v>
      </c>
      <c r="T620" s="76">
        <f t="shared" si="285"/>
        <v>0</v>
      </c>
      <c r="U620" s="76">
        <f t="shared" si="285"/>
        <v>0</v>
      </c>
      <c r="V620" s="76">
        <f t="shared" si="285"/>
        <v>0</v>
      </c>
      <c r="W620" s="76">
        <f t="shared" si="285"/>
        <v>0</v>
      </c>
      <c r="X620" s="62">
        <f t="shared" si="285"/>
        <v>0</v>
      </c>
      <c r="Y620" s="62">
        <f t="shared" si="285"/>
        <v>0</v>
      </c>
      <c r="Z620" s="62">
        <f t="shared" si="285"/>
        <v>0</v>
      </c>
      <c r="AA620" s="64">
        <f>SUM(G620:Z620)</f>
        <v>0</v>
      </c>
      <c r="AB620" s="58" t="str">
        <f>IF(ABS(F620-AA620)&lt;0.01,"ok","err")</f>
        <v>ok</v>
      </c>
    </row>
    <row r="621" spans="1:28"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62"/>
      <c r="Y621" s="62"/>
      <c r="Z621" s="62"/>
      <c r="AA621" s="64"/>
    </row>
    <row r="622" spans="1:28" ht="15">
      <c r="A622" s="65" t="s">
        <v>371</v>
      </c>
      <c r="F622" s="79"/>
    </row>
    <row r="623" spans="1:28">
      <c r="A623" s="68" t="s">
        <v>1093</v>
      </c>
      <c r="C623" s="60" t="s">
        <v>1075</v>
      </c>
      <c r="D623" s="60" t="s">
        <v>585</v>
      </c>
      <c r="E623" s="60" t="s">
        <v>1097</v>
      </c>
      <c r="F623" s="76">
        <f>VLOOKUP(C623,'Functional Assignment'!$C$2:$AP$780,'Functional Assignment'!$AB$2,)</f>
        <v>0</v>
      </c>
      <c r="G623" s="76">
        <f t="shared" ref="G623:Z623" si="286">IF(VLOOKUP($E623,$D$6:$AN$1131,3,)=0,0,(VLOOKUP($E623,$D$6:$AN$1131,G$2,)/VLOOKUP($E623,$D$6:$AN$1131,3,))*$F623)</f>
        <v>0</v>
      </c>
      <c r="H623" s="76">
        <f t="shared" si="286"/>
        <v>0</v>
      </c>
      <c r="I623" s="76">
        <f t="shared" si="286"/>
        <v>0</v>
      </c>
      <c r="J623" s="76">
        <f t="shared" si="286"/>
        <v>0</v>
      </c>
      <c r="K623" s="76">
        <f t="shared" si="286"/>
        <v>0</v>
      </c>
      <c r="L623" s="76">
        <f t="shared" si="286"/>
        <v>0</v>
      </c>
      <c r="M623" s="76">
        <f t="shared" si="286"/>
        <v>0</v>
      </c>
      <c r="N623" s="76">
        <f t="shared" si="286"/>
        <v>0</v>
      </c>
      <c r="O623" s="76">
        <f t="shared" si="286"/>
        <v>0</v>
      </c>
      <c r="P623" s="76">
        <f t="shared" si="286"/>
        <v>0</v>
      </c>
      <c r="Q623" s="76">
        <f t="shared" si="286"/>
        <v>0</v>
      </c>
      <c r="R623" s="76">
        <f t="shared" si="286"/>
        <v>0</v>
      </c>
      <c r="S623" s="76">
        <f t="shared" si="286"/>
        <v>0</v>
      </c>
      <c r="T623" s="76">
        <f t="shared" si="286"/>
        <v>0</v>
      </c>
      <c r="U623" s="76">
        <f t="shared" si="286"/>
        <v>0</v>
      </c>
      <c r="V623" s="76">
        <f t="shared" si="286"/>
        <v>0</v>
      </c>
      <c r="W623" s="76">
        <f t="shared" si="286"/>
        <v>0</v>
      </c>
      <c r="X623" s="62">
        <f t="shared" si="286"/>
        <v>0</v>
      </c>
      <c r="Y623" s="62">
        <f t="shared" si="286"/>
        <v>0</v>
      </c>
      <c r="Z623" s="62">
        <f t="shared" si="286"/>
        <v>0</v>
      </c>
      <c r="AA623" s="64">
        <f>SUM(G623:Z623)</f>
        <v>0</v>
      </c>
      <c r="AB623" s="58" t="str">
        <f>IF(ABS(F623-AA623)&lt;0.01,"ok","err")</f>
        <v>ok</v>
      </c>
    </row>
    <row r="624" spans="1:28"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62"/>
      <c r="Y624" s="62"/>
      <c r="Z624" s="62"/>
      <c r="AA624" s="64"/>
    </row>
    <row r="625" spans="1:28" ht="15">
      <c r="A625" s="65" t="s">
        <v>1025</v>
      </c>
      <c r="F625" s="79"/>
    </row>
    <row r="626" spans="1:28">
      <c r="A626" s="68" t="s">
        <v>1093</v>
      </c>
      <c r="C626" s="60" t="s">
        <v>1075</v>
      </c>
      <c r="D626" s="60" t="s">
        <v>586</v>
      </c>
      <c r="E626" s="60" t="s">
        <v>1098</v>
      </c>
      <c r="F626" s="76">
        <f>VLOOKUP(C626,'Functional Assignment'!$C$2:$AP$780,'Functional Assignment'!$AC$2,)</f>
        <v>0</v>
      </c>
      <c r="G626" s="76">
        <f t="shared" ref="G626:Z626" si="287">IF(VLOOKUP($E626,$D$6:$AN$1131,3,)=0,0,(VLOOKUP($E626,$D$6:$AN$1131,G$2,)/VLOOKUP($E626,$D$6:$AN$1131,3,))*$F626)</f>
        <v>0</v>
      </c>
      <c r="H626" s="76">
        <f t="shared" si="287"/>
        <v>0</v>
      </c>
      <c r="I626" s="76">
        <f t="shared" si="287"/>
        <v>0</v>
      </c>
      <c r="J626" s="76">
        <f t="shared" si="287"/>
        <v>0</v>
      </c>
      <c r="K626" s="76">
        <f t="shared" si="287"/>
        <v>0</v>
      </c>
      <c r="L626" s="76">
        <f t="shared" si="287"/>
        <v>0</v>
      </c>
      <c r="M626" s="76">
        <f t="shared" si="287"/>
        <v>0</v>
      </c>
      <c r="N626" s="76">
        <f t="shared" si="287"/>
        <v>0</v>
      </c>
      <c r="O626" s="76">
        <f t="shared" si="287"/>
        <v>0</v>
      </c>
      <c r="P626" s="76">
        <f t="shared" si="287"/>
        <v>0</v>
      </c>
      <c r="Q626" s="76">
        <f t="shared" si="287"/>
        <v>0</v>
      </c>
      <c r="R626" s="76">
        <f t="shared" si="287"/>
        <v>0</v>
      </c>
      <c r="S626" s="76">
        <f t="shared" si="287"/>
        <v>0</v>
      </c>
      <c r="T626" s="76">
        <f t="shared" si="287"/>
        <v>0</v>
      </c>
      <c r="U626" s="76">
        <f t="shared" si="287"/>
        <v>0</v>
      </c>
      <c r="V626" s="76">
        <f t="shared" si="287"/>
        <v>0</v>
      </c>
      <c r="W626" s="76">
        <f t="shared" si="287"/>
        <v>0</v>
      </c>
      <c r="X626" s="62">
        <f t="shared" si="287"/>
        <v>0</v>
      </c>
      <c r="Y626" s="62">
        <f t="shared" si="287"/>
        <v>0</v>
      </c>
      <c r="Z626" s="62">
        <f t="shared" si="287"/>
        <v>0</v>
      </c>
      <c r="AA626" s="64">
        <f>SUM(G626:Z626)</f>
        <v>0</v>
      </c>
      <c r="AB626" s="58" t="str">
        <f>IF(ABS(F626-AA626)&lt;0.01,"ok","err")</f>
        <v>ok</v>
      </c>
    </row>
    <row r="627" spans="1:28"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62"/>
      <c r="Y627" s="62"/>
      <c r="Z627" s="62"/>
      <c r="AA627" s="64"/>
    </row>
    <row r="628" spans="1:28" ht="15">
      <c r="A628" s="65" t="s">
        <v>351</v>
      </c>
      <c r="F628" s="79"/>
    </row>
    <row r="629" spans="1:28">
      <c r="A629" s="68" t="s">
        <v>1093</v>
      </c>
      <c r="C629" s="60" t="s">
        <v>1075</v>
      </c>
      <c r="D629" s="60" t="s">
        <v>587</v>
      </c>
      <c r="E629" s="60" t="s">
        <v>1098</v>
      </c>
      <c r="F629" s="76">
        <f>VLOOKUP(C629,'Functional Assignment'!$C$2:$AP$780,'Functional Assignment'!$AD$2,)</f>
        <v>0</v>
      </c>
      <c r="G629" s="76">
        <f t="shared" ref="G629:Z629" si="288">IF(VLOOKUP($E629,$D$6:$AN$1131,3,)=0,0,(VLOOKUP($E629,$D$6:$AN$1131,G$2,)/VLOOKUP($E629,$D$6:$AN$1131,3,))*$F629)</f>
        <v>0</v>
      </c>
      <c r="H629" s="76">
        <f t="shared" si="288"/>
        <v>0</v>
      </c>
      <c r="I629" s="76">
        <f t="shared" si="288"/>
        <v>0</v>
      </c>
      <c r="J629" s="76">
        <f t="shared" si="288"/>
        <v>0</v>
      </c>
      <c r="K629" s="76">
        <f t="shared" si="288"/>
        <v>0</v>
      </c>
      <c r="L629" s="76">
        <f t="shared" si="288"/>
        <v>0</v>
      </c>
      <c r="M629" s="76">
        <f t="shared" si="288"/>
        <v>0</v>
      </c>
      <c r="N629" s="76">
        <f t="shared" si="288"/>
        <v>0</v>
      </c>
      <c r="O629" s="76">
        <f t="shared" si="288"/>
        <v>0</v>
      </c>
      <c r="P629" s="76">
        <f t="shared" si="288"/>
        <v>0</v>
      </c>
      <c r="Q629" s="76">
        <f t="shared" si="288"/>
        <v>0</v>
      </c>
      <c r="R629" s="76">
        <f t="shared" si="288"/>
        <v>0</v>
      </c>
      <c r="S629" s="76">
        <f t="shared" si="288"/>
        <v>0</v>
      </c>
      <c r="T629" s="76">
        <f t="shared" si="288"/>
        <v>0</v>
      </c>
      <c r="U629" s="76">
        <f t="shared" si="288"/>
        <v>0</v>
      </c>
      <c r="V629" s="76">
        <f t="shared" si="288"/>
        <v>0</v>
      </c>
      <c r="W629" s="76">
        <f t="shared" si="288"/>
        <v>0</v>
      </c>
      <c r="X629" s="62">
        <f t="shared" si="288"/>
        <v>0</v>
      </c>
      <c r="Y629" s="62">
        <f t="shared" si="288"/>
        <v>0</v>
      </c>
      <c r="Z629" s="62">
        <f t="shared" si="288"/>
        <v>0</v>
      </c>
      <c r="AA629" s="64">
        <f>SUM(G629:Z629)</f>
        <v>0</v>
      </c>
      <c r="AB629" s="58" t="str">
        <f>IF(ABS(F629-AA629)&lt;0.01,"ok","err")</f>
        <v>ok</v>
      </c>
    </row>
    <row r="630" spans="1:28"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62"/>
      <c r="Y630" s="62"/>
      <c r="Z630" s="62"/>
      <c r="AA630" s="64"/>
    </row>
    <row r="631" spans="1:28" ht="15">
      <c r="A631" s="65" t="s">
        <v>350</v>
      </c>
      <c r="F631" s="79"/>
    </row>
    <row r="632" spans="1:28">
      <c r="A632" s="68" t="s">
        <v>1093</v>
      </c>
      <c r="C632" s="60" t="s">
        <v>1075</v>
      </c>
      <c r="D632" s="60" t="s">
        <v>588</v>
      </c>
      <c r="E632" s="60" t="s">
        <v>1099</v>
      </c>
      <c r="F632" s="76">
        <f>VLOOKUP(C632,'Functional Assignment'!$C$2:$AP$780,'Functional Assignment'!$AE$2,)</f>
        <v>0</v>
      </c>
      <c r="G632" s="76">
        <f t="shared" ref="G632:Z632" si="289">IF(VLOOKUP($E632,$D$6:$AN$1131,3,)=0,0,(VLOOKUP($E632,$D$6:$AN$1131,G$2,)/VLOOKUP($E632,$D$6:$AN$1131,3,))*$F632)</f>
        <v>0</v>
      </c>
      <c r="H632" s="76">
        <f t="shared" si="289"/>
        <v>0</v>
      </c>
      <c r="I632" s="76">
        <f t="shared" si="289"/>
        <v>0</v>
      </c>
      <c r="J632" s="76">
        <f t="shared" si="289"/>
        <v>0</v>
      </c>
      <c r="K632" s="76">
        <f t="shared" si="289"/>
        <v>0</v>
      </c>
      <c r="L632" s="76">
        <f t="shared" si="289"/>
        <v>0</v>
      </c>
      <c r="M632" s="76">
        <f t="shared" si="289"/>
        <v>0</v>
      </c>
      <c r="N632" s="76">
        <f t="shared" si="289"/>
        <v>0</v>
      </c>
      <c r="O632" s="76">
        <f t="shared" si="289"/>
        <v>0</v>
      </c>
      <c r="P632" s="76">
        <f t="shared" si="289"/>
        <v>0</v>
      </c>
      <c r="Q632" s="76">
        <f t="shared" si="289"/>
        <v>0</v>
      </c>
      <c r="R632" s="76">
        <f t="shared" si="289"/>
        <v>0</v>
      </c>
      <c r="S632" s="76">
        <f t="shared" si="289"/>
        <v>0</v>
      </c>
      <c r="T632" s="76">
        <f t="shared" si="289"/>
        <v>0</v>
      </c>
      <c r="U632" s="76">
        <f t="shared" si="289"/>
        <v>0</v>
      </c>
      <c r="V632" s="76">
        <f t="shared" si="289"/>
        <v>0</v>
      </c>
      <c r="W632" s="76">
        <f t="shared" si="289"/>
        <v>0</v>
      </c>
      <c r="X632" s="62">
        <f t="shared" si="289"/>
        <v>0</v>
      </c>
      <c r="Y632" s="62">
        <f t="shared" si="289"/>
        <v>0</v>
      </c>
      <c r="Z632" s="62">
        <f t="shared" si="289"/>
        <v>0</v>
      </c>
      <c r="AA632" s="64">
        <f>SUM(G632:Z632)</f>
        <v>0</v>
      </c>
      <c r="AB632" s="58" t="str">
        <f>IF(ABS(F632-AA632)&lt;0.01,"ok","err")</f>
        <v>ok</v>
      </c>
    </row>
    <row r="633" spans="1:28"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62"/>
      <c r="Y633" s="62"/>
      <c r="Z633" s="62"/>
      <c r="AA633" s="64"/>
    </row>
    <row r="634" spans="1:28">
      <c r="A634" s="60" t="s">
        <v>922</v>
      </c>
      <c r="D634" s="60" t="s">
        <v>1111</v>
      </c>
      <c r="F634" s="76">
        <f>F589+F595+F598+F601+F609+F614+F617+F620+F623+F626+F629+F632</f>
        <v>0</v>
      </c>
      <c r="G634" s="76">
        <f t="shared" ref="G634:Z634" si="290">G589+G595+G598+G601+G609+G614+G617+G620+G623+G626+G629+G632</f>
        <v>0</v>
      </c>
      <c r="H634" s="76">
        <f t="shared" si="290"/>
        <v>0</v>
      </c>
      <c r="I634" s="76">
        <f t="shared" si="290"/>
        <v>0</v>
      </c>
      <c r="J634" s="76">
        <f t="shared" si="290"/>
        <v>0</v>
      </c>
      <c r="K634" s="76">
        <f t="shared" si="290"/>
        <v>0</v>
      </c>
      <c r="L634" s="76">
        <f t="shared" si="290"/>
        <v>0</v>
      </c>
      <c r="M634" s="76">
        <f t="shared" si="290"/>
        <v>0</v>
      </c>
      <c r="N634" s="76">
        <f t="shared" si="290"/>
        <v>0</v>
      </c>
      <c r="O634" s="76">
        <f>O589+O595+O598+O601+O609+O614+O617+O620+O623+O626+O629+O632</f>
        <v>0</v>
      </c>
      <c r="P634" s="76">
        <f t="shared" si="290"/>
        <v>0</v>
      </c>
      <c r="Q634" s="76">
        <f t="shared" si="290"/>
        <v>0</v>
      </c>
      <c r="R634" s="76">
        <f t="shared" si="290"/>
        <v>0</v>
      </c>
      <c r="S634" s="76">
        <f t="shared" si="290"/>
        <v>0</v>
      </c>
      <c r="T634" s="76">
        <f t="shared" si="290"/>
        <v>0</v>
      </c>
      <c r="U634" s="76">
        <f t="shared" si="290"/>
        <v>0</v>
      </c>
      <c r="V634" s="76">
        <f t="shared" si="290"/>
        <v>0</v>
      </c>
      <c r="W634" s="76">
        <f t="shared" si="290"/>
        <v>0</v>
      </c>
      <c r="X634" s="62">
        <f t="shared" si="290"/>
        <v>0</v>
      </c>
      <c r="Y634" s="62">
        <f t="shared" si="290"/>
        <v>0</v>
      </c>
      <c r="Z634" s="62">
        <f t="shared" si="290"/>
        <v>0</v>
      </c>
      <c r="AA634" s="64">
        <f>SUM(G634:Z634)</f>
        <v>0</v>
      </c>
      <c r="AB634" s="58" t="str">
        <f>IF(ABS(F634-AA634)&lt;0.01,"ok","err")</f>
        <v>ok</v>
      </c>
    </row>
    <row r="635" spans="1:28"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62"/>
      <c r="Y635" s="62"/>
      <c r="Z635" s="62"/>
      <c r="AA635" s="64"/>
      <c r="AB635" s="58"/>
    </row>
    <row r="636" spans="1:28"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62"/>
      <c r="Y636" s="62"/>
      <c r="Z636" s="62"/>
      <c r="AA636" s="64"/>
      <c r="AB636" s="58"/>
    </row>
    <row r="637" spans="1:28" ht="15">
      <c r="A637" s="65" t="s">
        <v>806</v>
      </c>
    </row>
    <row r="639" spans="1:28" ht="15">
      <c r="A639" s="65" t="s">
        <v>364</v>
      </c>
    </row>
    <row r="640" spans="1:28">
      <c r="A640" s="68" t="s">
        <v>359</v>
      </c>
      <c r="C640" s="60" t="s">
        <v>1076</v>
      </c>
      <c r="D640" s="60" t="s">
        <v>807</v>
      </c>
      <c r="E640" s="60" t="s">
        <v>869</v>
      </c>
      <c r="F640" s="76">
        <f>VLOOKUP(C640,'Functional Assignment'!$C$2:$AP$780,'Functional Assignment'!$H$2,)</f>
        <v>12024043.976316927</v>
      </c>
      <c r="G640" s="76">
        <f t="shared" ref="G640:P645" si="291">IF(VLOOKUP($E640,$D$6:$AN$1131,3,)=0,0,(VLOOKUP($E640,$D$6:$AN$1131,G$2,)/VLOOKUP($E640,$D$6:$AN$1131,3,))*$F640)</f>
        <v>4350034.9750902811</v>
      </c>
      <c r="H640" s="76">
        <f t="shared" si="291"/>
        <v>1413605.6494766816</v>
      </c>
      <c r="I640" s="76">
        <f t="shared" si="291"/>
        <v>0</v>
      </c>
      <c r="J640" s="76">
        <f t="shared" si="291"/>
        <v>168362.83637461704</v>
      </c>
      <c r="K640" s="76">
        <f t="shared" si="291"/>
        <v>1950701.8091052235</v>
      </c>
      <c r="L640" s="76">
        <f t="shared" si="291"/>
        <v>0</v>
      </c>
      <c r="M640" s="76">
        <f t="shared" si="291"/>
        <v>0</v>
      </c>
      <c r="N640" s="76">
        <f t="shared" si="291"/>
        <v>1882968.8358094147</v>
      </c>
      <c r="O640" s="76">
        <f t="shared" si="291"/>
        <v>828155.2748639232</v>
      </c>
      <c r="P640" s="76">
        <f t="shared" si="291"/>
        <v>1146583.8075518326</v>
      </c>
      <c r="Q640" s="76">
        <f t="shared" ref="Q640:Z645" si="292">IF(VLOOKUP($E640,$D$6:$AN$1131,3,)=0,0,(VLOOKUP($E640,$D$6:$AN$1131,Q$2,)/VLOOKUP($E640,$D$6:$AN$1131,3,))*$F640)</f>
        <v>111912.35920168979</v>
      </c>
      <c r="R640" s="76">
        <f t="shared" si="292"/>
        <v>59122.901788749194</v>
      </c>
      <c r="S640" s="76">
        <f t="shared" si="292"/>
        <v>105908.2183330441</v>
      </c>
      <c r="T640" s="76">
        <f t="shared" si="292"/>
        <v>3452.2098438022686</v>
      </c>
      <c r="U640" s="76">
        <f t="shared" si="292"/>
        <v>3235.0988776712238</v>
      </c>
      <c r="V640" s="76">
        <f t="shared" si="292"/>
        <v>0</v>
      </c>
      <c r="W640" s="76">
        <f t="shared" si="292"/>
        <v>0</v>
      </c>
      <c r="X640" s="62">
        <f t="shared" si="292"/>
        <v>0</v>
      </c>
      <c r="Y640" s="62">
        <f t="shared" si="292"/>
        <v>0</v>
      </c>
      <c r="Z640" s="62">
        <f t="shared" si="292"/>
        <v>0</v>
      </c>
      <c r="AA640" s="64">
        <f t="shared" ref="AA640:AA646" si="293">SUM(G640:Z640)</f>
        <v>12024043.976316934</v>
      </c>
      <c r="AB640" s="58" t="str">
        <f t="shared" ref="AB640:AB646" si="294">IF(ABS(F640-AA640)&lt;0.01,"ok","err")</f>
        <v>ok</v>
      </c>
    </row>
    <row r="641" spans="1:28">
      <c r="A641" s="68" t="s">
        <v>1255</v>
      </c>
      <c r="C641" s="60" t="s">
        <v>1076</v>
      </c>
      <c r="D641" s="60" t="s">
        <v>808</v>
      </c>
      <c r="E641" s="60" t="s">
        <v>188</v>
      </c>
      <c r="F641" s="79">
        <f>VLOOKUP(C641,'Functional Assignment'!$C$2:$AP$780,'Functional Assignment'!$I$2,)</f>
        <v>12595947.11891138</v>
      </c>
      <c r="G641" s="79">
        <f t="shared" si="291"/>
        <v>5382477.2477473179</v>
      </c>
      <c r="H641" s="79">
        <f t="shared" si="291"/>
        <v>1761267.3911671266</v>
      </c>
      <c r="I641" s="79">
        <f t="shared" si="291"/>
        <v>0</v>
      </c>
      <c r="J641" s="79">
        <f t="shared" si="291"/>
        <v>136963.3708165448</v>
      </c>
      <c r="K641" s="79">
        <f t="shared" si="291"/>
        <v>1842998.647132172</v>
      </c>
      <c r="L641" s="79">
        <f t="shared" si="291"/>
        <v>0</v>
      </c>
      <c r="M641" s="79">
        <f t="shared" si="291"/>
        <v>0</v>
      </c>
      <c r="N641" s="79">
        <f t="shared" si="291"/>
        <v>1467662.787688144</v>
      </c>
      <c r="O641" s="79">
        <f t="shared" si="291"/>
        <v>984235.35234486568</v>
      </c>
      <c r="P641" s="79">
        <f t="shared" si="291"/>
        <v>877858.00215899397</v>
      </c>
      <c r="Q641" s="79">
        <f t="shared" si="292"/>
        <v>101354.27385231027</v>
      </c>
      <c r="R641" s="79">
        <f t="shared" si="292"/>
        <v>38525.153257665501</v>
      </c>
      <c r="S641" s="79">
        <f t="shared" si="292"/>
        <v>0</v>
      </c>
      <c r="T641" s="79">
        <f t="shared" si="292"/>
        <v>0</v>
      </c>
      <c r="U641" s="79">
        <f t="shared" si="292"/>
        <v>2604.8927462396391</v>
      </c>
      <c r="V641" s="79">
        <f t="shared" si="292"/>
        <v>0</v>
      </c>
      <c r="W641" s="79">
        <f t="shared" si="292"/>
        <v>0</v>
      </c>
      <c r="X641" s="63">
        <f t="shared" si="292"/>
        <v>0</v>
      </c>
      <c r="Y641" s="63">
        <f t="shared" si="292"/>
        <v>0</v>
      </c>
      <c r="Z641" s="63">
        <f t="shared" si="292"/>
        <v>0</v>
      </c>
      <c r="AA641" s="63">
        <f t="shared" si="293"/>
        <v>12595947.11891138</v>
      </c>
      <c r="AB641" s="58" t="str">
        <f t="shared" si="294"/>
        <v>ok</v>
      </c>
    </row>
    <row r="642" spans="1:28">
      <c r="A642" s="68" t="s">
        <v>1256</v>
      </c>
      <c r="C642" s="60" t="s">
        <v>1076</v>
      </c>
      <c r="D642" s="60" t="s">
        <v>809</v>
      </c>
      <c r="E642" s="60" t="s">
        <v>191</v>
      </c>
      <c r="F642" s="79">
        <f>VLOOKUP(C642,'Functional Assignment'!$C$2:$AP$780,'Functional Assignment'!$J$2,)</f>
        <v>10353826.057951551</v>
      </c>
      <c r="G642" s="79">
        <f t="shared" si="291"/>
        <v>4048863.8172660084</v>
      </c>
      <c r="H642" s="79">
        <f t="shared" si="291"/>
        <v>1463159.0984324929</v>
      </c>
      <c r="I642" s="79">
        <f t="shared" si="291"/>
        <v>0</v>
      </c>
      <c r="J642" s="79">
        <f t="shared" si="291"/>
        <v>120669.38637225081</v>
      </c>
      <c r="K642" s="79">
        <f t="shared" si="291"/>
        <v>1703277.4877693865</v>
      </c>
      <c r="L642" s="79">
        <f t="shared" si="291"/>
        <v>0</v>
      </c>
      <c r="M642" s="79">
        <f t="shared" si="291"/>
        <v>0</v>
      </c>
      <c r="N642" s="79">
        <f t="shared" si="291"/>
        <v>1288232.7994098549</v>
      </c>
      <c r="O642" s="79">
        <f t="shared" si="291"/>
        <v>870097.92777658429</v>
      </c>
      <c r="P642" s="79">
        <f t="shared" si="291"/>
        <v>745051.33719373774</v>
      </c>
      <c r="Q642" s="79">
        <f t="shared" si="292"/>
        <v>80448.308933606691</v>
      </c>
      <c r="R642" s="79">
        <f t="shared" si="292"/>
        <v>32565.995094201953</v>
      </c>
      <c r="S642" s="79">
        <f t="shared" si="292"/>
        <v>0</v>
      </c>
      <c r="T642" s="79">
        <f t="shared" si="292"/>
        <v>0</v>
      </c>
      <c r="U642" s="79">
        <f t="shared" si="292"/>
        <v>1459.8997034258634</v>
      </c>
      <c r="V642" s="79">
        <f t="shared" si="292"/>
        <v>0</v>
      </c>
      <c r="W642" s="79">
        <f t="shared" si="292"/>
        <v>0</v>
      </c>
      <c r="X642" s="63">
        <f t="shared" si="292"/>
        <v>0</v>
      </c>
      <c r="Y642" s="63">
        <f t="shared" si="292"/>
        <v>0</v>
      </c>
      <c r="Z642" s="63">
        <f t="shared" si="292"/>
        <v>0</v>
      </c>
      <c r="AA642" s="63">
        <f t="shared" si="293"/>
        <v>10353826.057951551</v>
      </c>
      <c r="AB642" s="58" t="str">
        <f t="shared" si="294"/>
        <v>ok</v>
      </c>
    </row>
    <row r="643" spans="1:28">
      <c r="A643" s="68" t="s">
        <v>1257</v>
      </c>
      <c r="C643" s="60" t="s">
        <v>1076</v>
      </c>
      <c r="D643" s="60" t="s">
        <v>810</v>
      </c>
      <c r="E643" s="60" t="s">
        <v>1091</v>
      </c>
      <c r="F643" s="79">
        <f>VLOOKUP(C643,'Functional Assignment'!$C$2:$AP$780,'Functional Assignment'!$K$2,)</f>
        <v>0</v>
      </c>
      <c r="G643" s="79">
        <f t="shared" si="291"/>
        <v>0</v>
      </c>
      <c r="H643" s="79">
        <f t="shared" si="291"/>
        <v>0</v>
      </c>
      <c r="I643" s="79">
        <f t="shared" si="291"/>
        <v>0</v>
      </c>
      <c r="J643" s="79">
        <f t="shared" si="291"/>
        <v>0</v>
      </c>
      <c r="K643" s="79">
        <f t="shared" si="291"/>
        <v>0</v>
      </c>
      <c r="L643" s="79">
        <f t="shared" si="291"/>
        <v>0</v>
      </c>
      <c r="M643" s="79">
        <f t="shared" si="291"/>
        <v>0</v>
      </c>
      <c r="N643" s="79">
        <f t="shared" si="291"/>
        <v>0</v>
      </c>
      <c r="O643" s="79">
        <f t="shared" si="291"/>
        <v>0</v>
      </c>
      <c r="P643" s="79">
        <f t="shared" si="291"/>
        <v>0</v>
      </c>
      <c r="Q643" s="79">
        <f t="shared" si="292"/>
        <v>0</v>
      </c>
      <c r="R643" s="79">
        <f t="shared" si="292"/>
        <v>0</v>
      </c>
      <c r="S643" s="79">
        <f t="shared" si="292"/>
        <v>0</v>
      </c>
      <c r="T643" s="79">
        <f t="shared" si="292"/>
        <v>0</v>
      </c>
      <c r="U643" s="79">
        <f t="shared" si="292"/>
        <v>0</v>
      </c>
      <c r="V643" s="79">
        <f t="shared" si="292"/>
        <v>0</v>
      </c>
      <c r="W643" s="79">
        <f t="shared" si="292"/>
        <v>0</v>
      </c>
      <c r="X643" s="63">
        <f t="shared" si="292"/>
        <v>0</v>
      </c>
      <c r="Y643" s="63">
        <f t="shared" si="292"/>
        <v>0</v>
      </c>
      <c r="Z643" s="63">
        <f t="shared" si="292"/>
        <v>0</v>
      </c>
      <c r="AA643" s="63">
        <f t="shared" si="293"/>
        <v>0</v>
      </c>
      <c r="AB643" s="58" t="str">
        <f t="shared" si="294"/>
        <v>ok</v>
      </c>
    </row>
    <row r="644" spans="1:28">
      <c r="A644" s="68" t="s">
        <v>1258</v>
      </c>
      <c r="C644" s="60" t="s">
        <v>1076</v>
      </c>
      <c r="D644" s="60" t="s">
        <v>811</v>
      </c>
      <c r="E644" s="60" t="s">
        <v>1091</v>
      </c>
      <c r="F644" s="79">
        <f>VLOOKUP(C644,'Functional Assignment'!$C$2:$AP$780,'Functional Assignment'!$L$2,)</f>
        <v>0</v>
      </c>
      <c r="G644" s="79">
        <f t="shared" si="291"/>
        <v>0</v>
      </c>
      <c r="H644" s="79">
        <f t="shared" si="291"/>
        <v>0</v>
      </c>
      <c r="I644" s="79">
        <f t="shared" si="291"/>
        <v>0</v>
      </c>
      <c r="J644" s="79">
        <f t="shared" si="291"/>
        <v>0</v>
      </c>
      <c r="K644" s="79">
        <f t="shared" si="291"/>
        <v>0</v>
      </c>
      <c r="L644" s="79">
        <f t="shared" si="291"/>
        <v>0</v>
      </c>
      <c r="M644" s="79">
        <f t="shared" si="291"/>
        <v>0</v>
      </c>
      <c r="N644" s="79">
        <f t="shared" si="291"/>
        <v>0</v>
      </c>
      <c r="O644" s="79">
        <f t="shared" si="291"/>
        <v>0</v>
      </c>
      <c r="P644" s="79">
        <f t="shared" si="291"/>
        <v>0</v>
      </c>
      <c r="Q644" s="79">
        <f t="shared" si="292"/>
        <v>0</v>
      </c>
      <c r="R644" s="79">
        <f t="shared" si="292"/>
        <v>0</v>
      </c>
      <c r="S644" s="79">
        <f t="shared" si="292"/>
        <v>0</v>
      </c>
      <c r="T644" s="79">
        <f t="shared" si="292"/>
        <v>0</v>
      </c>
      <c r="U644" s="79">
        <f t="shared" si="292"/>
        <v>0</v>
      </c>
      <c r="V644" s="79">
        <f t="shared" si="292"/>
        <v>0</v>
      </c>
      <c r="W644" s="79">
        <f t="shared" si="292"/>
        <v>0</v>
      </c>
      <c r="X644" s="63">
        <f t="shared" si="292"/>
        <v>0</v>
      </c>
      <c r="Y644" s="63">
        <f t="shared" si="292"/>
        <v>0</v>
      </c>
      <c r="Z644" s="63">
        <f t="shared" si="292"/>
        <v>0</v>
      </c>
      <c r="AA644" s="63">
        <f t="shared" si="293"/>
        <v>0</v>
      </c>
      <c r="AB644" s="58" t="str">
        <f t="shared" si="294"/>
        <v>ok</v>
      </c>
    </row>
    <row r="645" spans="1:28">
      <c r="A645" s="68" t="s">
        <v>1258</v>
      </c>
      <c r="C645" s="60" t="s">
        <v>1076</v>
      </c>
      <c r="D645" s="60" t="s">
        <v>812</v>
      </c>
      <c r="E645" s="60" t="s">
        <v>1091</v>
      </c>
      <c r="F645" s="79">
        <f>VLOOKUP(C645,'Functional Assignment'!$C$2:$AP$780,'Functional Assignment'!$M$2,)</f>
        <v>0</v>
      </c>
      <c r="G645" s="79">
        <f t="shared" si="291"/>
        <v>0</v>
      </c>
      <c r="H645" s="79">
        <f t="shared" si="291"/>
        <v>0</v>
      </c>
      <c r="I645" s="79">
        <f t="shared" si="291"/>
        <v>0</v>
      </c>
      <c r="J645" s="79">
        <f t="shared" si="291"/>
        <v>0</v>
      </c>
      <c r="K645" s="79">
        <f t="shared" si="291"/>
        <v>0</v>
      </c>
      <c r="L645" s="79">
        <f t="shared" si="291"/>
        <v>0</v>
      </c>
      <c r="M645" s="79">
        <f t="shared" si="291"/>
        <v>0</v>
      </c>
      <c r="N645" s="79">
        <f t="shared" si="291"/>
        <v>0</v>
      </c>
      <c r="O645" s="79">
        <f t="shared" si="291"/>
        <v>0</v>
      </c>
      <c r="P645" s="79">
        <f t="shared" si="291"/>
        <v>0</v>
      </c>
      <c r="Q645" s="79">
        <f t="shared" si="292"/>
        <v>0</v>
      </c>
      <c r="R645" s="79">
        <f t="shared" si="292"/>
        <v>0</v>
      </c>
      <c r="S645" s="79">
        <f t="shared" si="292"/>
        <v>0</v>
      </c>
      <c r="T645" s="79">
        <f t="shared" si="292"/>
        <v>0</v>
      </c>
      <c r="U645" s="79">
        <f t="shared" si="292"/>
        <v>0</v>
      </c>
      <c r="V645" s="79">
        <f t="shared" si="292"/>
        <v>0</v>
      </c>
      <c r="W645" s="79">
        <f t="shared" si="292"/>
        <v>0</v>
      </c>
      <c r="X645" s="63">
        <f t="shared" si="292"/>
        <v>0</v>
      </c>
      <c r="Y645" s="63">
        <f t="shared" si="292"/>
        <v>0</v>
      </c>
      <c r="Z645" s="63">
        <f t="shared" si="292"/>
        <v>0</v>
      </c>
      <c r="AA645" s="63">
        <f t="shared" si="293"/>
        <v>0</v>
      </c>
      <c r="AB645" s="58" t="str">
        <f t="shared" si="294"/>
        <v>ok</v>
      </c>
    </row>
    <row r="646" spans="1:28">
      <c r="A646" s="60" t="s">
        <v>387</v>
      </c>
      <c r="D646" s="60" t="s">
        <v>813</v>
      </c>
      <c r="F646" s="76">
        <f>SUM(F640:F645)</f>
        <v>34973817.153179854</v>
      </c>
      <c r="G646" s="76">
        <f t="shared" ref="G646:W646" si="295">SUM(G640:G645)</f>
        <v>13781376.040103607</v>
      </c>
      <c r="H646" s="76">
        <f t="shared" si="295"/>
        <v>4638032.1390763018</v>
      </c>
      <c r="I646" s="76">
        <f t="shared" si="295"/>
        <v>0</v>
      </c>
      <c r="J646" s="76">
        <f t="shared" si="295"/>
        <v>425995.59356341261</v>
      </c>
      <c r="K646" s="76">
        <f t="shared" si="295"/>
        <v>5496977.944006782</v>
      </c>
      <c r="L646" s="76">
        <f t="shared" si="295"/>
        <v>0</v>
      </c>
      <c r="M646" s="76">
        <f t="shared" si="295"/>
        <v>0</v>
      </c>
      <c r="N646" s="76">
        <f t="shared" si="295"/>
        <v>4638864.4229074139</v>
      </c>
      <c r="O646" s="76">
        <f>SUM(O640:O645)</f>
        <v>2682488.5549853733</v>
      </c>
      <c r="P646" s="76">
        <f t="shared" si="295"/>
        <v>2769493.1469045645</v>
      </c>
      <c r="Q646" s="76">
        <f t="shared" si="295"/>
        <v>293714.94198760675</v>
      </c>
      <c r="R646" s="76">
        <f t="shared" si="295"/>
        <v>130214.05014061664</v>
      </c>
      <c r="S646" s="76">
        <f t="shared" si="295"/>
        <v>105908.2183330441</v>
      </c>
      <c r="T646" s="76">
        <f t="shared" si="295"/>
        <v>3452.2098438022686</v>
      </c>
      <c r="U646" s="76">
        <f t="shared" si="295"/>
        <v>7299.8913273367261</v>
      </c>
      <c r="V646" s="76">
        <f t="shared" si="295"/>
        <v>0</v>
      </c>
      <c r="W646" s="76">
        <f t="shared" si="295"/>
        <v>0</v>
      </c>
      <c r="X646" s="62">
        <f>SUM(X640:X645)</f>
        <v>0</v>
      </c>
      <c r="Y646" s="62">
        <f>SUM(Y640:Y645)</f>
        <v>0</v>
      </c>
      <c r="Z646" s="62">
        <f>SUM(Z640:Z645)</f>
        <v>0</v>
      </c>
      <c r="AA646" s="64">
        <f t="shared" si="293"/>
        <v>34973817.153179854</v>
      </c>
      <c r="AB646" s="58" t="str">
        <f t="shared" si="294"/>
        <v>ok</v>
      </c>
    </row>
    <row r="647" spans="1:28">
      <c r="F647" s="79"/>
      <c r="G647" s="79"/>
    </row>
    <row r="648" spans="1:28" ht="15">
      <c r="A648" s="65" t="s">
        <v>1131</v>
      </c>
      <c r="F648" s="79"/>
      <c r="G648" s="79"/>
    </row>
    <row r="649" spans="1:28">
      <c r="A649" s="68" t="s">
        <v>1363</v>
      </c>
      <c r="C649" s="60" t="s">
        <v>1076</v>
      </c>
      <c r="D649" s="60" t="s">
        <v>814</v>
      </c>
      <c r="E649" s="60" t="s">
        <v>1367</v>
      </c>
      <c r="F649" s="76">
        <f>VLOOKUP(C649,'Functional Assignment'!$C$2:$AP$780,'Functional Assignment'!$N$2,)</f>
        <v>6623862.5730136754</v>
      </c>
      <c r="G649" s="76">
        <f t="shared" ref="G649:P651" si="296">IF(VLOOKUP($E649,$D$6:$AN$1131,3,)=0,0,(VLOOKUP($E649,$D$6:$AN$1131,G$2,)/VLOOKUP($E649,$D$6:$AN$1131,3,))*$F649)</f>
        <v>2943564.3996685096</v>
      </c>
      <c r="H649" s="76">
        <f t="shared" si="296"/>
        <v>847296.81870976905</v>
      </c>
      <c r="I649" s="76">
        <f t="shared" si="296"/>
        <v>0</v>
      </c>
      <c r="J649" s="76">
        <f t="shared" si="296"/>
        <v>75283.064283682295</v>
      </c>
      <c r="K649" s="76">
        <f t="shared" si="296"/>
        <v>873781.02974379854</v>
      </c>
      <c r="L649" s="76">
        <f t="shared" si="296"/>
        <v>0</v>
      </c>
      <c r="M649" s="76">
        <f t="shared" si="296"/>
        <v>0</v>
      </c>
      <c r="N649" s="76">
        <f t="shared" si="296"/>
        <v>794874.10396396159</v>
      </c>
      <c r="O649" s="76">
        <f t="shared" si="296"/>
        <v>471954.52586256748</v>
      </c>
      <c r="P649" s="76">
        <f t="shared" si="296"/>
        <v>488858.83559116413</v>
      </c>
      <c r="Q649" s="76">
        <f t="shared" ref="Q649:Z651" si="297">IF(VLOOKUP($E649,$D$6:$AN$1131,3,)=0,0,(VLOOKUP($E649,$D$6:$AN$1131,Q$2,)/VLOOKUP($E649,$D$6:$AN$1131,3,))*$F649)</f>
        <v>49279.123037503829</v>
      </c>
      <c r="R649" s="76">
        <f t="shared" si="297"/>
        <v>25793.401984277523</v>
      </c>
      <c r="S649" s="76">
        <f t="shared" si="297"/>
        <v>50811.868007660283</v>
      </c>
      <c r="T649" s="76">
        <f t="shared" si="297"/>
        <v>1625.1102148303889</v>
      </c>
      <c r="U649" s="76">
        <f t="shared" si="297"/>
        <v>740.2919459518788</v>
      </c>
      <c r="V649" s="76">
        <f t="shared" si="297"/>
        <v>0</v>
      </c>
      <c r="W649" s="76">
        <f t="shared" si="297"/>
        <v>0</v>
      </c>
      <c r="X649" s="62">
        <f t="shared" si="297"/>
        <v>0</v>
      </c>
      <c r="Y649" s="62">
        <f t="shared" si="297"/>
        <v>0</v>
      </c>
      <c r="Z649" s="62">
        <f t="shared" si="297"/>
        <v>0</v>
      </c>
      <c r="AA649" s="64">
        <f>SUM(G649:Z649)</f>
        <v>6623862.5730136763</v>
      </c>
      <c r="AB649" s="58" t="str">
        <f>IF(ABS(F649-AA649)&lt;0.01,"ok","err")</f>
        <v>ok</v>
      </c>
    </row>
    <row r="650" spans="1:28" hidden="1">
      <c r="A650" s="68" t="s">
        <v>1364</v>
      </c>
      <c r="C650" s="60" t="s">
        <v>1076</v>
      </c>
      <c r="D650" s="60" t="s">
        <v>815</v>
      </c>
      <c r="E650" s="60" t="s">
        <v>188</v>
      </c>
      <c r="F650" s="79">
        <f>VLOOKUP(C650,'Functional Assignment'!$C$2:$AP$780,'Functional Assignment'!$O$2,)</f>
        <v>0</v>
      </c>
      <c r="G650" s="79">
        <f t="shared" si="296"/>
        <v>0</v>
      </c>
      <c r="H650" s="79">
        <f t="shared" si="296"/>
        <v>0</v>
      </c>
      <c r="I650" s="79">
        <f t="shared" si="296"/>
        <v>0</v>
      </c>
      <c r="J650" s="79">
        <f t="shared" si="296"/>
        <v>0</v>
      </c>
      <c r="K650" s="79">
        <f t="shared" si="296"/>
        <v>0</v>
      </c>
      <c r="L650" s="79">
        <f t="shared" si="296"/>
        <v>0</v>
      </c>
      <c r="M650" s="79">
        <f t="shared" si="296"/>
        <v>0</v>
      </c>
      <c r="N650" s="79">
        <f t="shared" si="296"/>
        <v>0</v>
      </c>
      <c r="O650" s="79">
        <f t="shared" si="296"/>
        <v>0</v>
      </c>
      <c r="P650" s="79">
        <f t="shared" si="296"/>
        <v>0</v>
      </c>
      <c r="Q650" s="79">
        <f t="shared" si="297"/>
        <v>0</v>
      </c>
      <c r="R650" s="79">
        <f t="shared" si="297"/>
        <v>0</v>
      </c>
      <c r="S650" s="79">
        <f t="shared" si="297"/>
        <v>0</v>
      </c>
      <c r="T650" s="79">
        <f t="shared" si="297"/>
        <v>0</v>
      </c>
      <c r="U650" s="79">
        <f t="shared" si="297"/>
        <v>0</v>
      </c>
      <c r="V650" s="79">
        <f t="shared" si="297"/>
        <v>0</v>
      </c>
      <c r="W650" s="79">
        <f t="shared" si="297"/>
        <v>0</v>
      </c>
      <c r="X650" s="63">
        <f t="shared" si="297"/>
        <v>0</v>
      </c>
      <c r="Y650" s="63">
        <f t="shared" si="297"/>
        <v>0</v>
      </c>
      <c r="Z650" s="63">
        <f t="shared" si="297"/>
        <v>0</v>
      </c>
      <c r="AA650" s="63">
        <f>SUM(G650:Z650)</f>
        <v>0</v>
      </c>
      <c r="AB650" s="58" t="str">
        <f>IF(ABS(F650-AA650)&lt;0.01,"ok","err")</f>
        <v>ok</v>
      </c>
    </row>
    <row r="651" spans="1:28" hidden="1">
      <c r="A651" s="68" t="s">
        <v>1364</v>
      </c>
      <c r="C651" s="60" t="s">
        <v>1076</v>
      </c>
      <c r="D651" s="60" t="s">
        <v>816</v>
      </c>
      <c r="E651" s="60" t="s">
        <v>191</v>
      </c>
      <c r="F651" s="79">
        <f>VLOOKUP(C651,'Functional Assignment'!$C$2:$AP$780,'Functional Assignment'!$P$2,)</f>
        <v>0</v>
      </c>
      <c r="G651" s="79">
        <f t="shared" si="296"/>
        <v>0</v>
      </c>
      <c r="H651" s="79">
        <f t="shared" si="296"/>
        <v>0</v>
      </c>
      <c r="I651" s="79">
        <f t="shared" si="296"/>
        <v>0</v>
      </c>
      <c r="J651" s="79">
        <f t="shared" si="296"/>
        <v>0</v>
      </c>
      <c r="K651" s="79">
        <f t="shared" si="296"/>
        <v>0</v>
      </c>
      <c r="L651" s="79">
        <f t="shared" si="296"/>
        <v>0</v>
      </c>
      <c r="M651" s="79">
        <f t="shared" si="296"/>
        <v>0</v>
      </c>
      <c r="N651" s="79">
        <f t="shared" si="296"/>
        <v>0</v>
      </c>
      <c r="O651" s="79">
        <f t="shared" si="296"/>
        <v>0</v>
      </c>
      <c r="P651" s="79">
        <f t="shared" si="296"/>
        <v>0</v>
      </c>
      <c r="Q651" s="79">
        <f t="shared" si="297"/>
        <v>0</v>
      </c>
      <c r="R651" s="79">
        <f t="shared" si="297"/>
        <v>0</v>
      </c>
      <c r="S651" s="79">
        <f t="shared" si="297"/>
        <v>0</v>
      </c>
      <c r="T651" s="79">
        <f t="shared" si="297"/>
        <v>0</v>
      </c>
      <c r="U651" s="79">
        <f t="shared" si="297"/>
        <v>0</v>
      </c>
      <c r="V651" s="79">
        <f t="shared" si="297"/>
        <v>0</v>
      </c>
      <c r="W651" s="79">
        <f t="shared" si="297"/>
        <v>0</v>
      </c>
      <c r="X651" s="63">
        <f t="shared" si="297"/>
        <v>0</v>
      </c>
      <c r="Y651" s="63">
        <f t="shared" si="297"/>
        <v>0</v>
      </c>
      <c r="Z651" s="63">
        <f t="shared" si="297"/>
        <v>0</v>
      </c>
      <c r="AA651" s="63">
        <f>SUM(G651:Z651)</f>
        <v>0</v>
      </c>
      <c r="AB651" s="58" t="str">
        <f>IF(ABS(F651-AA651)&lt;0.01,"ok","err")</f>
        <v>ok</v>
      </c>
    </row>
    <row r="652" spans="1:28" hidden="1">
      <c r="A652" s="60" t="s">
        <v>1133</v>
      </c>
      <c r="D652" s="60" t="s">
        <v>817</v>
      </c>
      <c r="F652" s="76">
        <f>SUM(F649:F651)</f>
        <v>6623862.5730136754</v>
      </c>
      <c r="G652" s="76">
        <f t="shared" ref="G652:W652" si="298">SUM(G649:G651)</f>
        <v>2943564.3996685096</v>
      </c>
      <c r="H652" s="76">
        <f t="shared" si="298"/>
        <v>847296.81870976905</v>
      </c>
      <c r="I652" s="76">
        <f t="shared" si="298"/>
        <v>0</v>
      </c>
      <c r="J652" s="76">
        <f t="shared" si="298"/>
        <v>75283.064283682295</v>
      </c>
      <c r="K652" s="76">
        <f t="shared" si="298"/>
        <v>873781.02974379854</v>
      </c>
      <c r="L652" s="76">
        <f t="shared" si="298"/>
        <v>0</v>
      </c>
      <c r="M652" s="76">
        <f t="shared" si="298"/>
        <v>0</v>
      </c>
      <c r="N652" s="76">
        <f t="shared" si="298"/>
        <v>794874.10396396159</v>
      </c>
      <c r="O652" s="76">
        <f>SUM(O649:O651)</f>
        <v>471954.52586256748</v>
      </c>
      <c r="P652" s="76">
        <f t="shared" si="298"/>
        <v>488858.83559116413</v>
      </c>
      <c r="Q652" s="76">
        <f t="shared" si="298"/>
        <v>49279.123037503829</v>
      </c>
      <c r="R652" s="76">
        <f t="shared" si="298"/>
        <v>25793.401984277523</v>
      </c>
      <c r="S652" s="76">
        <f t="shared" si="298"/>
        <v>50811.868007660283</v>
      </c>
      <c r="T652" s="76">
        <f t="shared" si="298"/>
        <v>1625.1102148303889</v>
      </c>
      <c r="U652" s="76">
        <f t="shared" si="298"/>
        <v>740.2919459518788</v>
      </c>
      <c r="V652" s="76">
        <f t="shared" si="298"/>
        <v>0</v>
      </c>
      <c r="W652" s="76">
        <f t="shared" si="298"/>
        <v>0</v>
      </c>
      <c r="X652" s="62">
        <f>SUM(X649:X651)</f>
        <v>0</v>
      </c>
      <c r="Y652" s="62">
        <f>SUM(Y649:Y651)</f>
        <v>0</v>
      </c>
      <c r="Z652" s="62">
        <f>SUM(Z649:Z651)</f>
        <v>0</v>
      </c>
      <c r="AA652" s="64">
        <f>SUM(G652:Z652)</f>
        <v>6623862.5730136763</v>
      </c>
      <c r="AB652" s="58" t="str">
        <f>IF(ABS(F652-AA652)&lt;0.01,"ok","err")</f>
        <v>ok</v>
      </c>
    </row>
    <row r="653" spans="1:28">
      <c r="F653" s="79"/>
      <c r="G653" s="79"/>
    </row>
    <row r="654" spans="1:28" ht="15">
      <c r="A654" s="65" t="s">
        <v>348</v>
      </c>
      <c r="F654" s="79"/>
      <c r="G654" s="79"/>
    </row>
    <row r="655" spans="1:28">
      <c r="A655" s="68" t="s">
        <v>372</v>
      </c>
      <c r="C655" s="60" t="s">
        <v>1076</v>
      </c>
      <c r="D655" s="60" t="s">
        <v>818</v>
      </c>
      <c r="E655" s="60" t="s">
        <v>1368</v>
      </c>
      <c r="F655" s="76">
        <f>VLOOKUP(C655,'Functional Assignment'!$C$2:$AP$780,'Functional Assignment'!$Q$2,)</f>
        <v>0</v>
      </c>
      <c r="G655" s="76">
        <f t="shared" ref="G655:Z655" si="299">IF(VLOOKUP($E655,$D$6:$AN$1131,3,)=0,0,(VLOOKUP($E655,$D$6:$AN$1131,G$2,)/VLOOKUP($E655,$D$6:$AN$1131,3,))*$F655)</f>
        <v>0</v>
      </c>
      <c r="H655" s="76">
        <f t="shared" si="299"/>
        <v>0</v>
      </c>
      <c r="I655" s="76">
        <f t="shared" si="299"/>
        <v>0</v>
      </c>
      <c r="J655" s="76">
        <f t="shared" si="299"/>
        <v>0</v>
      </c>
      <c r="K655" s="76">
        <f t="shared" si="299"/>
        <v>0</v>
      </c>
      <c r="L655" s="76">
        <f t="shared" si="299"/>
        <v>0</v>
      </c>
      <c r="M655" s="76">
        <f t="shared" si="299"/>
        <v>0</v>
      </c>
      <c r="N655" s="76">
        <f t="shared" si="299"/>
        <v>0</v>
      </c>
      <c r="O655" s="76">
        <f t="shared" si="299"/>
        <v>0</v>
      </c>
      <c r="P655" s="76">
        <f t="shared" si="299"/>
        <v>0</v>
      </c>
      <c r="Q655" s="76">
        <f t="shared" si="299"/>
        <v>0</v>
      </c>
      <c r="R655" s="76">
        <f t="shared" si="299"/>
        <v>0</v>
      </c>
      <c r="S655" s="76">
        <f t="shared" si="299"/>
        <v>0</v>
      </c>
      <c r="T655" s="76">
        <f t="shared" si="299"/>
        <v>0</v>
      </c>
      <c r="U655" s="76">
        <f t="shared" si="299"/>
        <v>0</v>
      </c>
      <c r="V655" s="76">
        <f t="shared" si="299"/>
        <v>0</v>
      </c>
      <c r="W655" s="76">
        <f t="shared" si="299"/>
        <v>0</v>
      </c>
      <c r="X655" s="62">
        <f t="shared" si="299"/>
        <v>0</v>
      </c>
      <c r="Y655" s="62">
        <f t="shared" si="299"/>
        <v>0</v>
      </c>
      <c r="Z655" s="62">
        <f t="shared" si="299"/>
        <v>0</v>
      </c>
      <c r="AA655" s="64">
        <f>SUM(G655:Z655)</f>
        <v>0</v>
      </c>
      <c r="AB655" s="58" t="str">
        <f>IF(ABS(F655-AA655)&lt;0.01,"ok","err")</f>
        <v>ok</v>
      </c>
    </row>
    <row r="656" spans="1:28">
      <c r="F656" s="79"/>
    </row>
    <row r="657" spans="1:28" ht="15">
      <c r="A657" s="65" t="s">
        <v>349</v>
      </c>
      <c r="F657" s="79"/>
      <c r="G657" s="79"/>
    </row>
    <row r="658" spans="1:28">
      <c r="A658" s="68" t="s">
        <v>374</v>
      </c>
      <c r="C658" s="60" t="s">
        <v>1076</v>
      </c>
      <c r="D658" s="60" t="s">
        <v>819</v>
      </c>
      <c r="E658" s="60" t="s">
        <v>1368</v>
      </c>
      <c r="F658" s="76">
        <f>VLOOKUP(C658,'Functional Assignment'!$C$2:$AP$780,'Functional Assignment'!$R$2,)</f>
        <v>2306713.8857077891</v>
      </c>
      <c r="G658" s="76">
        <f t="shared" ref="G658:Z658" si="300">IF(VLOOKUP($E658,$D$6:$AN$1131,3,)=0,0,(VLOOKUP($E658,$D$6:$AN$1131,G$2,)/VLOOKUP($E658,$D$6:$AN$1131,3,))*$F658)</f>
        <v>1106757.4144695008</v>
      </c>
      <c r="H658" s="76">
        <f t="shared" si="300"/>
        <v>318577.04097422247</v>
      </c>
      <c r="I658" s="76">
        <f t="shared" si="300"/>
        <v>0</v>
      </c>
      <c r="J658" s="76">
        <f t="shared" si="300"/>
        <v>28305.849054748916</v>
      </c>
      <c r="K658" s="76">
        <f t="shared" si="300"/>
        <v>328534.89918571198</v>
      </c>
      <c r="L658" s="76">
        <f t="shared" si="300"/>
        <v>0</v>
      </c>
      <c r="M658" s="76">
        <f t="shared" si="300"/>
        <v>0</v>
      </c>
      <c r="N658" s="76">
        <f t="shared" si="300"/>
        <v>298866.50627755473</v>
      </c>
      <c r="O658" s="76">
        <f t="shared" si="300"/>
        <v>177451.24613195405</v>
      </c>
      <c r="P658" s="76">
        <f t="shared" si="300"/>
        <v>0</v>
      </c>
      <c r="Q658" s="76">
        <f t="shared" si="300"/>
        <v>18528.568563491997</v>
      </c>
      <c r="R658" s="76">
        <f t="shared" si="300"/>
        <v>9698.1193595446093</v>
      </c>
      <c r="S658" s="76">
        <f t="shared" si="300"/>
        <v>19104.868800171898</v>
      </c>
      <c r="T658" s="76">
        <f t="shared" si="300"/>
        <v>611.02885324887291</v>
      </c>
      <c r="U658" s="76">
        <f t="shared" si="300"/>
        <v>278.34403763904919</v>
      </c>
      <c r="V658" s="76">
        <f t="shared" si="300"/>
        <v>0</v>
      </c>
      <c r="W658" s="76">
        <f t="shared" si="300"/>
        <v>0</v>
      </c>
      <c r="X658" s="62">
        <f t="shared" si="300"/>
        <v>0</v>
      </c>
      <c r="Y658" s="62">
        <f t="shared" si="300"/>
        <v>0</v>
      </c>
      <c r="Z658" s="62">
        <f t="shared" si="300"/>
        <v>0</v>
      </c>
      <c r="AA658" s="64">
        <f>SUM(G658:Z658)</f>
        <v>2306713.8857077891</v>
      </c>
      <c r="AB658" s="58" t="str">
        <f>IF(ABS(F658-AA658)&lt;0.01,"ok","err")</f>
        <v>ok</v>
      </c>
    </row>
    <row r="659" spans="1:28">
      <c r="F659" s="79"/>
    </row>
    <row r="660" spans="1:28" ht="15">
      <c r="A660" s="65" t="s">
        <v>373</v>
      </c>
      <c r="F660" s="79"/>
    </row>
    <row r="661" spans="1:28">
      <c r="A661" s="68" t="s">
        <v>623</v>
      </c>
      <c r="C661" s="60" t="s">
        <v>1076</v>
      </c>
      <c r="D661" s="60" t="s">
        <v>820</v>
      </c>
      <c r="E661" s="60" t="s">
        <v>1368</v>
      </c>
      <c r="F661" s="76">
        <f>VLOOKUP(C661,'Functional Assignment'!$C$2:$AP$780,'Functional Assignment'!$S$2,)</f>
        <v>0</v>
      </c>
      <c r="G661" s="76">
        <f t="shared" ref="G661:P665" si="301">IF(VLOOKUP($E661,$D$6:$AN$1131,3,)=0,0,(VLOOKUP($E661,$D$6:$AN$1131,G$2,)/VLOOKUP($E661,$D$6:$AN$1131,3,))*$F661)</f>
        <v>0</v>
      </c>
      <c r="H661" s="76">
        <f t="shared" si="301"/>
        <v>0</v>
      </c>
      <c r="I661" s="76">
        <f t="shared" si="301"/>
        <v>0</v>
      </c>
      <c r="J661" s="76">
        <f t="shared" si="301"/>
        <v>0</v>
      </c>
      <c r="K661" s="76">
        <f t="shared" si="301"/>
        <v>0</v>
      </c>
      <c r="L661" s="76">
        <f t="shared" si="301"/>
        <v>0</v>
      </c>
      <c r="M661" s="76">
        <f t="shared" si="301"/>
        <v>0</v>
      </c>
      <c r="N661" s="76">
        <f t="shared" si="301"/>
        <v>0</v>
      </c>
      <c r="O661" s="76">
        <f t="shared" si="301"/>
        <v>0</v>
      </c>
      <c r="P661" s="76">
        <f t="shared" si="301"/>
        <v>0</v>
      </c>
      <c r="Q661" s="76">
        <f t="shared" ref="Q661:Z665" si="302">IF(VLOOKUP($E661,$D$6:$AN$1131,3,)=0,0,(VLOOKUP($E661,$D$6:$AN$1131,Q$2,)/VLOOKUP($E661,$D$6:$AN$1131,3,))*$F661)</f>
        <v>0</v>
      </c>
      <c r="R661" s="76">
        <f t="shared" si="302"/>
        <v>0</v>
      </c>
      <c r="S661" s="76">
        <f t="shared" si="302"/>
        <v>0</v>
      </c>
      <c r="T661" s="76">
        <f t="shared" si="302"/>
        <v>0</v>
      </c>
      <c r="U661" s="76">
        <f t="shared" si="302"/>
        <v>0</v>
      </c>
      <c r="V661" s="76">
        <f t="shared" si="302"/>
        <v>0</v>
      </c>
      <c r="W661" s="76">
        <f t="shared" si="302"/>
        <v>0</v>
      </c>
      <c r="X661" s="62">
        <f t="shared" si="302"/>
        <v>0</v>
      </c>
      <c r="Y661" s="62">
        <f t="shared" si="302"/>
        <v>0</v>
      </c>
      <c r="Z661" s="62">
        <f t="shared" si="302"/>
        <v>0</v>
      </c>
      <c r="AA661" s="64">
        <f t="shared" ref="AA661:AA666" si="303">SUM(G661:Z661)</f>
        <v>0</v>
      </c>
      <c r="AB661" s="58" t="str">
        <f t="shared" ref="AB661:AB666" si="304">IF(ABS(F661-AA661)&lt;0.01,"ok","err")</f>
        <v>ok</v>
      </c>
    </row>
    <row r="662" spans="1:28">
      <c r="A662" s="68" t="s">
        <v>624</v>
      </c>
      <c r="C662" s="60" t="s">
        <v>1076</v>
      </c>
      <c r="D662" s="60" t="s">
        <v>821</v>
      </c>
      <c r="E662" s="60" t="s">
        <v>1368</v>
      </c>
      <c r="F662" s="79">
        <f>VLOOKUP(C662,'Functional Assignment'!$C$2:$AP$780,'Functional Assignment'!$T$2,)</f>
        <v>3944718.0132878879</v>
      </c>
      <c r="G662" s="79">
        <f t="shared" si="301"/>
        <v>1892669.0198763676</v>
      </c>
      <c r="H662" s="79">
        <f t="shared" si="301"/>
        <v>544799.5089193153</v>
      </c>
      <c r="I662" s="79">
        <f t="shared" si="301"/>
        <v>0</v>
      </c>
      <c r="J662" s="79">
        <f t="shared" si="301"/>
        <v>48405.913424939048</v>
      </c>
      <c r="K662" s="79">
        <f t="shared" si="301"/>
        <v>561828.47072685056</v>
      </c>
      <c r="L662" s="79">
        <f t="shared" si="301"/>
        <v>0</v>
      </c>
      <c r="M662" s="79">
        <f t="shared" si="301"/>
        <v>0</v>
      </c>
      <c r="N662" s="79">
        <f t="shared" si="301"/>
        <v>511092.46716124145</v>
      </c>
      <c r="O662" s="79">
        <f t="shared" si="301"/>
        <v>303459.88353137963</v>
      </c>
      <c r="P662" s="79">
        <f t="shared" si="301"/>
        <v>0</v>
      </c>
      <c r="Q662" s="79">
        <f t="shared" si="302"/>
        <v>31685.758093236491</v>
      </c>
      <c r="R662" s="79">
        <f t="shared" si="302"/>
        <v>16584.781653955793</v>
      </c>
      <c r="S662" s="79">
        <f t="shared" si="302"/>
        <v>32671.290776235764</v>
      </c>
      <c r="T662" s="79">
        <f t="shared" si="302"/>
        <v>1044.9221895197834</v>
      </c>
      <c r="U662" s="79">
        <f t="shared" si="302"/>
        <v>475.99693484705136</v>
      </c>
      <c r="V662" s="79">
        <f t="shared" si="302"/>
        <v>0</v>
      </c>
      <c r="W662" s="79">
        <f t="shared" si="302"/>
        <v>0</v>
      </c>
      <c r="X662" s="63">
        <f t="shared" si="302"/>
        <v>0</v>
      </c>
      <c r="Y662" s="63">
        <f t="shared" si="302"/>
        <v>0</v>
      </c>
      <c r="Z662" s="63">
        <f t="shared" si="302"/>
        <v>0</v>
      </c>
      <c r="AA662" s="63">
        <f t="shared" si="303"/>
        <v>3944718.0132878879</v>
      </c>
      <c r="AB662" s="58" t="str">
        <f t="shared" si="304"/>
        <v>ok</v>
      </c>
    </row>
    <row r="663" spans="1:28">
      <c r="A663" s="68" t="s">
        <v>625</v>
      </c>
      <c r="C663" s="60" t="s">
        <v>1076</v>
      </c>
      <c r="D663" s="60" t="s">
        <v>822</v>
      </c>
      <c r="E663" s="60" t="s">
        <v>698</v>
      </c>
      <c r="F663" s="79">
        <f>VLOOKUP(C663,'Functional Assignment'!$C$2:$AP$780,'Functional Assignment'!$U$2,)</f>
        <v>6277512.483060318</v>
      </c>
      <c r="G663" s="79">
        <f t="shared" si="301"/>
        <v>5411926.599366107</v>
      </c>
      <c r="H663" s="79">
        <f t="shared" si="301"/>
        <v>672378.90717442683</v>
      </c>
      <c r="I663" s="79">
        <f t="shared" si="301"/>
        <v>0</v>
      </c>
      <c r="J663" s="79">
        <f t="shared" si="301"/>
        <v>1070.1700226929004</v>
      </c>
      <c r="K663" s="79">
        <f t="shared" si="301"/>
        <v>41976.923691044431</v>
      </c>
      <c r="L663" s="79">
        <f t="shared" si="301"/>
        <v>0</v>
      </c>
      <c r="M663" s="79">
        <f t="shared" si="301"/>
        <v>0</v>
      </c>
      <c r="N663" s="79">
        <f t="shared" si="301"/>
        <v>1568.0963526958471</v>
      </c>
      <c r="O663" s="79">
        <f t="shared" si="301"/>
        <v>4102.3184203227847</v>
      </c>
      <c r="P663" s="79">
        <f t="shared" si="301"/>
        <v>0</v>
      </c>
      <c r="Q663" s="79">
        <f t="shared" si="302"/>
        <v>14.863472537401394</v>
      </c>
      <c r="R663" s="79">
        <f t="shared" si="302"/>
        <v>14.863472537401394</v>
      </c>
      <c r="S663" s="79">
        <f t="shared" si="302"/>
        <v>142692.63935295059</v>
      </c>
      <c r="T663" s="79">
        <f t="shared" si="302"/>
        <v>272.49699651902552</v>
      </c>
      <c r="U663" s="79">
        <f t="shared" si="302"/>
        <v>1494.6047384831402</v>
      </c>
      <c r="V663" s="79">
        <f t="shared" si="302"/>
        <v>0</v>
      </c>
      <c r="W663" s="79">
        <f t="shared" si="302"/>
        <v>0</v>
      </c>
      <c r="X663" s="63">
        <f t="shared" si="302"/>
        <v>0</v>
      </c>
      <c r="Y663" s="63">
        <f t="shared" si="302"/>
        <v>0</v>
      </c>
      <c r="Z663" s="63">
        <f t="shared" si="302"/>
        <v>0</v>
      </c>
      <c r="AA663" s="63">
        <f t="shared" si="303"/>
        <v>6277512.4830603162</v>
      </c>
      <c r="AB663" s="58" t="str">
        <f t="shared" si="304"/>
        <v>ok</v>
      </c>
    </row>
    <row r="664" spans="1:28">
      <c r="A664" s="68" t="s">
        <v>626</v>
      </c>
      <c r="C664" s="60" t="s">
        <v>1076</v>
      </c>
      <c r="D664" s="60" t="s">
        <v>823</v>
      </c>
      <c r="E664" s="60" t="s">
        <v>678</v>
      </c>
      <c r="F664" s="79">
        <f>VLOOKUP(C664,'Functional Assignment'!$C$2:$AP$780,'Functional Assignment'!$V$2,)</f>
        <v>1084417.8061643278</v>
      </c>
      <c r="G664" s="79">
        <f t="shared" si="301"/>
        <v>910052.11858515011</v>
      </c>
      <c r="H664" s="79">
        <f t="shared" si="301"/>
        <v>166535.43306996804</v>
      </c>
      <c r="I664" s="79">
        <f t="shared" si="301"/>
        <v>0</v>
      </c>
      <c r="J664" s="79">
        <f t="shared" si="301"/>
        <v>0</v>
      </c>
      <c r="K664" s="79">
        <f t="shared" si="301"/>
        <v>0</v>
      </c>
      <c r="L664" s="79">
        <f t="shared" si="301"/>
        <v>0</v>
      </c>
      <c r="M664" s="79">
        <f t="shared" si="301"/>
        <v>0</v>
      </c>
      <c r="N664" s="79">
        <f t="shared" si="301"/>
        <v>0</v>
      </c>
      <c r="O664" s="79">
        <f t="shared" si="301"/>
        <v>0</v>
      </c>
      <c r="P664" s="79">
        <f t="shared" si="301"/>
        <v>0</v>
      </c>
      <c r="Q664" s="79">
        <f t="shared" si="302"/>
        <v>0</v>
      </c>
      <c r="R664" s="79">
        <f t="shared" si="302"/>
        <v>0</v>
      </c>
      <c r="S664" s="79">
        <f t="shared" si="302"/>
        <v>7481.953423484696</v>
      </c>
      <c r="T664" s="79">
        <f t="shared" si="302"/>
        <v>239.29446824425185</v>
      </c>
      <c r="U664" s="79">
        <f t="shared" si="302"/>
        <v>109.00661748073867</v>
      </c>
      <c r="V664" s="79">
        <f t="shared" si="302"/>
        <v>0</v>
      </c>
      <c r="W664" s="79">
        <f t="shared" si="302"/>
        <v>0</v>
      </c>
      <c r="X664" s="63">
        <f t="shared" si="302"/>
        <v>0</v>
      </c>
      <c r="Y664" s="63">
        <f t="shared" si="302"/>
        <v>0</v>
      </c>
      <c r="Z664" s="63">
        <f t="shared" si="302"/>
        <v>0</v>
      </c>
      <c r="AA664" s="63">
        <f t="shared" si="303"/>
        <v>1084417.8061643278</v>
      </c>
      <c r="AB664" s="58" t="str">
        <f t="shared" si="304"/>
        <v>ok</v>
      </c>
    </row>
    <row r="665" spans="1:28">
      <c r="A665" s="68" t="s">
        <v>627</v>
      </c>
      <c r="C665" s="60" t="s">
        <v>1076</v>
      </c>
      <c r="D665" s="60" t="s">
        <v>824</v>
      </c>
      <c r="E665" s="60" t="s">
        <v>697</v>
      </c>
      <c r="F665" s="79">
        <f>VLOOKUP(C665,'Functional Assignment'!$C$2:$AP$780,'Functional Assignment'!$W$2,)</f>
        <v>1647942.0966413119</v>
      </c>
      <c r="G665" s="79">
        <f t="shared" si="301"/>
        <v>1431831.4003604285</v>
      </c>
      <c r="H665" s="79">
        <f t="shared" si="301"/>
        <v>177891.03650170311</v>
      </c>
      <c r="I665" s="79">
        <f t="shared" si="301"/>
        <v>0</v>
      </c>
      <c r="J665" s="79">
        <f t="shared" si="301"/>
        <v>0</v>
      </c>
      <c r="K665" s="79">
        <f t="shared" si="301"/>
        <v>0</v>
      </c>
      <c r="L665" s="79">
        <f t="shared" si="301"/>
        <v>0</v>
      </c>
      <c r="M665" s="79">
        <f t="shared" si="301"/>
        <v>0</v>
      </c>
      <c r="N665" s="79">
        <f t="shared" si="301"/>
        <v>0</v>
      </c>
      <c r="O665" s="79">
        <f t="shared" si="301"/>
        <v>0</v>
      </c>
      <c r="P665" s="79">
        <f t="shared" si="301"/>
        <v>0</v>
      </c>
      <c r="Q665" s="79">
        <f t="shared" si="302"/>
        <v>0</v>
      </c>
      <c r="R665" s="79">
        <f t="shared" si="302"/>
        <v>0</v>
      </c>
      <c r="S665" s="79">
        <f t="shared" si="302"/>
        <v>37752.138332731934</v>
      </c>
      <c r="T665" s="79">
        <f t="shared" si="302"/>
        <v>72.094428657910342</v>
      </c>
      <c r="U665" s="79">
        <f t="shared" si="302"/>
        <v>395.42701779035679</v>
      </c>
      <c r="V665" s="79">
        <f t="shared" si="302"/>
        <v>0</v>
      </c>
      <c r="W665" s="79">
        <f t="shared" si="302"/>
        <v>0</v>
      </c>
      <c r="X665" s="63">
        <f t="shared" si="302"/>
        <v>0</v>
      </c>
      <c r="Y665" s="63">
        <f t="shared" si="302"/>
        <v>0</v>
      </c>
      <c r="Z665" s="63">
        <f t="shared" si="302"/>
        <v>0</v>
      </c>
      <c r="AA665" s="63">
        <f t="shared" si="303"/>
        <v>1647942.0966413119</v>
      </c>
      <c r="AB665" s="58" t="str">
        <f t="shared" si="304"/>
        <v>ok</v>
      </c>
    </row>
    <row r="666" spans="1:28">
      <c r="A666" s="60" t="s">
        <v>378</v>
      </c>
      <c r="D666" s="60" t="s">
        <v>825</v>
      </c>
      <c r="F666" s="76">
        <f>SUM(F661:F665)</f>
        <v>12954590.399153845</v>
      </c>
      <c r="G666" s="76">
        <f t="shared" ref="G666:W666" si="305">SUM(G661:G665)</f>
        <v>9646479.1381880529</v>
      </c>
      <c r="H666" s="76">
        <f t="shared" si="305"/>
        <v>1561604.8856654132</v>
      </c>
      <c r="I666" s="76">
        <f t="shared" si="305"/>
        <v>0</v>
      </c>
      <c r="J666" s="76">
        <f t="shared" si="305"/>
        <v>49476.083447631951</v>
      </c>
      <c r="K666" s="76">
        <f t="shared" si="305"/>
        <v>603805.394417895</v>
      </c>
      <c r="L666" s="76">
        <f t="shared" si="305"/>
        <v>0</v>
      </c>
      <c r="M666" s="76">
        <f t="shared" si="305"/>
        <v>0</v>
      </c>
      <c r="N666" s="76">
        <f t="shared" si="305"/>
        <v>512660.56351393729</v>
      </c>
      <c r="O666" s="76">
        <f>SUM(O661:O665)</f>
        <v>307562.20195170242</v>
      </c>
      <c r="P666" s="76">
        <f t="shared" si="305"/>
        <v>0</v>
      </c>
      <c r="Q666" s="76">
        <f t="shared" si="305"/>
        <v>31700.621565773894</v>
      </c>
      <c r="R666" s="76">
        <f t="shared" si="305"/>
        <v>16599.645126493197</v>
      </c>
      <c r="S666" s="76">
        <f t="shared" si="305"/>
        <v>220598.021885403</v>
      </c>
      <c r="T666" s="76">
        <f t="shared" si="305"/>
        <v>1628.8080829409712</v>
      </c>
      <c r="U666" s="76">
        <f t="shared" si="305"/>
        <v>2475.0353086012869</v>
      </c>
      <c r="V666" s="76">
        <f t="shared" si="305"/>
        <v>0</v>
      </c>
      <c r="W666" s="76">
        <f t="shared" si="305"/>
        <v>0</v>
      </c>
      <c r="X666" s="62">
        <f>SUM(X661:X665)</f>
        <v>0</v>
      </c>
      <c r="Y666" s="62">
        <f>SUM(Y661:Y665)</f>
        <v>0</v>
      </c>
      <c r="Z666" s="62">
        <f>SUM(Z661:Z665)</f>
        <v>0</v>
      </c>
      <c r="AA666" s="64">
        <f t="shared" si="303"/>
        <v>12954590.399153844</v>
      </c>
      <c r="AB666" s="58" t="str">
        <f t="shared" si="304"/>
        <v>ok</v>
      </c>
    </row>
    <row r="667" spans="1:28">
      <c r="F667" s="79"/>
    </row>
    <row r="668" spans="1:28" ht="15">
      <c r="A668" s="65" t="s">
        <v>634</v>
      </c>
      <c r="F668" s="79"/>
    </row>
    <row r="669" spans="1:28">
      <c r="A669" s="68" t="s">
        <v>1090</v>
      </c>
      <c r="C669" s="60" t="s">
        <v>1076</v>
      </c>
      <c r="D669" s="60" t="s">
        <v>826</v>
      </c>
      <c r="E669" s="60" t="s">
        <v>1336</v>
      </c>
      <c r="F669" s="76">
        <f>VLOOKUP(C669,'Functional Assignment'!$C$2:$AP$780,'Functional Assignment'!$X$2,)</f>
        <v>1498992.5834714985</v>
      </c>
      <c r="G669" s="76">
        <f t="shared" ref="G669:P670" si="306">IF(VLOOKUP($E669,$D$6:$AN$1131,3,)=0,0,(VLOOKUP($E669,$D$6:$AN$1131,G$2,)/VLOOKUP($E669,$D$6:$AN$1131,3,))*$F669)</f>
        <v>1040002.1508040911</v>
      </c>
      <c r="H669" s="76">
        <f t="shared" si="306"/>
        <v>190315.70284911338</v>
      </c>
      <c r="I669" s="76">
        <f t="shared" si="306"/>
        <v>0</v>
      </c>
      <c r="J669" s="76">
        <f t="shared" si="306"/>
        <v>0</v>
      </c>
      <c r="K669" s="76">
        <f t="shared" si="306"/>
        <v>167612.38737420223</v>
      </c>
      <c r="L669" s="76">
        <f t="shared" si="306"/>
        <v>0</v>
      </c>
      <c r="M669" s="76">
        <f t="shared" si="306"/>
        <v>0</v>
      </c>
      <c r="N669" s="76">
        <f t="shared" si="306"/>
        <v>0</v>
      </c>
      <c r="O669" s="76">
        <f t="shared" si="306"/>
        <v>92113.974142304927</v>
      </c>
      <c r="P669" s="76">
        <f t="shared" si="306"/>
        <v>0</v>
      </c>
      <c r="Q669" s="76">
        <f t="shared" ref="Q669:Z670" si="307">IF(VLOOKUP($E669,$D$6:$AN$1131,3,)=0,0,(VLOOKUP($E669,$D$6:$AN$1131,Q$2,)/VLOOKUP($E669,$D$6:$AN$1131,3,))*$F669)</f>
        <v>0</v>
      </c>
      <c r="R669" s="76">
        <f t="shared" si="307"/>
        <v>0</v>
      </c>
      <c r="S669" s="76">
        <f t="shared" si="307"/>
        <v>8550.3318916916014</v>
      </c>
      <c r="T669" s="76">
        <f t="shared" si="307"/>
        <v>273.46429568940965</v>
      </c>
      <c r="U669" s="76">
        <f t="shared" si="307"/>
        <v>124.57211440603852</v>
      </c>
      <c r="V669" s="76">
        <f t="shared" si="307"/>
        <v>0</v>
      </c>
      <c r="W669" s="76">
        <f t="shared" si="307"/>
        <v>0</v>
      </c>
      <c r="X669" s="62">
        <f t="shared" si="307"/>
        <v>0</v>
      </c>
      <c r="Y669" s="62">
        <f t="shared" si="307"/>
        <v>0</v>
      </c>
      <c r="Z669" s="62">
        <f t="shared" si="307"/>
        <v>0</v>
      </c>
      <c r="AA669" s="64">
        <f>SUM(G669:Z669)</f>
        <v>1498992.5834714989</v>
      </c>
      <c r="AB669" s="58" t="str">
        <f>IF(ABS(F669-AA669)&lt;0.01,"ok","err")</f>
        <v>ok</v>
      </c>
    </row>
    <row r="670" spans="1:28">
      <c r="A670" s="68" t="s">
        <v>1093</v>
      </c>
      <c r="C670" s="60" t="s">
        <v>1076</v>
      </c>
      <c r="D670" s="60" t="s">
        <v>827</v>
      </c>
      <c r="E670" s="60" t="s">
        <v>1334</v>
      </c>
      <c r="F670" s="79">
        <f>VLOOKUP(C670,'Functional Assignment'!$C$2:$AP$780,'Functional Assignment'!$Y$2,)</f>
        <v>1048323.9920114006</v>
      </c>
      <c r="G670" s="79">
        <f t="shared" si="306"/>
        <v>904158.26342739759</v>
      </c>
      <c r="H670" s="79">
        <f t="shared" si="306"/>
        <v>112332.81418621755</v>
      </c>
      <c r="I670" s="79">
        <f t="shared" si="306"/>
        <v>0</v>
      </c>
      <c r="J670" s="79">
        <f t="shared" si="306"/>
        <v>0</v>
      </c>
      <c r="K670" s="79">
        <f t="shared" si="306"/>
        <v>7012.9891327359474</v>
      </c>
      <c r="L670" s="79">
        <f t="shared" si="306"/>
        <v>0</v>
      </c>
      <c r="M670" s="79">
        <f t="shared" si="306"/>
        <v>0</v>
      </c>
      <c r="N670" s="79">
        <f t="shared" si="306"/>
        <v>0</v>
      </c>
      <c r="O670" s="79">
        <f t="shared" si="306"/>
        <v>685.36500465097254</v>
      </c>
      <c r="P670" s="79">
        <f t="shared" si="306"/>
        <v>0</v>
      </c>
      <c r="Q670" s="79">
        <f t="shared" si="307"/>
        <v>0</v>
      </c>
      <c r="R670" s="79">
        <f t="shared" si="307"/>
        <v>0</v>
      </c>
      <c r="S670" s="79">
        <f t="shared" si="307"/>
        <v>23839.334594143853</v>
      </c>
      <c r="T670" s="79">
        <f t="shared" si="307"/>
        <v>45.525453207492134</v>
      </c>
      <c r="U670" s="79">
        <f t="shared" si="307"/>
        <v>249.70021304715385</v>
      </c>
      <c r="V670" s="79">
        <f t="shared" si="307"/>
        <v>0</v>
      </c>
      <c r="W670" s="79">
        <f t="shared" si="307"/>
        <v>0</v>
      </c>
      <c r="X670" s="63">
        <f t="shared" si="307"/>
        <v>0</v>
      </c>
      <c r="Y670" s="63">
        <f t="shared" si="307"/>
        <v>0</v>
      </c>
      <c r="Z670" s="63">
        <f t="shared" si="307"/>
        <v>0</v>
      </c>
      <c r="AA670" s="63">
        <f>SUM(G670:Z670)</f>
        <v>1048323.9920114009</v>
      </c>
      <c r="AB670" s="58" t="str">
        <f>IF(ABS(F670-AA670)&lt;0.01,"ok","err")</f>
        <v>ok</v>
      </c>
    </row>
    <row r="671" spans="1:28">
      <c r="A671" s="60" t="s">
        <v>712</v>
      </c>
      <c r="D671" s="60" t="s">
        <v>828</v>
      </c>
      <c r="F671" s="76">
        <f>F669+F670</f>
        <v>2547316.5754828993</v>
      </c>
      <c r="G671" s="76">
        <f t="shared" ref="G671:W671" si="308">G669+G670</f>
        <v>1944160.4142314887</v>
      </c>
      <c r="H671" s="76">
        <f t="shared" si="308"/>
        <v>302648.51703533094</v>
      </c>
      <c r="I671" s="76">
        <f t="shared" si="308"/>
        <v>0</v>
      </c>
      <c r="J671" s="76">
        <f t="shared" si="308"/>
        <v>0</v>
      </c>
      <c r="K671" s="76">
        <f t="shared" si="308"/>
        <v>174625.37650693816</v>
      </c>
      <c r="L671" s="76">
        <f t="shared" si="308"/>
        <v>0</v>
      </c>
      <c r="M671" s="76">
        <f t="shared" si="308"/>
        <v>0</v>
      </c>
      <c r="N671" s="76">
        <f t="shared" si="308"/>
        <v>0</v>
      </c>
      <c r="O671" s="76">
        <f>O669+O670</f>
        <v>92799.339146955899</v>
      </c>
      <c r="P671" s="76">
        <f t="shared" si="308"/>
        <v>0</v>
      </c>
      <c r="Q671" s="76">
        <f t="shared" si="308"/>
        <v>0</v>
      </c>
      <c r="R671" s="76">
        <f t="shared" si="308"/>
        <v>0</v>
      </c>
      <c r="S671" s="76">
        <f t="shared" si="308"/>
        <v>32389.666485835456</v>
      </c>
      <c r="T671" s="76">
        <f t="shared" si="308"/>
        <v>318.9897488969018</v>
      </c>
      <c r="U671" s="76">
        <f t="shared" si="308"/>
        <v>374.27232745319236</v>
      </c>
      <c r="V671" s="76">
        <f t="shared" si="308"/>
        <v>0</v>
      </c>
      <c r="W671" s="76">
        <f t="shared" si="308"/>
        <v>0</v>
      </c>
      <c r="X671" s="62">
        <f>X669+X670</f>
        <v>0</v>
      </c>
      <c r="Y671" s="62">
        <f>Y669+Y670</f>
        <v>0</v>
      </c>
      <c r="Z671" s="62">
        <f>Z669+Z670</f>
        <v>0</v>
      </c>
      <c r="AA671" s="64">
        <f>SUM(G671:Z671)</f>
        <v>2547316.5754828993</v>
      </c>
      <c r="AB671" s="58" t="str">
        <f>IF(ABS(F671-AA671)&lt;0.01,"ok","err")</f>
        <v>ok</v>
      </c>
    </row>
    <row r="672" spans="1:28">
      <c r="F672" s="79"/>
    </row>
    <row r="673" spans="1:28" ht="15">
      <c r="A673" s="65" t="s">
        <v>354</v>
      </c>
      <c r="F673" s="79"/>
    </row>
    <row r="674" spans="1:28">
      <c r="A674" s="68" t="s">
        <v>1093</v>
      </c>
      <c r="C674" s="60" t="s">
        <v>1076</v>
      </c>
      <c r="D674" s="60" t="s">
        <v>829</v>
      </c>
      <c r="E674" s="60" t="s">
        <v>1095</v>
      </c>
      <c r="F674" s="76">
        <f>VLOOKUP(C674,'Functional Assignment'!$C$2:$AP$780,'Functional Assignment'!$Z$2,)</f>
        <v>520617.29562245787</v>
      </c>
      <c r="G674" s="76">
        <f t="shared" ref="G674:Z674" si="309">IF(VLOOKUP($E674,$D$6:$AN$1131,3,)=0,0,(VLOOKUP($E674,$D$6:$AN$1131,G$2,)/VLOOKUP($E674,$D$6:$AN$1131,3,))*$F674)</f>
        <v>400154.99187507574</v>
      </c>
      <c r="H674" s="76">
        <f t="shared" si="309"/>
        <v>100706.31141930788</v>
      </c>
      <c r="I674" s="76">
        <f t="shared" si="309"/>
        <v>0</v>
      </c>
      <c r="J674" s="76">
        <f t="shared" si="309"/>
        <v>0</v>
      </c>
      <c r="K674" s="76">
        <f t="shared" si="309"/>
        <v>17568.86128616831</v>
      </c>
      <c r="L674" s="76">
        <f t="shared" si="309"/>
        <v>0</v>
      </c>
      <c r="M674" s="76">
        <f t="shared" si="309"/>
        <v>0</v>
      </c>
      <c r="N674" s="76">
        <f t="shared" si="309"/>
        <v>0</v>
      </c>
      <c r="O674" s="76">
        <f t="shared" si="309"/>
        <v>2187.1310419058518</v>
      </c>
      <c r="P674" s="76">
        <f t="shared" si="309"/>
        <v>0</v>
      </c>
      <c r="Q674" s="76">
        <f t="shared" si="309"/>
        <v>0</v>
      </c>
      <c r="R674" s="76">
        <f t="shared" si="309"/>
        <v>0</v>
      </c>
      <c r="S674" s="76">
        <f t="shared" si="309"/>
        <v>0</v>
      </c>
      <c r="T674" s="76">
        <f t="shared" si="309"/>
        <v>0</v>
      </c>
      <c r="U674" s="76">
        <f t="shared" si="309"/>
        <v>0</v>
      </c>
      <c r="V674" s="76">
        <f t="shared" si="309"/>
        <v>0</v>
      </c>
      <c r="W674" s="76">
        <f t="shared" si="309"/>
        <v>0</v>
      </c>
      <c r="X674" s="62">
        <f t="shared" si="309"/>
        <v>0</v>
      </c>
      <c r="Y674" s="62">
        <f t="shared" si="309"/>
        <v>0</v>
      </c>
      <c r="Z674" s="62">
        <f t="shared" si="309"/>
        <v>0</v>
      </c>
      <c r="AA674" s="64">
        <f>SUM(G674:Z674)</f>
        <v>520617.29562245781</v>
      </c>
      <c r="AB674" s="58" t="str">
        <f>IF(ABS(F674-AA674)&lt;0.01,"ok","err")</f>
        <v>ok</v>
      </c>
    </row>
    <row r="675" spans="1:28">
      <c r="F675" s="79"/>
    </row>
    <row r="676" spans="1:28" ht="15">
      <c r="A676" s="65" t="s">
        <v>353</v>
      </c>
      <c r="F676" s="79"/>
    </row>
    <row r="677" spans="1:28">
      <c r="A677" s="68" t="s">
        <v>1093</v>
      </c>
      <c r="C677" s="60" t="s">
        <v>1076</v>
      </c>
      <c r="D677" s="60" t="s">
        <v>830</v>
      </c>
      <c r="E677" s="60" t="s">
        <v>1096</v>
      </c>
      <c r="F677" s="76">
        <f>VLOOKUP(C677,'Functional Assignment'!$C$2:$AP$780,'Functional Assignment'!$AA$2,)</f>
        <v>603901.52107565489</v>
      </c>
      <c r="G677" s="76">
        <f t="shared" ref="G677:Z677" si="310">IF(VLOOKUP($E677,$D$6:$AN$1131,3,)=0,0,(VLOOKUP($E677,$D$6:$AN$1131,G$2,)/VLOOKUP($E677,$D$6:$AN$1131,3,))*$F677)</f>
        <v>422682.72982077952</v>
      </c>
      <c r="H677" s="76">
        <f t="shared" si="310"/>
        <v>124271.1487687473</v>
      </c>
      <c r="I677" s="76">
        <f t="shared" si="310"/>
        <v>0</v>
      </c>
      <c r="J677" s="76">
        <f t="shared" si="310"/>
        <v>4837.673404959487</v>
      </c>
      <c r="K677" s="76">
        <f t="shared" si="310"/>
        <v>33430.123754871485</v>
      </c>
      <c r="L677" s="76">
        <f t="shared" si="310"/>
        <v>0</v>
      </c>
      <c r="M677" s="76">
        <f t="shared" si="310"/>
        <v>0</v>
      </c>
      <c r="N677" s="76">
        <f t="shared" si="310"/>
        <v>7575.3372783088225</v>
      </c>
      <c r="O677" s="76">
        <f t="shared" si="310"/>
        <v>3521.8391982138687</v>
      </c>
      <c r="P677" s="76">
        <f t="shared" si="310"/>
        <v>6196.9316539954534</v>
      </c>
      <c r="Q677" s="76">
        <f t="shared" si="310"/>
        <v>71.804144818093107</v>
      </c>
      <c r="R677" s="76">
        <f t="shared" si="310"/>
        <v>71.804144818093107</v>
      </c>
      <c r="S677" s="76">
        <f t="shared" si="310"/>
        <v>0</v>
      </c>
      <c r="T677" s="76">
        <f t="shared" si="310"/>
        <v>191.54324253603966</v>
      </c>
      <c r="U677" s="76">
        <f t="shared" si="310"/>
        <v>1050.5856636067631</v>
      </c>
      <c r="V677" s="76">
        <f t="shared" si="310"/>
        <v>0</v>
      </c>
      <c r="W677" s="76">
        <f t="shared" si="310"/>
        <v>0</v>
      </c>
      <c r="X677" s="62">
        <f t="shared" si="310"/>
        <v>0</v>
      </c>
      <c r="Y677" s="62">
        <f t="shared" si="310"/>
        <v>0</v>
      </c>
      <c r="Z677" s="62">
        <f t="shared" si="310"/>
        <v>0</v>
      </c>
      <c r="AA677" s="64">
        <f>SUM(G677:Z677)</f>
        <v>603901.52107565489</v>
      </c>
      <c r="AB677" s="58" t="str">
        <f>IF(ABS(F677-AA677)&lt;0.01,"ok","err")</f>
        <v>ok</v>
      </c>
    </row>
    <row r="678" spans="1:28"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62"/>
      <c r="Y678" s="62"/>
      <c r="Z678" s="62"/>
      <c r="AA678" s="64"/>
    </row>
    <row r="679" spans="1:28" ht="15">
      <c r="A679" s="65" t="s">
        <v>371</v>
      </c>
      <c r="F679" s="79"/>
    </row>
    <row r="680" spans="1:28">
      <c r="A680" s="68" t="s">
        <v>1093</v>
      </c>
      <c r="C680" s="60" t="s">
        <v>1076</v>
      </c>
      <c r="D680" s="60" t="s">
        <v>831</v>
      </c>
      <c r="E680" s="60" t="s">
        <v>1097</v>
      </c>
      <c r="F680" s="76">
        <f>VLOOKUP(C680,'Functional Assignment'!$C$2:$AP$780,'Functional Assignment'!$AB$2,)</f>
        <v>1654734.7805703112</v>
      </c>
      <c r="G680" s="76">
        <f t="shared" ref="G680:Z680" si="311">IF(VLOOKUP($E680,$D$6:$AN$1131,3,)=0,0,(VLOOKUP($E680,$D$6:$AN$1131,G$2,)/VLOOKUP($E680,$D$6:$AN$1131,3,))*$F680)</f>
        <v>0</v>
      </c>
      <c r="H680" s="76">
        <f t="shared" si="311"/>
        <v>0</v>
      </c>
      <c r="I680" s="76">
        <f t="shared" si="311"/>
        <v>0</v>
      </c>
      <c r="J680" s="76">
        <f t="shared" si="311"/>
        <v>0</v>
      </c>
      <c r="K680" s="76">
        <f t="shared" si="311"/>
        <v>0</v>
      </c>
      <c r="L680" s="76">
        <f t="shared" si="311"/>
        <v>0</v>
      </c>
      <c r="M680" s="76">
        <f t="shared" si="311"/>
        <v>0</v>
      </c>
      <c r="N680" s="76">
        <f t="shared" si="311"/>
        <v>0</v>
      </c>
      <c r="O680" s="76">
        <f t="shared" si="311"/>
        <v>0</v>
      </c>
      <c r="P680" s="76">
        <f t="shared" si="311"/>
        <v>0</v>
      </c>
      <c r="Q680" s="76">
        <f t="shared" si="311"/>
        <v>0</v>
      </c>
      <c r="R680" s="76">
        <f t="shared" si="311"/>
        <v>0</v>
      </c>
      <c r="S680" s="76">
        <f t="shared" si="311"/>
        <v>1654734.7805703112</v>
      </c>
      <c r="T680" s="76">
        <f t="shared" si="311"/>
        <v>0</v>
      </c>
      <c r="U680" s="76">
        <f t="shared" si="311"/>
        <v>0</v>
      </c>
      <c r="V680" s="76">
        <f t="shared" si="311"/>
        <v>0</v>
      </c>
      <c r="W680" s="76">
        <f t="shared" si="311"/>
        <v>0</v>
      </c>
      <c r="X680" s="62">
        <f t="shared" si="311"/>
        <v>0</v>
      </c>
      <c r="Y680" s="62">
        <f t="shared" si="311"/>
        <v>0</v>
      </c>
      <c r="Z680" s="62">
        <f t="shared" si="311"/>
        <v>0</v>
      </c>
      <c r="AA680" s="64">
        <f>SUM(G680:Z680)</f>
        <v>1654734.7805703112</v>
      </c>
      <c r="AB680" s="58" t="str">
        <f>IF(ABS(F680-AA680)&lt;0.01,"ok","err")</f>
        <v>ok</v>
      </c>
    </row>
    <row r="681" spans="1:28"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62"/>
      <c r="Y681" s="62"/>
      <c r="Z681" s="62"/>
      <c r="AA681" s="64"/>
    </row>
    <row r="682" spans="1:28" ht="15">
      <c r="A682" s="65" t="s">
        <v>1025</v>
      </c>
      <c r="F682" s="79"/>
    </row>
    <row r="683" spans="1:28">
      <c r="A683" s="68" t="s">
        <v>1093</v>
      </c>
      <c r="C683" s="60" t="s">
        <v>1076</v>
      </c>
      <c r="D683" s="60" t="s">
        <v>832</v>
      </c>
      <c r="E683" s="60" t="s">
        <v>1098</v>
      </c>
      <c r="F683" s="76">
        <f>VLOOKUP(C683,'Functional Assignment'!$C$2:$AP$780,'Functional Assignment'!$AC$2,)</f>
        <v>0</v>
      </c>
      <c r="G683" s="76">
        <f t="shared" ref="G683:Z683" si="312">IF(VLOOKUP($E683,$D$6:$AN$1131,3,)=0,0,(VLOOKUP($E683,$D$6:$AN$1131,G$2,)/VLOOKUP($E683,$D$6:$AN$1131,3,))*$F683)</f>
        <v>0</v>
      </c>
      <c r="H683" s="76">
        <f t="shared" si="312"/>
        <v>0</v>
      </c>
      <c r="I683" s="76">
        <f t="shared" si="312"/>
        <v>0</v>
      </c>
      <c r="J683" s="76">
        <f t="shared" si="312"/>
        <v>0</v>
      </c>
      <c r="K683" s="76">
        <f t="shared" si="312"/>
        <v>0</v>
      </c>
      <c r="L683" s="76">
        <f t="shared" si="312"/>
        <v>0</v>
      </c>
      <c r="M683" s="76">
        <f t="shared" si="312"/>
        <v>0</v>
      </c>
      <c r="N683" s="76">
        <f t="shared" si="312"/>
        <v>0</v>
      </c>
      <c r="O683" s="76">
        <f t="shared" si="312"/>
        <v>0</v>
      </c>
      <c r="P683" s="76">
        <f t="shared" si="312"/>
        <v>0</v>
      </c>
      <c r="Q683" s="76">
        <f t="shared" si="312"/>
        <v>0</v>
      </c>
      <c r="R683" s="76">
        <f t="shared" si="312"/>
        <v>0</v>
      </c>
      <c r="S683" s="76">
        <f t="shared" si="312"/>
        <v>0</v>
      </c>
      <c r="T683" s="76">
        <f t="shared" si="312"/>
        <v>0</v>
      </c>
      <c r="U683" s="76">
        <f t="shared" si="312"/>
        <v>0</v>
      </c>
      <c r="V683" s="76">
        <f t="shared" si="312"/>
        <v>0</v>
      </c>
      <c r="W683" s="76">
        <f t="shared" si="312"/>
        <v>0</v>
      </c>
      <c r="X683" s="62">
        <f t="shared" si="312"/>
        <v>0</v>
      </c>
      <c r="Y683" s="62">
        <f t="shared" si="312"/>
        <v>0</v>
      </c>
      <c r="Z683" s="62">
        <f t="shared" si="312"/>
        <v>0</v>
      </c>
      <c r="AA683" s="64">
        <f>SUM(G683:Z683)</f>
        <v>0</v>
      </c>
      <c r="AB683" s="58" t="str">
        <f>IF(ABS(F683-AA683)&lt;0.01,"ok","err")</f>
        <v>ok</v>
      </c>
    </row>
    <row r="684" spans="1:28"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62"/>
      <c r="Y684" s="62"/>
      <c r="Z684" s="62"/>
      <c r="AA684" s="64"/>
    </row>
    <row r="685" spans="1:28" ht="15">
      <c r="A685" s="65" t="s">
        <v>351</v>
      </c>
      <c r="F685" s="79"/>
    </row>
    <row r="686" spans="1:28">
      <c r="A686" s="68" t="s">
        <v>1093</v>
      </c>
      <c r="C686" s="60" t="s">
        <v>1076</v>
      </c>
      <c r="D686" s="60" t="s">
        <v>833</v>
      </c>
      <c r="E686" s="60" t="s">
        <v>1098</v>
      </c>
      <c r="F686" s="76">
        <f>VLOOKUP(C686,'Functional Assignment'!$C$2:$AP$780,'Functional Assignment'!$AD$2,)</f>
        <v>0</v>
      </c>
      <c r="G686" s="76">
        <f t="shared" ref="G686:Z686" si="313">IF(VLOOKUP($E686,$D$6:$AN$1131,3,)=0,0,(VLOOKUP($E686,$D$6:$AN$1131,G$2,)/VLOOKUP($E686,$D$6:$AN$1131,3,))*$F686)</f>
        <v>0</v>
      </c>
      <c r="H686" s="76">
        <f t="shared" si="313"/>
        <v>0</v>
      </c>
      <c r="I686" s="76">
        <f t="shared" si="313"/>
        <v>0</v>
      </c>
      <c r="J686" s="76">
        <f t="shared" si="313"/>
        <v>0</v>
      </c>
      <c r="K686" s="76">
        <f t="shared" si="313"/>
        <v>0</v>
      </c>
      <c r="L686" s="76">
        <f t="shared" si="313"/>
        <v>0</v>
      </c>
      <c r="M686" s="76">
        <f t="shared" si="313"/>
        <v>0</v>
      </c>
      <c r="N686" s="76">
        <f t="shared" si="313"/>
        <v>0</v>
      </c>
      <c r="O686" s="76">
        <f t="shared" si="313"/>
        <v>0</v>
      </c>
      <c r="P686" s="76">
        <f t="shared" si="313"/>
        <v>0</v>
      </c>
      <c r="Q686" s="76">
        <f t="shared" si="313"/>
        <v>0</v>
      </c>
      <c r="R686" s="76">
        <f t="shared" si="313"/>
        <v>0</v>
      </c>
      <c r="S686" s="76">
        <f t="shared" si="313"/>
        <v>0</v>
      </c>
      <c r="T686" s="76">
        <f t="shared" si="313"/>
        <v>0</v>
      </c>
      <c r="U686" s="76">
        <f t="shared" si="313"/>
        <v>0</v>
      </c>
      <c r="V686" s="76">
        <f t="shared" si="313"/>
        <v>0</v>
      </c>
      <c r="W686" s="76">
        <f t="shared" si="313"/>
        <v>0</v>
      </c>
      <c r="X686" s="62">
        <f t="shared" si="313"/>
        <v>0</v>
      </c>
      <c r="Y686" s="62">
        <f t="shared" si="313"/>
        <v>0</v>
      </c>
      <c r="Z686" s="62">
        <f t="shared" si="313"/>
        <v>0</v>
      </c>
      <c r="AA686" s="64">
        <f>SUM(G686:Z686)</f>
        <v>0</v>
      </c>
      <c r="AB686" s="58" t="str">
        <f>IF(ABS(F686-AA686)&lt;0.01,"ok","err")</f>
        <v>ok</v>
      </c>
    </row>
    <row r="687" spans="1:28"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62"/>
      <c r="Y687" s="62"/>
      <c r="Z687" s="62"/>
      <c r="AA687" s="64"/>
    </row>
    <row r="688" spans="1:28" ht="15">
      <c r="A688" s="65" t="s">
        <v>350</v>
      </c>
      <c r="F688" s="79"/>
    </row>
    <row r="689" spans="1:28">
      <c r="A689" s="68" t="s">
        <v>1093</v>
      </c>
      <c r="C689" s="60" t="s">
        <v>1076</v>
      </c>
      <c r="D689" s="60" t="s">
        <v>834</v>
      </c>
      <c r="E689" s="60" t="s">
        <v>1099</v>
      </c>
      <c r="F689" s="76">
        <f>VLOOKUP(C689,'Functional Assignment'!$C$2:$AP$780,'Functional Assignment'!$AE$2,)</f>
        <v>0</v>
      </c>
      <c r="G689" s="76">
        <f t="shared" ref="G689:Z689" si="314">IF(VLOOKUP($E689,$D$6:$AN$1131,3,)=0,0,(VLOOKUP($E689,$D$6:$AN$1131,G$2,)/VLOOKUP($E689,$D$6:$AN$1131,3,))*$F689)</f>
        <v>0</v>
      </c>
      <c r="H689" s="76">
        <f t="shared" si="314"/>
        <v>0</v>
      </c>
      <c r="I689" s="76">
        <f t="shared" si="314"/>
        <v>0</v>
      </c>
      <c r="J689" s="76">
        <f t="shared" si="314"/>
        <v>0</v>
      </c>
      <c r="K689" s="76">
        <f t="shared" si="314"/>
        <v>0</v>
      </c>
      <c r="L689" s="76">
        <f t="shared" si="314"/>
        <v>0</v>
      </c>
      <c r="M689" s="76">
        <f t="shared" si="314"/>
        <v>0</v>
      </c>
      <c r="N689" s="76">
        <f t="shared" si="314"/>
        <v>0</v>
      </c>
      <c r="O689" s="76">
        <f t="shared" si="314"/>
        <v>0</v>
      </c>
      <c r="P689" s="76">
        <f t="shared" si="314"/>
        <v>0</v>
      </c>
      <c r="Q689" s="76">
        <f t="shared" si="314"/>
        <v>0</v>
      </c>
      <c r="R689" s="76">
        <f t="shared" si="314"/>
        <v>0</v>
      </c>
      <c r="S689" s="76">
        <f t="shared" si="314"/>
        <v>0</v>
      </c>
      <c r="T689" s="76">
        <f t="shared" si="314"/>
        <v>0</v>
      </c>
      <c r="U689" s="76">
        <f t="shared" si="314"/>
        <v>0</v>
      </c>
      <c r="V689" s="76">
        <f t="shared" si="314"/>
        <v>0</v>
      </c>
      <c r="W689" s="76">
        <f t="shared" si="314"/>
        <v>0</v>
      </c>
      <c r="X689" s="62">
        <f t="shared" si="314"/>
        <v>0</v>
      </c>
      <c r="Y689" s="62">
        <f t="shared" si="314"/>
        <v>0</v>
      </c>
      <c r="Z689" s="62">
        <f t="shared" si="314"/>
        <v>0</v>
      </c>
      <c r="AA689" s="64">
        <f>SUM(G689:Z689)</f>
        <v>0</v>
      </c>
      <c r="AB689" s="58" t="str">
        <f>IF(ABS(F689-AA689)&lt;0.01,"ok","err")</f>
        <v>ok</v>
      </c>
    </row>
    <row r="690" spans="1:28"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62"/>
      <c r="Y690" s="62"/>
      <c r="Z690" s="62"/>
      <c r="AA690" s="64"/>
    </row>
    <row r="691" spans="1:28">
      <c r="A691" s="60" t="s">
        <v>922</v>
      </c>
      <c r="D691" s="60" t="s">
        <v>835</v>
      </c>
      <c r="F691" s="76">
        <f>F646+F652+F655+F658+F666+F671+F674+F677+F680+F683+F686+F689</f>
        <v>62185554.183806494</v>
      </c>
      <c r="G691" s="76">
        <f t="shared" ref="G691:Z691" si="315">G646+G652+G655+G658+G666+G671+G674+G677+G680+G683+G686+G689</f>
        <v>30245175.128357016</v>
      </c>
      <c r="H691" s="76">
        <f t="shared" si="315"/>
        <v>7893136.8616490923</v>
      </c>
      <c r="I691" s="76">
        <f t="shared" si="315"/>
        <v>0</v>
      </c>
      <c r="J691" s="76">
        <f t="shared" si="315"/>
        <v>583898.26375443523</v>
      </c>
      <c r="K691" s="76">
        <f t="shared" si="315"/>
        <v>7528723.6289021643</v>
      </c>
      <c r="L691" s="76">
        <f t="shared" si="315"/>
        <v>0</v>
      </c>
      <c r="M691" s="76">
        <f t="shared" si="315"/>
        <v>0</v>
      </c>
      <c r="N691" s="76">
        <f t="shared" si="315"/>
        <v>6252840.9339411771</v>
      </c>
      <c r="O691" s="76">
        <f>O646+O652+O655+O658+O666+O671+O674+O677+O680+O683+O686+O689</f>
        <v>3737964.8383186734</v>
      </c>
      <c r="P691" s="76">
        <f t="shared" si="315"/>
        <v>3264548.9141497239</v>
      </c>
      <c r="Q691" s="76">
        <f t="shared" si="315"/>
        <v>393295.0592991946</v>
      </c>
      <c r="R691" s="76">
        <f t="shared" si="315"/>
        <v>182377.02075575007</v>
      </c>
      <c r="S691" s="76">
        <f t="shared" si="315"/>
        <v>2083547.4240824259</v>
      </c>
      <c r="T691" s="76">
        <f t="shared" si="315"/>
        <v>7827.6899862554428</v>
      </c>
      <c r="U691" s="76">
        <f t="shared" si="315"/>
        <v>12218.420610588899</v>
      </c>
      <c r="V691" s="76">
        <f t="shared" si="315"/>
        <v>0</v>
      </c>
      <c r="W691" s="76">
        <f t="shared" si="315"/>
        <v>0</v>
      </c>
      <c r="X691" s="62">
        <f t="shared" si="315"/>
        <v>0</v>
      </c>
      <c r="Y691" s="62">
        <f t="shared" si="315"/>
        <v>0</v>
      </c>
      <c r="Z691" s="62">
        <f t="shared" si="315"/>
        <v>0</v>
      </c>
      <c r="AA691" s="64">
        <f>SUM(G691:Z691)</f>
        <v>62185554.183806509</v>
      </c>
      <c r="AB691" s="58" t="str">
        <f>IF(ABS(F691-AA691)&lt;0.01,"ok","err")</f>
        <v>ok</v>
      </c>
    </row>
    <row r="692" spans="1:28"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62"/>
      <c r="Y692" s="62"/>
      <c r="Z692" s="62"/>
      <c r="AA692" s="64"/>
      <c r="AB692" s="58"/>
    </row>
    <row r="693" spans="1:28"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62"/>
      <c r="Y693" s="62"/>
      <c r="Z693" s="62"/>
      <c r="AA693" s="64"/>
      <c r="AB693" s="58"/>
    </row>
    <row r="694" spans="1:28" ht="15">
      <c r="A694" s="65" t="s">
        <v>891</v>
      </c>
    </row>
    <row r="695" spans="1:28">
      <c r="F695" s="80"/>
    </row>
    <row r="696" spans="1:28" ht="15">
      <c r="A696" s="65" t="s">
        <v>1112</v>
      </c>
    </row>
    <row r="697" spans="1:28" s="60" customFormat="1">
      <c r="A697" s="68" t="s">
        <v>192</v>
      </c>
      <c r="D697" s="60" t="s">
        <v>1113</v>
      </c>
      <c r="E697" s="60" t="s">
        <v>130</v>
      </c>
      <c r="F697" s="76">
        <f>'Billing Det'!F31</f>
        <v>965204065.29999995</v>
      </c>
      <c r="G697" s="76">
        <f t="shared" ref="G697:P708" si="316">IF(VLOOKUP($E697,$D$6:$AN$1131,3,)=0,0,(VLOOKUP($E697,$D$6:$AN$1131,G$2,)/VLOOKUP($E697,$D$6:$AN$1131,3,))*$F697)</f>
        <v>379200073</v>
      </c>
      <c r="H697" s="76">
        <f t="shared" si="316"/>
        <v>135825835</v>
      </c>
      <c r="I697" s="76">
        <f t="shared" si="316"/>
        <v>0</v>
      </c>
      <c r="J697" s="76">
        <f t="shared" si="316"/>
        <v>11517853</v>
      </c>
      <c r="K697" s="76">
        <f t="shared" si="316"/>
        <v>151571212</v>
      </c>
      <c r="L697" s="76">
        <f t="shared" si="316"/>
        <v>0</v>
      </c>
      <c r="M697" s="76">
        <f t="shared" si="316"/>
        <v>0</v>
      </c>
      <c r="N697" s="76">
        <f t="shared" si="316"/>
        <v>116918595</v>
      </c>
      <c r="O697" s="76">
        <f t="shared" si="316"/>
        <v>77629237</v>
      </c>
      <c r="P697" s="76">
        <f t="shared" si="316"/>
        <v>64284636.000000007</v>
      </c>
      <c r="Q697" s="76">
        <f t="shared" ref="Q697:Z708" si="317">IF(VLOOKUP($E697,$D$6:$AN$1131,3,)=0,0,(VLOOKUP($E697,$D$6:$AN$1131,Q$2,)/VLOOKUP($E697,$D$6:$AN$1131,3,))*$F697)</f>
        <v>6341748</v>
      </c>
      <c r="R697" s="76">
        <f t="shared" si="317"/>
        <v>3292762</v>
      </c>
      <c r="S697" s="76">
        <f t="shared" si="317"/>
        <v>18141167.300000001</v>
      </c>
      <c r="T697" s="76">
        <f t="shared" si="317"/>
        <v>210819</v>
      </c>
      <c r="U697" s="76">
        <f t="shared" si="317"/>
        <v>270128</v>
      </c>
      <c r="V697" s="76">
        <f t="shared" si="317"/>
        <v>0</v>
      </c>
      <c r="W697" s="76">
        <f t="shared" si="317"/>
        <v>0</v>
      </c>
      <c r="X697" s="76">
        <f t="shared" si="317"/>
        <v>0</v>
      </c>
      <c r="Y697" s="76">
        <f t="shared" si="317"/>
        <v>0</v>
      </c>
      <c r="Z697" s="76">
        <f t="shared" si="317"/>
        <v>0</v>
      </c>
      <c r="AA697" s="80">
        <f t="shared" ref="AA697:AA708" si="318">SUM(G697:Z697)</f>
        <v>965204065.29999995</v>
      </c>
      <c r="AB697" s="93" t="str">
        <f t="shared" ref="AB697:AB708" si="319">IF(ABS(F697-AA697)&lt;0.01,"ok","err")</f>
        <v>ok</v>
      </c>
    </row>
    <row r="698" spans="1:28" s="60" customFormat="1" hidden="1">
      <c r="A698" s="60" t="s">
        <v>848</v>
      </c>
      <c r="D698" s="60" t="s">
        <v>850</v>
      </c>
      <c r="E698" s="60" t="s">
        <v>1091</v>
      </c>
      <c r="F698" s="79"/>
      <c r="G698" s="79">
        <f t="shared" si="316"/>
        <v>0</v>
      </c>
      <c r="H698" s="79">
        <f t="shared" si="316"/>
        <v>0</v>
      </c>
      <c r="I698" s="79">
        <f t="shared" si="316"/>
        <v>0</v>
      </c>
      <c r="J698" s="79">
        <f t="shared" si="316"/>
        <v>0</v>
      </c>
      <c r="K698" s="79">
        <f t="shared" si="316"/>
        <v>0</v>
      </c>
      <c r="L698" s="79">
        <f t="shared" si="316"/>
        <v>0</v>
      </c>
      <c r="M698" s="79">
        <f t="shared" si="316"/>
        <v>0</v>
      </c>
      <c r="N698" s="79">
        <f t="shared" si="316"/>
        <v>0</v>
      </c>
      <c r="O698" s="79">
        <f t="shared" si="316"/>
        <v>0</v>
      </c>
      <c r="P698" s="79">
        <f t="shared" si="316"/>
        <v>0</v>
      </c>
      <c r="Q698" s="79">
        <f t="shared" si="317"/>
        <v>0</v>
      </c>
      <c r="R698" s="79">
        <f t="shared" si="317"/>
        <v>0</v>
      </c>
      <c r="S698" s="79">
        <f t="shared" si="317"/>
        <v>0</v>
      </c>
      <c r="T698" s="79">
        <f t="shared" si="317"/>
        <v>0</v>
      </c>
      <c r="U698" s="79">
        <f t="shared" si="317"/>
        <v>0</v>
      </c>
      <c r="V698" s="79">
        <f t="shared" si="317"/>
        <v>0</v>
      </c>
      <c r="W698" s="79">
        <f t="shared" si="317"/>
        <v>0</v>
      </c>
      <c r="X698" s="79">
        <f t="shared" si="317"/>
        <v>0</v>
      </c>
      <c r="Y698" s="79">
        <f t="shared" si="317"/>
        <v>0</v>
      </c>
      <c r="Z698" s="79">
        <f t="shared" si="317"/>
        <v>0</v>
      </c>
      <c r="AA698" s="79">
        <f t="shared" si="318"/>
        <v>0</v>
      </c>
      <c r="AB698" s="93" t="str">
        <f t="shared" si="319"/>
        <v>ok</v>
      </c>
    </row>
    <row r="699" spans="1:28" s="60" customFormat="1">
      <c r="A699" s="60" t="s">
        <v>1359</v>
      </c>
      <c r="E699" s="60" t="s">
        <v>930</v>
      </c>
      <c r="F699" s="79">
        <v>42971044.699999966</v>
      </c>
      <c r="G699" s="79">
        <f t="shared" si="316"/>
        <v>15545979.971223349</v>
      </c>
      <c r="H699" s="79">
        <f t="shared" si="316"/>
        <v>5051886.9375175666</v>
      </c>
      <c r="I699" s="79">
        <f t="shared" si="316"/>
        <v>0</v>
      </c>
      <c r="J699" s="79">
        <f t="shared" si="316"/>
        <v>601688.19675814186</v>
      </c>
      <c r="K699" s="79">
        <f t="shared" si="316"/>
        <v>6971339.727557797</v>
      </c>
      <c r="L699" s="79">
        <f t="shared" si="316"/>
        <v>0</v>
      </c>
      <c r="M699" s="79">
        <f t="shared" si="316"/>
        <v>0</v>
      </c>
      <c r="N699" s="79">
        <f t="shared" si="316"/>
        <v>6729278.1617034627</v>
      </c>
      <c r="O699" s="79">
        <f t="shared" si="316"/>
        <v>2959628.1337464256</v>
      </c>
      <c r="P699" s="79">
        <f t="shared" si="316"/>
        <v>4097615.1350165531</v>
      </c>
      <c r="Q699" s="79">
        <f t="shared" si="317"/>
        <v>399948.02857112564</v>
      </c>
      <c r="R699" s="79">
        <f t="shared" si="317"/>
        <v>211291.05228267645</v>
      </c>
      <c r="S699" s="79">
        <f t="shared" si="317"/>
        <v>378490.38509035693</v>
      </c>
      <c r="T699" s="79">
        <f t="shared" si="317"/>
        <v>12337.496126540351</v>
      </c>
      <c r="U699" s="79">
        <f t="shared" si="317"/>
        <v>11561.474405968587</v>
      </c>
      <c r="V699" s="79">
        <f t="shared" si="317"/>
        <v>0</v>
      </c>
      <c r="W699" s="79">
        <f t="shared" si="317"/>
        <v>0</v>
      </c>
      <c r="X699" s="79">
        <f t="shared" si="317"/>
        <v>0</v>
      </c>
      <c r="Y699" s="79">
        <f t="shared" si="317"/>
        <v>0</v>
      </c>
      <c r="Z699" s="79">
        <f t="shared" si="317"/>
        <v>0</v>
      </c>
      <c r="AA699" s="79">
        <f>SUM(G699:Z699)</f>
        <v>42971044.699999966</v>
      </c>
      <c r="AB699" s="93" t="str">
        <f t="shared" si="319"/>
        <v>ok</v>
      </c>
    </row>
    <row r="700" spans="1:28" s="60" customFormat="1" hidden="1">
      <c r="A700" s="68" t="s">
        <v>1171</v>
      </c>
      <c r="D700" s="60" t="s">
        <v>684</v>
      </c>
      <c r="E700" s="60" t="s">
        <v>930</v>
      </c>
      <c r="F700" s="79">
        <v>0</v>
      </c>
      <c r="G700" s="79">
        <f t="shared" si="316"/>
        <v>0</v>
      </c>
      <c r="H700" s="79">
        <f t="shared" si="316"/>
        <v>0</v>
      </c>
      <c r="I700" s="79">
        <f t="shared" si="316"/>
        <v>0</v>
      </c>
      <c r="J700" s="79">
        <f t="shared" si="316"/>
        <v>0</v>
      </c>
      <c r="K700" s="79">
        <f t="shared" si="316"/>
        <v>0</v>
      </c>
      <c r="L700" s="79">
        <f t="shared" si="316"/>
        <v>0</v>
      </c>
      <c r="M700" s="79">
        <f t="shared" si="316"/>
        <v>0</v>
      </c>
      <c r="N700" s="79">
        <f t="shared" si="316"/>
        <v>0</v>
      </c>
      <c r="O700" s="79">
        <f t="shared" si="316"/>
        <v>0</v>
      </c>
      <c r="P700" s="79">
        <f t="shared" si="316"/>
        <v>0</v>
      </c>
      <c r="Q700" s="79">
        <f t="shared" si="317"/>
        <v>0</v>
      </c>
      <c r="R700" s="79">
        <f t="shared" si="317"/>
        <v>0</v>
      </c>
      <c r="S700" s="79">
        <f t="shared" si="317"/>
        <v>0</v>
      </c>
      <c r="T700" s="79">
        <f t="shared" si="317"/>
        <v>0</v>
      </c>
      <c r="U700" s="79">
        <f t="shared" si="317"/>
        <v>0</v>
      </c>
      <c r="V700" s="79">
        <f t="shared" si="317"/>
        <v>0</v>
      </c>
      <c r="W700" s="79">
        <f t="shared" si="317"/>
        <v>0</v>
      </c>
      <c r="X700" s="79">
        <f t="shared" si="317"/>
        <v>0</v>
      </c>
      <c r="Y700" s="79">
        <f t="shared" si="317"/>
        <v>0</v>
      </c>
      <c r="Z700" s="79">
        <f t="shared" si="317"/>
        <v>0</v>
      </c>
      <c r="AA700" s="79">
        <f t="shared" si="318"/>
        <v>0</v>
      </c>
      <c r="AB700" s="93" t="str">
        <f t="shared" si="319"/>
        <v>ok</v>
      </c>
    </row>
    <row r="701" spans="1:28" s="60" customFormat="1" hidden="1">
      <c r="A701" s="60" t="s">
        <v>1172</v>
      </c>
      <c r="E701" s="60" t="s">
        <v>930</v>
      </c>
      <c r="F701" s="79"/>
      <c r="G701" s="79">
        <f t="shared" si="316"/>
        <v>0</v>
      </c>
      <c r="H701" s="79">
        <f t="shared" si="316"/>
        <v>0</v>
      </c>
      <c r="I701" s="79">
        <f t="shared" si="316"/>
        <v>0</v>
      </c>
      <c r="J701" s="79">
        <f t="shared" si="316"/>
        <v>0</v>
      </c>
      <c r="K701" s="79">
        <f t="shared" si="316"/>
        <v>0</v>
      </c>
      <c r="L701" s="79">
        <f t="shared" si="316"/>
        <v>0</v>
      </c>
      <c r="M701" s="79">
        <f t="shared" si="316"/>
        <v>0</v>
      </c>
      <c r="N701" s="79">
        <f t="shared" si="316"/>
        <v>0</v>
      </c>
      <c r="O701" s="79">
        <f t="shared" si="316"/>
        <v>0</v>
      </c>
      <c r="P701" s="79">
        <f t="shared" si="316"/>
        <v>0</v>
      </c>
      <c r="Q701" s="79">
        <f t="shared" si="317"/>
        <v>0</v>
      </c>
      <c r="R701" s="79">
        <f t="shared" si="317"/>
        <v>0</v>
      </c>
      <c r="S701" s="79">
        <f t="shared" si="317"/>
        <v>0</v>
      </c>
      <c r="T701" s="79">
        <f t="shared" si="317"/>
        <v>0</v>
      </c>
      <c r="U701" s="79">
        <f t="shared" si="317"/>
        <v>0</v>
      </c>
      <c r="V701" s="79">
        <f t="shared" si="317"/>
        <v>0</v>
      </c>
      <c r="W701" s="79">
        <f t="shared" si="317"/>
        <v>0</v>
      </c>
      <c r="X701" s="79">
        <f t="shared" si="317"/>
        <v>0</v>
      </c>
      <c r="Y701" s="79">
        <f t="shared" si="317"/>
        <v>0</v>
      </c>
      <c r="Z701" s="79">
        <f t="shared" si="317"/>
        <v>0</v>
      </c>
      <c r="AA701" s="79">
        <f t="shared" si="318"/>
        <v>0</v>
      </c>
      <c r="AB701" s="93" t="str">
        <f t="shared" si="319"/>
        <v>ok</v>
      </c>
    </row>
    <row r="702" spans="1:28" s="60" customFormat="1" hidden="1">
      <c r="A702" s="60" t="s">
        <v>1173</v>
      </c>
      <c r="E702" s="60" t="s">
        <v>930</v>
      </c>
      <c r="F702" s="79"/>
      <c r="G702" s="79">
        <f t="shared" si="316"/>
        <v>0</v>
      </c>
      <c r="H702" s="79">
        <f t="shared" si="316"/>
        <v>0</v>
      </c>
      <c r="I702" s="79">
        <f t="shared" si="316"/>
        <v>0</v>
      </c>
      <c r="J702" s="79">
        <f t="shared" si="316"/>
        <v>0</v>
      </c>
      <c r="K702" s="79">
        <f t="shared" si="316"/>
        <v>0</v>
      </c>
      <c r="L702" s="79">
        <f t="shared" si="316"/>
        <v>0</v>
      </c>
      <c r="M702" s="79">
        <f t="shared" si="316"/>
        <v>0</v>
      </c>
      <c r="N702" s="79">
        <f t="shared" si="316"/>
        <v>0</v>
      </c>
      <c r="O702" s="79">
        <f t="shared" si="316"/>
        <v>0</v>
      </c>
      <c r="P702" s="79">
        <f t="shared" si="316"/>
        <v>0</v>
      </c>
      <c r="Q702" s="79">
        <f t="shared" si="317"/>
        <v>0</v>
      </c>
      <c r="R702" s="79">
        <f t="shared" si="317"/>
        <v>0</v>
      </c>
      <c r="S702" s="79">
        <f t="shared" si="317"/>
        <v>0</v>
      </c>
      <c r="T702" s="79">
        <f t="shared" si="317"/>
        <v>0</v>
      </c>
      <c r="U702" s="79">
        <f t="shared" si="317"/>
        <v>0</v>
      </c>
      <c r="V702" s="79">
        <f t="shared" si="317"/>
        <v>0</v>
      </c>
      <c r="W702" s="79">
        <f t="shared" si="317"/>
        <v>0</v>
      </c>
      <c r="X702" s="79">
        <f t="shared" si="317"/>
        <v>0</v>
      </c>
      <c r="Y702" s="79">
        <f t="shared" si="317"/>
        <v>0</v>
      </c>
      <c r="Z702" s="79">
        <f t="shared" si="317"/>
        <v>0</v>
      </c>
      <c r="AA702" s="79">
        <f t="shared" si="318"/>
        <v>0</v>
      </c>
      <c r="AB702" s="93" t="str">
        <f t="shared" si="319"/>
        <v>ok</v>
      </c>
    </row>
    <row r="703" spans="1:28" s="60" customFormat="1">
      <c r="A703" s="60" t="s">
        <v>1355</v>
      </c>
      <c r="D703" s="60" t="s">
        <v>1356</v>
      </c>
      <c r="E703" s="60" t="s">
        <v>701</v>
      </c>
      <c r="F703" s="79">
        <f>-3955200-379322</f>
        <v>-4334522</v>
      </c>
      <c r="G703" s="79">
        <f t="shared" si="316"/>
        <v>-1781296.7047978356</v>
      </c>
      <c r="H703" s="79">
        <f t="shared" si="316"/>
        <v>-608997.19787395257</v>
      </c>
      <c r="I703" s="79">
        <f t="shared" si="316"/>
        <v>0</v>
      </c>
      <c r="J703" s="79">
        <f t="shared" si="316"/>
        <v>-48659.080216153132</v>
      </c>
      <c r="K703" s="79">
        <f t="shared" si="316"/>
        <v>-669784.91710334783</v>
      </c>
      <c r="L703" s="79">
        <f t="shared" si="316"/>
        <v>0</v>
      </c>
      <c r="M703" s="79">
        <f t="shared" si="316"/>
        <v>0</v>
      </c>
      <c r="N703" s="79">
        <f t="shared" si="316"/>
        <v>-520505.80020643398</v>
      </c>
      <c r="O703" s="79">
        <f t="shared" si="316"/>
        <v>-350227.79249608587</v>
      </c>
      <c r="P703" s="79">
        <f t="shared" si="316"/>
        <v>-306518.76954155817</v>
      </c>
      <c r="Q703" s="79">
        <f t="shared" si="317"/>
        <v>-34337.040661335901</v>
      </c>
      <c r="R703" s="79">
        <f t="shared" si="317"/>
        <v>-13426.980047327623</v>
      </c>
      <c r="S703" s="79">
        <f t="shared" si="317"/>
        <v>0</v>
      </c>
      <c r="T703" s="79">
        <f t="shared" si="317"/>
        <v>0</v>
      </c>
      <c r="U703" s="79">
        <f t="shared" si="317"/>
        <v>-767.71705596950017</v>
      </c>
      <c r="V703" s="79">
        <f t="shared" si="317"/>
        <v>0</v>
      </c>
      <c r="W703" s="79">
        <f t="shared" si="317"/>
        <v>0</v>
      </c>
      <c r="X703" s="79">
        <f t="shared" si="317"/>
        <v>0</v>
      </c>
      <c r="Y703" s="79">
        <f t="shared" si="317"/>
        <v>0</v>
      </c>
      <c r="Z703" s="79">
        <f t="shared" si="317"/>
        <v>0</v>
      </c>
      <c r="AA703" s="79">
        <f>SUM(G703:Z703)</f>
        <v>-4334522</v>
      </c>
      <c r="AB703" s="93" t="str">
        <f>IF(ABS(F703-AA703)&lt;0.01,"ok","err")</f>
        <v>ok</v>
      </c>
    </row>
    <row r="704" spans="1:28" s="60" customFormat="1">
      <c r="A704" s="60" t="s">
        <v>679</v>
      </c>
      <c r="D704" s="60" t="s">
        <v>680</v>
      </c>
      <c r="E704" s="60" t="s">
        <v>724</v>
      </c>
      <c r="F704" s="79">
        <v>2623527</v>
      </c>
      <c r="G704" s="79">
        <f t="shared" si="316"/>
        <v>2068557.0073810685</v>
      </c>
      <c r="H704" s="79">
        <f t="shared" si="316"/>
        <v>375660.48751128826</v>
      </c>
      <c r="I704" s="79">
        <f t="shared" si="316"/>
        <v>0</v>
      </c>
      <c r="J704" s="79">
        <f t="shared" si="316"/>
        <v>4867.1788868687199</v>
      </c>
      <c r="K704" s="79">
        <f t="shared" si="316"/>
        <v>83926.923741793464</v>
      </c>
      <c r="L704" s="79">
        <f t="shared" si="316"/>
        <v>0</v>
      </c>
      <c r="M704" s="79">
        <f t="shared" si="316"/>
        <v>0</v>
      </c>
      <c r="N704" s="79">
        <f t="shared" si="316"/>
        <v>29247.034106126437</v>
      </c>
      <c r="O704" s="79">
        <f t="shared" si="316"/>
        <v>50539.800277713934</v>
      </c>
      <c r="P704" s="79">
        <f t="shared" si="316"/>
        <v>10394.647592420743</v>
      </c>
      <c r="Q704" s="79">
        <f t="shared" si="317"/>
        <v>0</v>
      </c>
      <c r="R704" s="79">
        <f t="shared" si="317"/>
        <v>0</v>
      </c>
      <c r="S704" s="79">
        <f t="shared" si="317"/>
        <v>333.92050271976024</v>
      </c>
      <c r="T704" s="79">
        <f t="shared" si="317"/>
        <v>0</v>
      </c>
      <c r="U704" s="79">
        <f t="shared" si="317"/>
        <v>0</v>
      </c>
      <c r="V704" s="79">
        <f t="shared" si="317"/>
        <v>0</v>
      </c>
      <c r="W704" s="79">
        <f t="shared" si="317"/>
        <v>0</v>
      </c>
      <c r="X704" s="79">
        <f t="shared" si="317"/>
        <v>0</v>
      </c>
      <c r="Y704" s="79">
        <f t="shared" si="317"/>
        <v>0</v>
      </c>
      <c r="Z704" s="79">
        <f t="shared" si="317"/>
        <v>0</v>
      </c>
      <c r="AA704" s="79">
        <f t="shared" si="318"/>
        <v>2623527</v>
      </c>
      <c r="AB704" s="93" t="str">
        <f t="shared" si="319"/>
        <v>ok</v>
      </c>
    </row>
    <row r="705" spans="1:29" s="60" customFormat="1">
      <c r="A705" s="60" t="s">
        <v>681</v>
      </c>
      <c r="D705" s="60" t="s">
        <v>43</v>
      </c>
      <c r="E705" s="60" t="s">
        <v>182</v>
      </c>
      <c r="F705" s="79">
        <v>3775989</v>
      </c>
      <c r="G705" s="79">
        <f t="shared" si="316"/>
        <v>3513478.4570116438</v>
      </c>
      <c r="H705" s="79">
        <f t="shared" si="316"/>
        <v>227289.94509409383</v>
      </c>
      <c r="I705" s="79">
        <f t="shared" si="316"/>
        <v>0</v>
      </c>
      <c r="J705" s="79">
        <f t="shared" si="316"/>
        <v>847.59613189445713</v>
      </c>
      <c r="K705" s="79">
        <f t="shared" si="316"/>
        <v>33246.565867943464</v>
      </c>
      <c r="L705" s="79">
        <f t="shared" si="316"/>
        <v>0</v>
      </c>
      <c r="M705" s="79">
        <f t="shared" si="316"/>
        <v>0</v>
      </c>
      <c r="N705" s="79">
        <f t="shared" si="316"/>
        <v>100.29966229255481</v>
      </c>
      <c r="O705" s="79">
        <f t="shared" si="316"/>
        <v>262.3953250497168</v>
      </c>
      <c r="P705" s="79">
        <f t="shared" si="316"/>
        <v>12.359200092921446</v>
      </c>
      <c r="Q705" s="79">
        <f t="shared" si="317"/>
        <v>0</v>
      </c>
      <c r="R705" s="79">
        <f t="shared" si="317"/>
        <v>0</v>
      </c>
      <c r="S705" s="79">
        <f t="shared" si="317"/>
        <v>751.38170698822182</v>
      </c>
      <c r="T705" s="79">
        <f t="shared" si="317"/>
        <v>0</v>
      </c>
      <c r="U705" s="79">
        <f t="shared" si="317"/>
        <v>0</v>
      </c>
      <c r="V705" s="79">
        <f t="shared" si="317"/>
        <v>0</v>
      </c>
      <c r="W705" s="79">
        <f t="shared" si="317"/>
        <v>0</v>
      </c>
      <c r="X705" s="79">
        <f t="shared" si="317"/>
        <v>0</v>
      </c>
      <c r="Y705" s="79">
        <f t="shared" si="317"/>
        <v>0</v>
      </c>
      <c r="Z705" s="79">
        <f t="shared" si="317"/>
        <v>0</v>
      </c>
      <c r="AA705" s="79">
        <f t="shared" si="318"/>
        <v>3775988.9999999991</v>
      </c>
      <c r="AB705" s="93" t="str">
        <f t="shared" si="319"/>
        <v>ok</v>
      </c>
      <c r="AC705" s="163"/>
    </row>
    <row r="706" spans="1:29" s="60" customFormat="1">
      <c r="A706" s="68" t="s">
        <v>682</v>
      </c>
      <c r="E706" s="60" t="s">
        <v>1104</v>
      </c>
      <c r="F706" s="79">
        <v>3785840</v>
      </c>
      <c r="G706" s="79">
        <f t="shared" si="316"/>
        <v>1831351.2689605516</v>
      </c>
      <c r="H706" s="79">
        <f t="shared" si="316"/>
        <v>480312.823966878</v>
      </c>
      <c r="I706" s="79">
        <f t="shared" si="316"/>
        <v>0</v>
      </c>
      <c r="J706" s="79">
        <f t="shared" si="316"/>
        <v>35933.508108451198</v>
      </c>
      <c r="K706" s="79">
        <f t="shared" si="316"/>
        <v>461625.09120032209</v>
      </c>
      <c r="L706" s="79">
        <f t="shared" si="316"/>
        <v>0</v>
      </c>
      <c r="M706" s="79">
        <f t="shared" si="316"/>
        <v>0</v>
      </c>
      <c r="N706" s="79">
        <f t="shared" si="316"/>
        <v>385105.16064138111</v>
      </c>
      <c r="O706" s="79">
        <f t="shared" si="316"/>
        <v>228213.26902653184</v>
      </c>
      <c r="P706" s="79">
        <f t="shared" si="316"/>
        <v>202315.52552754694</v>
      </c>
      <c r="Q706" s="79">
        <f t="shared" si="317"/>
        <v>24174.294330914599</v>
      </c>
      <c r="R706" s="79">
        <f t="shared" si="317"/>
        <v>11261.936853589725</v>
      </c>
      <c r="S706" s="79">
        <f t="shared" si="317"/>
        <v>124302.1398102229</v>
      </c>
      <c r="T706" s="79">
        <f t="shared" si="317"/>
        <v>490.9051105847094</v>
      </c>
      <c r="U706" s="79">
        <f t="shared" si="317"/>
        <v>754.07646302512717</v>
      </c>
      <c r="V706" s="79">
        <f t="shared" si="317"/>
        <v>0</v>
      </c>
      <c r="W706" s="79">
        <f t="shared" si="317"/>
        <v>0</v>
      </c>
      <c r="X706" s="79">
        <f t="shared" si="317"/>
        <v>0</v>
      </c>
      <c r="Y706" s="79">
        <f t="shared" si="317"/>
        <v>0</v>
      </c>
      <c r="Z706" s="79">
        <f t="shared" si="317"/>
        <v>0</v>
      </c>
      <c r="AA706" s="79">
        <f t="shared" si="318"/>
        <v>3785840</v>
      </c>
      <c r="AB706" s="93" t="str">
        <f t="shared" si="319"/>
        <v>ok</v>
      </c>
    </row>
    <row r="707" spans="1:29" s="60" customFormat="1">
      <c r="A707" s="68" t="s">
        <v>683</v>
      </c>
      <c r="E707" s="60" t="s">
        <v>1104</v>
      </c>
      <c r="F707" s="79">
        <v>11598968</v>
      </c>
      <c r="G707" s="79">
        <f t="shared" si="316"/>
        <v>5610851.1626040274</v>
      </c>
      <c r="H707" s="79">
        <f t="shared" si="316"/>
        <v>1471571.1903253838</v>
      </c>
      <c r="I707" s="79">
        <f t="shared" si="316"/>
        <v>0</v>
      </c>
      <c r="J707" s="79">
        <f t="shared" si="316"/>
        <v>110092.2412668433</v>
      </c>
      <c r="K707" s="79">
        <f t="shared" si="316"/>
        <v>1414316.1519846632</v>
      </c>
      <c r="L707" s="79">
        <f t="shared" si="316"/>
        <v>0</v>
      </c>
      <c r="M707" s="79">
        <f t="shared" si="316"/>
        <v>0</v>
      </c>
      <c r="N707" s="79">
        <f t="shared" si="316"/>
        <v>1179876.1793721442</v>
      </c>
      <c r="O707" s="79">
        <f t="shared" si="316"/>
        <v>699194.47325141425</v>
      </c>
      <c r="P707" s="79">
        <f t="shared" si="316"/>
        <v>619849.57274929737</v>
      </c>
      <c r="Q707" s="79">
        <f t="shared" si="317"/>
        <v>74064.637271215863</v>
      </c>
      <c r="R707" s="79">
        <f t="shared" si="317"/>
        <v>34504.058592758251</v>
      </c>
      <c r="S707" s="79">
        <f t="shared" si="317"/>
        <v>380833.98717069434</v>
      </c>
      <c r="T707" s="79">
        <f t="shared" si="317"/>
        <v>1504.0235901962328</v>
      </c>
      <c r="U707" s="79">
        <f t="shared" si="317"/>
        <v>2310.3218213610808</v>
      </c>
      <c r="V707" s="79">
        <f t="shared" si="317"/>
        <v>0</v>
      </c>
      <c r="W707" s="79">
        <f t="shared" si="317"/>
        <v>0</v>
      </c>
      <c r="X707" s="79">
        <f t="shared" si="317"/>
        <v>0</v>
      </c>
      <c r="Y707" s="79">
        <f t="shared" si="317"/>
        <v>0</v>
      </c>
      <c r="Z707" s="79">
        <f t="shared" si="317"/>
        <v>0</v>
      </c>
      <c r="AA707" s="79">
        <f t="shared" si="318"/>
        <v>11598968.000000002</v>
      </c>
      <c r="AB707" s="93" t="str">
        <f t="shared" si="319"/>
        <v>ok</v>
      </c>
    </row>
    <row r="708" spans="1:29" s="60" customFormat="1">
      <c r="A708" s="68" t="s">
        <v>685</v>
      </c>
      <c r="D708" s="60" t="s">
        <v>686</v>
      </c>
      <c r="E708" s="60" t="s">
        <v>130</v>
      </c>
      <c r="F708" s="147">
        <v>0</v>
      </c>
      <c r="G708" s="147">
        <f t="shared" si="316"/>
        <v>0</v>
      </c>
      <c r="H708" s="147">
        <f t="shared" si="316"/>
        <v>0</v>
      </c>
      <c r="I708" s="147">
        <f t="shared" si="316"/>
        <v>0</v>
      </c>
      <c r="J708" s="147">
        <f t="shared" si="316"/>
        <v>0</v>
      </c>
      <c r="K708" s="147">
        <f t="shared" si="316"/>
        <v>0</v>
      </c>
      <c r="L708" s="147">
        <f t="shared" si="316"/>
        <v>0</v>
      </c>
      <c r="M708" s="147">
        <f t="shared" si="316"/>
        <v>0</v>
      </c>
      <c r="N708" s="147">
        <f t="shared" si="316"/>
        <v>0</v>
      </c>
      <c r="O708" s="147">
        <f t="shared" si="316"/>
        <v>0</v>
      </c>
      <c r="P708" s="147">
        <f t="shared" si="316"/>
        <v>0</v>
      </c>
      <c r="Q708" s="147">
        <f t="shared" si="317"/>
        <v>0</v>
      </c>
      <c r="R708" s="147">
        <f t="shared" si="317"/>
        <v>0</v>
      </c>
      <c r="S708" s="147">
        <f t="shared" si="317"/>
        <v>0</v>
      </c>
      <c r="T708" s="147">
        <f t="shared" si="317"/>
        <v>0</v>
      </c>
      <c r="U708" s="147">
        <f t="shared" si="317"/>
        <v>0</v>
      </c>
      <c r="V708" s="147">
        <f t="shared" si="317"/>
        <v>0</v>
      </c>
      <c r="W708" s="147">
        <f t="shared" si="317"/>
        <v>0</v>
      </c>
      <c r="X708" s="147">
        <f t="shared" si="317"/>
        <v>0</v>
      </c>
      <c r="Y708" s="147">
        <f t="shared" si="317"/>
        <v>0</v>
      </c>
      <c r="Z708" s="147">
        <f t="shared" si="317"/>
        <v>0</v>
      </c>
      <c r="AA708" s="147">
        <f t="shared" si="318"/>
        <v>0</v>
      </c>
      <c r="AB708" s="148" t="str">
        <f t="shared" si="319"/>
        <v>ok</v>
      </c>
    </row>
    <row r="709" spans="1:29" s="60" customFormat="1">
      <c r="AA709" s="80"/>
    </row>
    <row r="710" spans="1:29" s="60" customFormat="1">
      <c r="A710" s="60" t="s">
        <v>1114</v>
      </c>
      <c r="D710" s="60" t="s">
        <v>1115</v>
      </c>
      <c r="F710" s="80">
        <f>SUM(F697:F709)</f>
        <v>1025624911.9999999</v>
      </c>
      <c r="G710" s="80">
        <f t="shared" ref="G710:Z710" si="320">SUM(G697:G709)</f>
        <v>405988994.16238278</v>
      </c>
      <c r="H710" s="80">
        <f t="shared" si="320"/>
        <v>142823559.18654126</v>
      </c>
      <c r="I710" s="80">
        <f t="shared" si="320"/>
        <v>0</v>
      </c>
      <c r="J710" s="80">
        <f t="shared" si="320"/>
        <v>12222622.640936047</v>
      </c>
      <c r="K710" s="80">
        <f t="shared" si="320"/>
        <v>159865881.54324916</v>
      </c>
      <c r="L710" s="80">
        <f t="shared" si="320"/>
        <v>0</v>
      </c>
      <c r="M710" s="80">
        <f t="shared" si="320"/>
        <v>0</v>
      </c>
      <c r="N710" s="80">
        <f t="shared" si="320"/>
        <v>124721696.03527898</v>
      </c>
      <c r="O710" s="80">
        <f>SUM(O697:O709)</f>
        <v>81216847.279131055</v>
      </c>
      <c r="P710" s="80">
        <f t="shared" si="320"/>
        <v>68908304.470544368</v>
      </c>
      <c r="Q710" s="80">
        <f t="shared" si="320"/>
        <v>6805597.9195119208</v>
      </c>
      <c r="R710" s="80">
        <f t="shared" si="320"/>
        <v>3536392.0676816972</v>
      </c>
      <c r="S710" s="80">
        <f t="shared" si="320"/>
        <v>19025879.11428098</v>
      </c>
      <c r="T710" s="80">
        <f t="shared" si="320"/>
        <v>225151.42482732132</v>
      </c>
      <c r="U710" s="80">
        <f t="shared" si="320"/>
        <v>283986.15563438524</v>
      </c>
      <c r="V710" s="80">
        <f t="shared" si="320"/>
        <v>0</v>
      </c>
      <c r="W710" s="80">
        <f t="shared" si="320"/>
        <v>0</v>
      </c>
      <c r="X710" s="80">
        <f t="shared" si="320"/>
        <v>0</v>
      </c>
      <c r="Y710" s="80">
        <f t="shared" si="320"/>
        <v>0</v>
      </c>
      <c r="Z710" s="80">
        <f t="shared" si="320"/>
        <v>0</v>
      </c>
      <c r="AA710" s="80">
        <f>SUM(G710:Z710)</f>
        <v>1025624911.9999999</v>
      </c>
      <c r="AB710" s="93" t="str">
        <f>IF(ABS(F710-AA710)&lt;0.01,"ok","err")</f>
        <v>ok</v>
      </c>
    </row>
    <row r="711" spans="1:29" s="60" customFormat="1">
      <c r="C711" s="80"/>
      <c r="D711" s="80"/>
      <c r="E711" s="80"/>
      <c r="F711" s="80"/>
      <c r="G711" s="80"/>
      <c r="H711" s="80"/>
      <c r="I711" s="80"/>
    </row>
    <row r="712" spans="1:29" s="60" customFormat="1" ht="15">
      <c r="A712" s="65" t="s">
        <v>1116</v>
      </c>
      <c r="F712" s="80"/>
      <c r="G712" s="80"/>
    </row>
    <row r="713" spans="1:29" s="60" customFormat="1">
      <c r="A713" s="68" t="s">
        <v>1117</v>
      </c>
      <c r="F713" s="80">
        <f t="shared" ref="F713:Z713" si="321">F233</f>
        <v>685621902.81823468</v>
      </c>
      <c r="G713" s="80">
        <f t="shared" si="321"/>
        <v>287977479.04383886</v>
      </c>
      <c r="H713" s="80">
        <f t="shared" si="321"/>
        <v>85712374.904412091</v>
      </c>
      <c r="I713" s="80">
        <f t="shared" si="321"/>
        <v>0</v>
      </c>
      <c r="J713" s="80">
        <f t="shared" si="321"/>
        <v>8382184.1559373448</v>
      </c>
      <c r="K713" s="80">
        <f t="shared" si="321"/>
        <v>98788345.739999518</v>
      </c>
      <c r="L713" s="80">
        <f t="shared" si="321"/>
        <v>0</v>
      </c>
      <c r="M713" s="80">
        <f t="shared" si="321"/>
        <v>0</v>
      </c>
      <c r="N713" s="80">
        <f t="shared" si="321"/>
        <v>91640486.35993652</v>
      </c>
      <c r="O713" s="80">
        <f>O233</f>
        <v>43317845.899576016</v>
      </c>
      <c r="P713" s="80">
        <f t="shared" si="321"/>
        <v>53872935.67491778</v>
      </c>
      <c r="Q713" s="80">
        <f t="shared" si="321"/>
        <v>5491759.0931262597</v>
      </c>
      <c r="R713" s="80">
        <f t="shared" si="321"/>
        <v>2831748.9051755359</v>
      </c>
      <c r="S713" s="80">
        <f t="shared" si="321"/>
        <v>7250096.0209032139</v>
      </c>
      <c r="T713" s="80">
        <f t="shared" si="321"/>
        <v>163488.34608044932</v>
      </c>
      <c r="U713" s="80">
        <f t="shared" si="321"/>
        <v>193158.6743311403</v>
      </c>
      <c r="V713" s="80">
        <f t="shared" si="321"/>
        <v>0</v>
      </c>
      <c r="W713" s="80">
        <f t="shared" si="321"/>
        <v>0</v>
      </c>
      <c r="X713" s="80">
        <f t="shared" si="321"/>
        <v>0</v>
      </c>
      <c r="Y713" s="80">
        <f t="shared" si="321"/>
        <v>0</v>
      </c>
      <c r="Z713" s="80">
        <f t="shared" si="321"/>
        <v>0</v>
      </c>
      <c r="AA713" s="80">
        <f t="shared" ref="AA713:AA719" si="322">SUM(G713:Z713)</f>
        <v>685621902.81823492</v>
      </c>
      <c r="AB713" s="93" t="str">
        <f t="shared" ref="AB713:AB722" si="323">IF(ABS(F713-AA713)&lt;0.01,"ok","err")</f>
        <v>ok</v>
      </c>
    </row>
    <row r="714" spans="1:29" s="60" customFormat="1">
      <c r="A714" s="68" t="s">
        <v>1291</v>
      </c>
      <c r="F714" s="79">
        <f>F347</f>
        <v>138842526.50563762</v>
      </c>
      <c r="G714" s="79">
        <f t="shared" ref="G714:P714" si="324">G347</f>
        <v>66956528.663069092</v>
      </c>
      <c r="H714" s="79">
        <f t="shared" si="324"/>
        <v>17662359.026010059</v>
      </c>
      <c r="I714" s="79">
        <f t="shared" si="324"/>
        <v>0</v>
      </c>
      <c r="J714" s="79">
        <f t="shared" si="324"/>
        <v>1319207.819514378</v>
      </c>
      <c r="K714" s="79">
        <f t="shared" si="324"/>
        <v>17047245.359047126</v>
      </c>
      <c r="L714" s="79">
        <f t="shared" si="324"/>
        <v>0</v>
      </c>
      <c r="M714" s="79">
        <f t="shared" si="324"/>
        <v>0</v>
      </c>
      <c r="N714" s="79">
        <f t="shared" si="324"/>
        <v>14147537.382176131</v>
      </c>
      <c r="O714" s="79">
        <f>O347</f>
        <v>8439638.5688393302</v>
      </c>
      <c r="P714" s="79">
        <f t="shared" si="324"/>
        <v>7431299.1513437964</v>
      </c>
      <c r="Q714" s="79">
        <f>Q347</f>
        <v>890538.01548429963</v>
      </c>
      <c r="R714" s="79">
        <f t="shared" ref="R714:Z714" si="325">R347</f>
        <v>410588.53529443557</v>
      </c>
      <c r="S714" s="79">
        <f t="shared" si="325"/>
        <v>4493023.2657757187</v>
      </c>
      <c r="T714" s="79">
        <f t="shared" si="325"/>
        <v>16978.565610219943</v>
      </c>
      <c r="U714" s="79">
        <f t="shared" si="325"/>
        <v>27582.153473022237</v>
      </c>
      <c r="V714" s="79">
        <f t="shared" si="325"/>
        <v>0</v>
      </c>
      <c r="W714" s="79">
        <f t="shared" si="325"/>
        <v>0</v>
      </c>
      <c r="X714" s="79">
        <f t="shared" si="325"/>
        <v>0</v>
      </c>
      <c r="Y714" s="79">
        <f t="shared" si="325"/>
        <v>0</v>
      </c>
      <c r="Z714" s="79">
        <f t="shared" si="325"/>
        <v>0</v>
      </c>
      <c r="AA714" s="79">
        <f t="shared" si="322"/>
        <v>138842526.50563762</v>
      </c>
      <c r="AB714" s="93" t="str">
        <f t="shared" si="323"/>
        <v>ok</v>
      </c>
    </row>
    <row r="715" spans="1:29" s="60" customFormat="1">
      <c r="A715" s="111" t="s">
        <v>281</v>
      </c>
      <c r="F715" s="79">
        <f>F405</f>
        <v>0</v>
      </c>
      <c r="G715" s="79">
        <f t="shared" ref="G715:Z715" si="326">G405</f>
        <v>0</v>
      </c>
      <c r="H715" s="79">
        <f t="shared" si="326"/>
        <v>0</v>
      </c>
      <c r="I715" s="79">
        <f t="shared" si="326"/>
        <v>0</v>
      </c>
      <c r="J715" s="79">
        <f t="shared" si="326"/>
        <v>0</v>
      </c>
      <c r="K715" s="79">
        <f t="shared" si="326"/>
        <v>0</v>
      </c>
      <c r="L715" s="79">
        <f t="shared" si="326"/>
        <v>0</v>
      </c>
      <c r="M715" s="79">
        <f t="shared" si="326"/>
        <v>0</v>
      </c>
      <c r="N715" s="79">
        <f t="shared" si="326"/>
        <v>0</v>
      </c>
      <c r="O715" s="79">
        <f>O405</f>
        <v>0</v>
      </c>
      <c r="P715" s="79">
        <f t="shared" si="326"/>
        <v>0</v>
      </c>
      <c r="Q715" s="79">
        <f t="shared" si="326"/>
        <v>0</v>
      </c>
      <c r="R715" s="79">
        <f t="shared" si="326"/>
        <v>0</v>
      </c>
      <c r="S715" s="79">
        <f t="shared" si="326"/>
        <v>0</v>
      </c>
      <c r="T715" s="79">
        <f t="shared" si="326"/>
        <v>0</v>
      </c>
      <c r="U715" s="79">
        <f t="shared" si="326"/>
        <v>0</v>
      </c>
      <c r="V715" s="79">
        <f t="shared" si="326"/>
        <v>0</v>
      </c>
      <c r="W715" s="79">
        <f t="shared" si="326"/>
        <v>0</v>
      </c>
      <c r="X715" s="79">
        <f t="shared" si="326"/>
        <v>0</v>
      </c>
      <c r="Y715" s="79">
        <f t="shared" si="326"/>
        <v>0</v>
      </c>
      <c r="Z715" s="79">
        <f t="shared" si="326"/>
        <v>0</v>
      </c>
      <c r="AA715" s="79">
        <f>SUM(G715:Z715)</f>
        <v>0</v>
      </c>
      <c r="AB715" s="93" t="str">
        <f t="shared" si="323"/>
        <v>ok</v>
      </c>
    </row>
    <row r="716" spans="1:29" s="60" customFormat="1">
      <c r="A716" s="68" t="s">
        <v>804</v>
      </c>
      <c r="F716" s="79">
        <f>F462</f>
        <v>0</v>
      </c>
      <c r="G716" s="79">
        <f t="shared" ref="G716:Z716" si="327">G462</f>
        <v>0</v>
      </c>
      <c r="H716" s="79">
        <f t="shared" si="327"/>
        <v>0</v>
      </c>
      <c r="I716" s="79">
        <f t="shared" si="327"/>
        <v>0</v>
      </c>
      <c r="J716" s="79">
        <f t="shared" si="327"/>
        <v>0</v>
      </c>
      <c r="K716" s="79">
        <f t="shared" si="327"/>
        <v>0</v>
      </c>
      <c r="L716" s="79">
        <f t="shared" si="327"/>
        <v>0</v>
      </c>
      <c r="M716" s="79">
        <f t="shared" si="327"/>
        <v>0</v>
      </c>
      <c r="N716" s="79">
        <f t="shared" si="327"/>
        <v>0</v>
      </c>
      <c r="O716" s="79">
        <f>O462</f>
        <v>0</v>
      </c>
      <c r="P716" s="79">
        <f t="shared" si="327"/>
        <v>0</v>
      </c>
      <c r="Q716" s="79">
        <f t="shared" si="327"/>
        <v>0</v>
      </c>
      <c r="R716" s="79">
        <f t="shared" si="327"/>
        <v>0</v>
      </c>
      <c r="S716" s="79">
        <f t="shared" si="327"/>
        <v>0</v>
      </c>
      <c r="T716" s="79">
        <f t="shared" si="327"/>
        <v>0</v>
      </c>
      <c r="U716" s="79">
        <f t="shared" si="327"/>
        <v>0</v>
      </c>
      <c r="V716" s="79">
        <f t="shared" si="327"/>
        <v>0</v>
      </c>
      <c r="W716" s="79">
        <f t="shared" si="327"/>
        <v>0</v>
      </c>
      <c r="X716" s="79">
        <f t="shared" si="327"/>
        <v>0</v>
      </c>
      <c r="Y716" s="79">
        <f t="shared" si="327"/>
        <v>0</v>
      </c>
      <c r="Z716" s="79">
        <f t="shared" si="327"/>
        <v>0</v>
      </c>
      <c r="AA716" s="79">
        <f>SUM(G716:Z716)</f>
        <v>0</v>
      </c>
      <c r="AB716" s="93" t="str">
        <f t="shared" si="323"/>
        <v>ok</v>
      </c>
    </row>
    <row r="717" spans="1:29" s="60" customFormat="1">
      <c r="A717" s="60" t="s">
        <v>1169</v>
      </c>
      <c r="E717" s="60" t="s">
        <v>532</v>
      </c>
      <c r="F717" s="79">
        <v>0</v>
      </c>
      <c r="G717" s="79">
        <f t="shared" ref="G717:P718" si="328">IF(VLOOKUP($E717,$D$6:$AN$1131,3,)=0,0,(VLOOKUP($E717,$D$6:$AN$1131,G$2,)/VLOOKUP($E717,$D$6:$AN$1131,3,))*$F717)</f>
        <v>0</v>
      </c>
      <c r="H717" s="79">
        <f t="shared" si="328"/>
        <v>0</v>
      </c>
      <c r="I717" s="79">
        <f t="shared" si="328"/>
        <v>0</v>
      </c>
      <c r="J717" s="79">
        <f t="shared" si="328"/>
        <v>0</v>
      </c>
      <c r="K717" s="79">
        <f t="shared" si="328"/>
        <v>0</v>
      </c>
      <c r="L717" s="79">
        <f t="shared" si="328"/>
        <v>0</v>
      </c>
      <c r="M717" s="79">
        <f t="shared" si="328"/>
        <v>0</v>
      </c>
      <c r="N717" s="79">
        <f t="shared" si="328"/>
        <v>0</v>
      </c>
      <c r="O717" s="79">
        <f t="shared" si="328"/>
        <v>0</v>
      </c>
      <c r="P717" s="79">
        <f t="shared" si="328"/>
        <v>0</v>
      </c>
      <c r="Q717" s="79">
        <f t="shared" ref="Q717:Z718" si="329">IF(VLOOKUP($E717,$D$6:$AN$1131,3,)=0,0,(VLOOKUP($E717,$D$6:$AN$1131,Q$2,)/VLOOKUP($E717,$D$6:$AN$1131,3,))*$F717)</f>
        <v>0</v>
      </c>
      <c r="R717" s="79">
        <f t="shared" si="329"/>
        <v>0</v>
      </c>
      <c r="S717" s="79">
        <f t="shared" si="329"/>
        <v>0</v>
      </c>
      <c r="T717" s="79">
        <f t="shared" si="329"/>
        <v>0</v>
      </c>
      <c r="U717" s="79">
        <f t="shared" si="329"/>
        <v>0</v>
      </c>
      <c r="V717" s="79">
        <f t="shared" si="329"/>
        <v>0</v>
      </c>
      <c r="W717" s="79">
        <f t="shared" si="329"/>
        <v>0</v>
      </c>
      <c r="X717" s="79">
        <f t="shared" si="329"/>
        <v>0</v>
      </c>
      <c r="Y717" s="79">
        <f t="shared" si="329"/>
        <v>0</v>
      </c>
      <c r="Z717" s="79">
        <f t="shared" si="329"/>
        <v>0</v>
      </c>
      <c r="AA717" s="79">
        <f>SUM(G717:Z717)</f>
        <v>0</v>
      </c>
      <c r="AB717" s="93" t="str">
        <f t="shared" si="323"/>
        <v>ok</v>
      </c>
    </row>
    <row r="718" spans="1:29" s="60" customFormat="1">
      <c r="A718" s="60" t="s">
        <v>1170</v>
      </c>
      <c r="E718" s="60" t="s">
        <v>532</v>
      </c>
      <c r="F718" s="79">
        <v>0</v>
      </c>
      <c r="G718" s="79">
        <f t="shared" si="328"/>
        <v>0</v>
      </c>
      <c r="H718" s="79">
        <f t="shared" si="328"/>
        <v>0</v>
      </c>
      <c r="I718" s="79">
        <f t="shared" si="328"/>
        <v>0</v>
      </c>
      <c r="J718" s="79">
        <f t="shared" si="328"/>
        <v>0</v>
      </c>
      <c r="K718" s="79">
        <f t="shared" si="328"/>
        <v>0</v>
      </c>
      <c r="L718" s="79">
        <f t="shared" si="328"/>
        <v>0</v>
      </c>
      <c r="M718" s="79">
        <f t="shared" si="328"/>
        <v>0</v>
      </c>
      <c r="N718" s="79">
        <f t="shared" si="328"/>
        <v>0</v>
      </c>
      <c r="O718" s="79">
        <f t="shared" si="328"/>
        <v>0</v>
      </c>
      <c r="P718" s="79">
        <f t="shared" si="328"/>
        <v>0</v>
      </c>
      <c r="Q718" s="79">
        <f t="shared" si="329"/>
        <v>0</v>
      </c>
      <c r="R718" s="79">
        <f t="shared" si="329"/>
        <v>0</v>
      </c>
      <c r="S718" s="79">
        <f t="shared" si="329"/>
        <v>0</v>
      </c>
      <c r="T718" s="79">
        <f t="shared" si="329"/>
        <v>0</v>
      </c>
      <c r="U718" s="79">
        <f t="shared" si="329"/>
        <v>0</v>
      </c>
      <c r="V718" s="79">
        <f t="shared" si="329"/>
        <v>0</v>
      </c>
      <c r="W718" s="79">
        <f t="shared" si="329"/>
        <v>0</v>
      </c>
      <c r="X718" s="79">
        <f t="shared" si="329"/>
        <v>0</v>
      </c>
      <c r="Y718" s="79">
        <f t="shared" si="329"/>
        <v>0</v>
      </c>
      <c r="Z718" s="79">
        <f t="shared" si="329"/>
        <v>0</v>
      </c>
      <c r="AA718" s="79">
        <f>SUM(G718:Z718)</f>
        <v>0</v>
      </c>
      <c r="AB718" s="93" t="str">
        <f t="shared" si="323"/>
        <v>ok</v>
      </c>
    </row>
    <row r="719" spans="1:29" s="60" customFormat="1">
      <c r="A719" s="68" t="s">
        <v>726</v>
      </c>
      <c r="E719" s="60" t="s">
        <v>1101</v>
      </c>
      <c r="F719" s="79">
        <f>F519</f>
        <v>32529208.918825753</v>
      </c>
      <c r="G719" s="79">
        <f t="shared" ref="G719:P719" si="330">G519</f>
        <v>15821224.614783587</v>
      </c>
      <c r="H719" s="79">
        <f t="shared" si="330"/>
        <v>4128892.9779181606</v>
      </c>
      <c r="I719" s="79">
        <f t="shared" si="330"/>
        <v>0</v>
      </c>
      <c r="J719" s="79">
        <f t="shared" si="330"/>
        <v>305436.67027339508</v>
      </c>
      <c r="K719" s="79">
        <f t="shared" si="330"/>
        <v>3938268.7350952788</v>
      </c>
      <c r="L719" s="79">
        <f t="shared" si="330"/>
        <v>0</v>
      </c>
      <c r="M719" s="79">
        <f t="shared" si="330"/>
        <v>0</v>
      </c>
      <c r="N719" s="79">
        <f t="shared" si="330"/>
        <v>3270855.6150380769</v>
      </c>
      <c r="O719" s="79">
        <f>O519</f>
        <v>1955326.1324566021</v>
      </c>
      <c r="P719" s="79">
        <f t="shared" si="330"/>
        <v>1707682.6772375295</v>
      </c>
      <c r="Q719" s="79">
        <f>Q519</f>
        <v>205732.30099181121</v>
      </c>
      <c r="R719" s="79">
        <f t="shared" ref="R719:Z719" si="331">R519</f>
        <v>95401.259794540762</v>
      </c>
      <c r="S719" s="79">
        <f t="shared" si="331"/>
        <v>1089901.8323440109</v>
      </c>
      <c r="T719" s="79">
        <f t="shared" si="331"/>
        <v>4094.6577747313927</v>
      </c>
      <c r="U719" s="79">
        <f t="shared" si="331"/>
        <v>6391.445118027631</v>
      </c>
      <c r="V719" s="79">
        <f t="shared" si="331"/>
        <v>0</v>
      </c>
      <c r="W719" s="79">
        <f t="shared" si="331"/>
        <v>0</v>
      </c>
      <c r="X719" s="79">
        <f t="shared" si="331"/>
        <v>0</v>
      </c>
      <c r="Y719" s="79">
        <f t="shared" si="331"/>
        <v>0</v>
      </c>
      <c r="Z719" s="79">
        <f t="shared" si="331"/>
        <v>0</v>
      </c>
      <c r="AA719" s="79">
        <f t="shared" si="322"/>
        <v>32529208.918825749</v>
      </c>
      <c r="AB719" s="93" t="str">
        <f t="shared" si="323"/>
        <v>ok</v>
      </c>
    </row>
    <row r="720" spans="1:29" s="60" customFormat="1">
      <c r="A720" s="68" t="s">
        <v>727</v>
      </c>
      <c r="F720" s="79">
        <f>F576</f>
        <v>-1002535.0000000001</v>
      </c>
      <c r="G720" s="79">
        <f t="shared" ref="G720:Z720" si="332">G576</f>
        <v>-487602.74062498263</v>
      </c>
      <c r="H720" s="79">
        <f t="shared" si="332"/>
        <v>-127250.54986571152</v>
      </c>
      <c r="I720" s="79">
        <f t="shared" si="332"/>
        <v>0</v>
      </c>
      <c r="J720" s="79">
        <f t="shared" si="332"/>
        <v>-9413.4152784552807</v>
      </c>
      <c r="K720" s="79">
        <f t="shared" si="332"/>
        <v>-121375.59988597687</v>
      </c>
      <c r="L720" s="79">
        <f t="shared" si="332"/>
        <v>0</v>
      </c>
      <c r="M720" s="79">
        <f t="shared" si="332"/>
        <v>0</v>
      </c>
      <c r="N720" s="79">
        <f t="shared" si="332"/>
        <v>-100806.23977684391</v>
      </c>
      <c r="O720" s="79">
        <f>O576</f>
        <v>-60262.236597702744</v>
      </c>
      <c r="P720" s="79">
        <f t="shared" si="332"/>
        <v>-52629.981168509992</v>
      </c>
      <c r="Q720" s="79">
        <f t="shared" si="332"/>
        <v>-6340.5732641552013</v>
      </c>
      <c r="R720" s="79">
        <f t="shared" si="332"/>
        <v>-2940.2221931308027</v>
      </c>
      <c r="S720" s="79">
        <f t="shared" si="332"/>
        <v>-33590.264559327814</v>
      </c>
      <c r="T720" s="79">
        <f t="shared" si="332"/>
        <v>-126.19543692052756</v>
      </c>
      <c r="U720" s="79">
        <f t="shared" si="332"/>
        <v>-196.98134828275855</v>
      </c>
      <c r="V720" s="79">
        <f t="shared" si="332"/>
        <v>0</v>
      </c>
      <c r="W720" s="79">
        <f t="shared" si="332"/>
        <v>0</v>
      </c>
      <c r="X720" s="79">
        <f t="shared" si="332"/>
        <v>0</v>
      </c>
      <c r="Y720" s="79">
        <f t="shared" si="332"/>
        <v>0</v>
      </c>
      <c r="Z720" s="79">
        <f t="shared" si="332"/>
        <v>0</v>
      </c>
      <c r="AA720" s="79">
        <f>SUM(G720:Z720)</f>
        <v>-1002535</v>
      </c>
      <c r="AB720" s="93" t="str">
        <f t="shared" si="323"/>
        <v>ok</v>
      </c>
    </row>
    <row r="721" spans="1:28" s="60" customFormat="1">
      <c r="A721" s="68" t="s">
        <v>692</v>
      </c>
      <c r="F721" s="79">
        <f>F634</f>
        <v>0</v>
      </c>
      <c r="G721" s="79">
        <f t="shared" ref="G721:Z721" si="333">G634</f>
        <v>0</v>
      </c>
      <c r="H721" s="79">
        <f t="shared" si="333"/>
        <v>0</v>
      </c>
      <c r="I721" s="79">
        <f t="shared" si="333"/>
        <v>0</v>
      </c>
      <c r="J721" s="79">
        <f t="shared" si="333"/>
        <v>0</v>
      </c>
      <c r="K721" s="79">
        <f t="shared" si="333"/>
        <v>0</v>
      </c>
      <c r="L721" s="79">
        <f t="shared" si="333"/>
        <v>0</v>
      </c>
      <c r="M721" s="79">
        <f t="shared" si="333"/>
        <v>0</v>
      </c>
      <c r="N721" s="79">
        <f t="shared" si="333"/>
        <v>0</v>
      </c>
      <c r="O721" s="79">
        <f>O634</f>
        <v>0</v>
      </c>
      <c r="P721" s="79">
        <f t="shared" si="333"/>
        <v>0</v>
      </c>
      <c r="Q721" s="79">
        <f t="shared" si="333"/>
        <v>0</v>
      </c>
      <c r="R721" s="79">
        <f t="shared" si="333"/>
        <v>0</v>
      </c>
      <c r="S721" s="79">
        <f t="shared" si="333"/>
        <v>0</v>
      </c>
      <c r="T721" s="79">
        <f t="shared" si="333"/>
        <v>0</v>
      </c>
      <c r="U721" s="79">
        <f t="shared" si="333"/>
        <v>0</v>
      </c>
      <c r="V721" s="79">
        <f t="shared" si="333"/>
        <v>0</v>
      </c>
      <c r="W721" s="79">
        <f t="shared" si="333"/>
        <v>0</v>
      </c>
      <c r="X721" s="79">
        <f t="shared" si="333"/>
        <v>0</v>
      </c>
      <c r="Y721" s="79">
        <f t="shared" si="333"/>
        <v>0</v>
      </c>
      <c r="Z721" s="79">
        <f t="shared" si="333"/>
        <v>0</v>
      </c>
      <c r="AA721" s="79">
        <f>SUM(G721:Z721)</f>
        <v>0</v>
      </c>
      <c r="AB721" s="93" t="str">
        <f t="shared" si="323"/>
        <v>ok</v>
      </c>
    </row>
    <row r="722" spans="1:28" s="60" customFormat="1" ht="15.75" customHeight="1">
      <c r="A722" s="68" t="s">
        <v>206</v>
      </c>
      <c r="E722" s="60" t="s">
        <v>839</v>
      </c>
      <c r="F722" s="147">
        <f>41092999+7064087</f>
        <v>48157086</v>
      </c>
      <c r="G722" s="147">
        <f t="shared" ref="G722:Z722" si="334">IF(VLOOKUP($E722,$D$6:$AN$1131,3,)=0,0,(VLOOKUP($E722,$D$6:$AN$1131,G$2,)/VLOOKUP($E722,$D$6:$AN$1131,3,))*$F722)</f>
        <v>2454365.8478702004</v>
      </c>
      <c r="H722" s="147">
        <f t="shared" si="334"/>
        <v>12349410.109264264</v>
      </c>
      <c r="I722" s="147">
        <f t="shared" si="334"/>
        <v>0</v>
      </c>
      <c r="J722" s="147">
        <f t="shared" si="334"/>
        <v>735616.09768018348</v>
      </c>
      <c r="K722" s="147">
        <f t="shared" si="334"/>
        <v>14648899.114665983</v>
      </c>
      <c r="L722" s="147">
        <f t="shared" si="334"/>
        <v>0</v>
      </c>
      <c r="M722" s="147">
        <f t="shared" si="334"/>
        <v>0</v>
      </c>
      <c r="N722" s="147">
        <f t="shared" si="334"/>
        <v>4262624.3464543009</v>
      </c>
      <c r="O722" s="147">
        <f t="shared" si="334"/>
        <v>10678692.024761964</v>
      </c>
      <c r="P722" s="147">
        <f t="shared" si="334"/>
        <v>1203148.0501365161</v>
      </c>
      <c r="Q722" s="147">
        <f t="shared" si="334"/>
        <v>-75916.86856010824</v>
      </c>
      <c r="R722" s="147">
        <f t="shared" si="334"/>
        <v>8612.647665870245</v>
      </c>
      <c r="S722" s="147">
        <f t="shared" si="334"/>
        <v>1856801.0492854789</v>
      </c>
      <c r="T722" s="147">
        <f t="shared" si="334"/>
        <v>14740.189371502422</v>
      </c>
      <c r="U722" s="147">
        <f t="shared" si="334"/>
        <v>20093.391403856331</v>
      </c>
      <c r="V722" s="147">
        <f t="shared" si="334"/>
        <v>0</v>
      </c>
      <c r="W722" s="147">
        <f t="shared" si="334"/>
        <v>0</v>
      </c>
      <c r="X722" s="147">
        <f t="shared" si="334"/>
        <v>0</v>
      </c>
      <c r="Y722" s="147">
        <f t="shared" si="334"/>
        <v>0</v>
      </c>
      <c r="Z722" s="147">
        <f t="shared" si="334"/>
        <v>0</v>
      </c>
      <c r="AA722" s="147">
        <f>SUM(G722:Z722)</f>
        <v>48157086.000000007</v>
      </c>
      <c r="AB722" s="148" t="str">
        <f t="shared" si="323"/>
        <v>ok</v>
      </c>
    </row>
    <row r="723" spans="1:28" s="60" customFormat="1">
      <c r="A723" s="68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93"/>
    </row>
    <row r="724" spans="1:28" s="70" customFormat="1">
      <c r="A724" s="286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4"/>
    </row>
    <row r="725" spans="1:28" s="60" customFormat="1">
      <c r="A725" s="68"/>
      <c r="AA725" s="80"/>
      <c r="AB725" s="93"/>
    </row>
    <row r="726" spans="1:28" s="60" customFormat="1">
      <c r="A726" s="60" t="s">
        <v>1119</v>
      </c>
      <c r="D726" s="60" t="s">
        <v>1080</v>
      </c>
      <c r="F726" s="80">
        <f>SUM(F713:F722)</f>
        <v>904148189.24269807</v>
      </c>
      <c r="G726" s="80">
        <f t="shared" ref="G726:U726" si="335">SUM(G713:G722)</f>
        <v>372721995.42893672</v>
      </c>
      <c r="H726" s="80">
        <f t="shared" si="335"/>
        <v>119725786.46773888</v>
      </c>
      <c r="I726" s="80">
        <f t="shared" si="335"/>
        <v>0</v>
      </c>
      <c r="J726" s="80">
        <f t="shared" si="335"/>
        <v>10733031.328126846</v>
      </c>
      <c r="K726" s="80">
        <f t="shared" si="335"/>
        <v>134301383.34892192</v>
      </c>
      <c r="L726" s="80">
        <f t="shared" si="335"/>
        <v>0</v>
      </c>
      <c r="M726" s="80">
        <f t="shared" si="335"/>
        <v>0</v>
      </c>
      <c r="N726" s="80">
        <f t="shared" si="335"/>
        <v>113220697.46382819</v>
      </c>
      <c r="O726" s="80">
        <f t="shared" si="335"/>
        <v>64331240.389036208</v>
      </c>
      <c r="P726" s="80">
        <f t="shared" si="335"/>
        <v>64162435.572467119</v>
      </c>
      <c r="Q726" s="80">
        <f t="shared" si="335"/>
        <v>6505771.9677781062</v>
      </c>
      <c r="R726" s="80">
        <f t="shared" si="335"/>
        <v>3343411.1257372517</v>
      </c>
      <c r="S726" s="80">
        <f t="shared" si="335"/>
        <v>14656231.903749093</v>
      </c>
      <c r="T726" s="80">
        <f t="shared" si="335"/>
        <v>199175.56339998255</v>
      </c>
      <c r="U726" s="80">
        <f t="shared" si="335"/>
        <v>247028.68297776376</v>
      </c>
      <c r="V726" s="80">
        <f>SUM(V713:V725)</f>
        <v>0</v>
      </c>
      <c r="W726" s="80">
        <f>SUM(W713:W725)</f>
        <v>0</v>
      </c>
      <c r="X726" s="80">
        <f>SUM(X713:X725)</f>
        <v>0</v>
      </c>
      <c r="Y726" s="80">
        <f>SUM(Y713:Y725)</f>
        <v>0</v>
      </c>
      <c r="Z726" s="80">
        <f>SUM(Z713:Z725)</f>
        <v>0</v>
      </c>
      <c r="AA726" s="80">
        <f>SUM(G726:Z726)</f>
        <v>904148189.24269819</v>
      </c>
      <c r="AB726" s="93" t="str">
        <f>IF(ABS(F726-AA726)&lt;0.01,"ok","err")</f>
        <v>ok</v>
      </c>
    </row>
    <row r="727" spans="1:28" s="60" customFormat="1">
      <c r="A727" s="68"/>
    </row>
    <row r="728" spans="1:28" s="60" customFormat="1">
      <c r="A728" s="60" t="s">
        <v>704</v>
      </c>
      <c r="D728" s="60" t="s">
        <v>1068</v>
      </c>
      <c r="F728" s="80">
        <f t="shared" ref="F728:Z728" si="336">F710-F726</f>
        <v>121476722.75730181</v>
      </c>
      <c r="G728" s="80">
        <f t="shared" si="336"/>
        <v>33266998.733446062</v>
      </c>
      <c r="H728" s="80">
        <f t="shared" si="336"/>
        <v>23097772.718802378</v>
      </c>
      <c r="I728" s="80">
        <f t="shared" si="336"/>
        <v>0</v>
      </c>
      <c r="J728" s="80">
        <f t="shared" si="336"/>
        <v>1489591.312809201</v>
      </c>
      <c r="K728" s="80">
        <f t="shared" si="336"/>
        <v>25564498.194327235</v>
      </c>
      <c r="L728" s="80">
        <f t="shared" si="336"/>
        <v>0</v>
      </c>
      <c r="M728" s="80">
        <f t="shared" si="336"/>
        <v>0</v>
      </c>
      <c r="N728" s="80">
        <f t="shared" si="336"/>
        <v>11500998.571450785</v>
      </c>
      <c r="O728" s="80">
        <f t="shared" si="336"/>
        <v>16885606.890094846</v>
      </c>
      <c r="P728" s="80">
        <f t="shared" si="336"/>
        <v>4745868.8980772495</v>
      </c>
      <c r="Q728" s="80">
        <f t="shared" si="336"/>
        <v>299825.95173381455</v>
      </c>
      <c r="R728" s="80">
        <f t="shared" si="336"/>
        <v>192980.94194444548</v>
      </c>
      <c r="S728" s="80">
        <f t="shared" si="336"/>
        <v>4369647.2105318867</v>
      </c>
      <c r="T728" s="80">
        <f t="shared" si="336"/>
        <v>25975.861427338765</v>
      </c>
      <c r="U728" s="80">
        <f t="shared" si="336"/>
        <v>36957.472656621481</v>
      </c>
      <c r="V728" s="80">
        <f t="shared" si="336"/>
        <v>0</v>
      </c>
      <c r="W728" s="80">
        <f t="shared" si="336"/>
        <v>0</v>
      </c>
      <c r="X728" s="80">
        <f t="shared" si="336"/>
        <v>0</v>
      </c>
      <c r="Y728" s="80">
        <f t="shared" si="336"/>
        <v>0</v>
      </c>
      <c r="Z728" s="80">
        <f t="shared" si="336"/>
        <v>0</v>
      </c>
      <c r="AA728" s="80">
        <f>SUM(G728:Z728)</f>
        <v>121476722.75730187</v>
      </c>
      <c r="AB728" s="93" t="str">
        <f>IF(ABS(F728-AA728)&lt;0.01,"ok","err")</f>
        <v>ok</v>
      </c>
    </row>
    <row r="729" spans="1:28" s="60" customFormat="1"/>
    <row r="730" spans="1:28" s="60" customFormat="1">
      <c r="A730" s="60" t="s">
        <v>1102</v>
      </c>
      <c r="F730" s="80">
        <f t="shared" ref="F730:Z730" si="337">F176</f>
        <v>2380933927.241509</v>
      </c>
      <c r="G730" s="80">
        <f t="shared" si="337"/>
        <v>1151746077.2153518</v>
      </c>
      <c r="H730" s="80">
        <f t="shared" si="337"/>
        <v>302071164.72748941</v>
      </c>
      <c r="I730" s="80">
        <f t="shared" si="337"/>
        <v>0</v>
      </c>
      <c r="J730" s="80">
        <f t="shared" si="337"/>
        <v>22598765.024464671</v>
      </c>
      <c r="K730" s="80">
        <f t="shared" si="337"/>
        <v>290318355.05589318</v>
      </c>
      <c r="L730" s="80">
        <f t="shared" si="337"/>
        <v>0</v>
      </c>
      <c r="M730" s="80">
        <f t="shared" si="337"/>
        <v>0</v>
      </c>
      <c r="N730" s="80">
        <f t="shared" si="337"/>
        <v>242194583.63978818</v>
      </c>
      <c r="O730" s="80">
        <f t="shared" si="337"/>
        <v>143524479.34195939</v>
      </c>
      <c r="P730" s="80">
        <f t="shared" si="337"/>
        <v>127237257.44781397</v>
      </c>
      <c r="Q730" s="80">
        <f t="shared" si="337"/>
        <v>15203335.994018935</v>
      </c>
      <c r="R730" s="80">
        <f t="shared" si="337"/>
        <v>7082689.0574253704</v>
      </c>
      <c r="S730" s="80">
        <f t="shared" si="337"/>
        <v>78174244.52773416</v>
      </c>
      <c r="T730" s="80">
        <f t="shared" si="337"/>
        <v>308732.70736411982</v>
      </c>
      <c r="U730" s="80">
        <f t="shared" si="337"/>
        <v>474242.50220579916</v>
      </c>
      <c r="V730" s="80">
        <f t="shared" si="337"/>
        <v>0</v>
      </c>
      <c r="W730" s="80">
        <f t="shared" si="337"/>
        <v>0</v>
      </c>
      <c r="X730" s="80">
        <f t="shared" si="337"/>
        <v>0</v>
      </c>
      <c r="Y730" s="80">
        <f t="shared" si="337"/>
        <v>0</v>
      </c>
      <c r="Z730" s="80">
        <f t="shared" si="337"/>
        <v>0</v>
      </c>
      <c r="AA730" s="80">
        <f>SUM(G730:Z730)</f>
        <v>2380933927.2415094</v>
      </c>
      <c r="AB730" s="93" t="str">
        <f>IF(ABS(F730-AA730)&lt;0.01,"ok","err")</f>
        <v>ok</v>
      </c>
    </row>
    <row r="731" spans="1:28" s="60" customFormat="1"/>
    <row r="732" spans="1:28" s="65" customFormat="1" ht="15">
      <c r="A732" s="139"/>
      <c r="B732" s="139"/>
      <c r="C732" s="139"/>
      <c r="D732" s="139"/>
      <c r="E732" s="139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  <c r="AA732" s="143"/>
      <c r="AB732" s="144"/>
    </row>
    <row r="733" spans="1:28" s="60" customFormat="1">
      <c r="A733" s="70"/>
      <c r="B733" s="70"/>
      <c r="C733" s="70"/>
      <c r="D733" s="70"/>
      <c r="E733" s="70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70"/>
      <c r="W733" s="70"/>
      <c r="X733" s="70"/>
      <c r="Y733" s="70"/>
      <c r="Z733" s="70"/>
      <c r="AA733" s="70"/>
      <c r="AB733" s="70"/>
    </row>
    <row r="734" spans="1:28" s="60" customFormat="1">
      <c r="A734" s="70"/>
      <c r="B734" s="70"/>
      <c r="C734" s="70"/>
      <c r="D734" s="70"/>
      <c r="E734" s="70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70"/>
    </row>
    <row r="735" spans="1:28" s="60" customFormat="1"/>
    <row r="736" spans="1:28" s="60" customFormat="1"/>
    <row r="737" spans="1:28" s="60" customFormat="1" ht="15">
      <c r="A737" s="65" t="s">
        <v>840</v>
      </c>
    </row>
    <row r="738" spans="1:28" s="60" customFormat="1"/>
    <row r="739" spans="1:28" s="60" customFormat="1">
      <c r="A739" s="60" t="s">
        <v>837</v>
      </c>
      <c r="F739" s="80">
        <f t="shared" ref="F739:Z739" si="338">F710</f>
        <v>1025624911.9999999</v>
      </c>
      <c r="G739" s="80">
        <f t="shared" si="338"/>
        <v>405988994.16238278</v>
      </c>
      <c r="H739" s="80">
        <f t="shared" si="338"/>
        <v>142823559.18654126</v>
      </c>
      <c r="I739" s="80">
        <f t="shared" si="338"/>
        <v>0</v>
      </c>
      <c r="J739" s="80">
        <f t="shared" si="338"/>
        <v>12222622.640936047</v>
      </c>
      <c r="K739" s="80">
        <f t="shared" si="338"/>
        <v>159865881.54324916</v>
      </c>
      <c r="L739" s="80">
        <f t="shared" si="338"/>
        <v>0</v>
      </c>
      <c r="M739" s="80">
        <f t="shared" si="338"/>
        <v>0</v>
      </c>
      <c r="N739" s="80">
        <f t="shared" si="338"/>
        <v>124721696.03527898</v>
      </c>
      <c r="O739" s="80">
        <f t="shared" si="338"/>
        <v>81216847.279131055</v>
      </c>
      <c r="P739" s="80">
        <f t="shared" si="338"/>
        <v>68908304.470544368</v>
      </c>
      <c r="Q739" s="80">
        <f t="shared" si="338"/>
        <v>6805597.9195119208</v>
      </c>
      <c r="R739" s="80">
        <f t="shared" si="338"/>
        <v>3536392.0676816972</v>
      </c>
      <c r="S739" s="80">
        <f t="shared" si="338"/>
        <v>19025879.11428098</v>
      </c>
      <c r="T739" s="80">
        <f t="shared" si="338"/>
        <v>225151.42482732132</v>
      </c>
      <c r="U739" s="80">
        <f t="shared" si="338"/>
        <v>283986.15563438524</v>
      </c>
      <c r="V739" s="80">
        <f t="shared" si="338"/>
        <v>0</v>
      </c>
      <c r="W739" s="80">
        <f t="shared" si="338"/>
        <v>0</v>
      </c>
      <c r="X739" s="80">
        <f t="shared" si="338"/>
        <v>0</v>
      </c>
      <c r="Y739" s="80">
        <f t="shared" si="338"/>
        <v>0</v>
      </c>
      <c r="Z739" s="80">
        <f t="shared" si="338"/>
        <v>0</v>
      </c>
      <c r="AA739" s="80">
        <f>SUM(G739:Z739)</f>
        <v>1025624911.9999999</v>
      </c>
      <c r="AB739" s="93" t="str">
        <f>IF(ABS(F739-AA739)&lt;0.01,"ok","err")</f>
        <v>ok</v>
      </c>
    </row>
    <row r="740" spans="1:28" s="60" customFormat="1"/>
    <row r="741" spans="1:28" s="60" customFormat="1">
      <c r="A741" s="60" t="s">
        <v>1116</v>
      </c>
      <c r="F741" s="80">
        <f t="shared" ref="F741:U741" si="339">F713+F714+F715+F716+F719+F720+F721+F723+F724+F718+F717</f>
        <v>855991103.24269807</v>
      </c>
      <c r="G741" s="80">
        <f t="shared" si="339"/>
        <v>370267629.58106655</v>
      </c>
      <c r="H741" s="80">
        <f t="shared" si="339"/>
        <v>107376376.35847461</v>
      </c>
      <c r="I741" s="80">
        <f t="shared" si="339"/>
        <v>0</v>
      </c>
      <c r="J741" s="80">
        <f t="shared" si="339"/>
        <v>9997415.2304466628</v>
      </c>
      <c r="K741" s="80">
        <f t="shared" si="339"/>
        <v>119652484.23425595</v>
      </c>
      <c r="L741" s="80">
        <f t="shared" si="339"/>
        <v>0</v>
      </c>
      <c r="M741" s="80">
        <f t="shared" si="339"/>
        <v>0</v>
      </c>
      <c r="N741" s="80">
        <f t="shared" si="339"/>
        <v>108958073.11737388</v>
      </c>
      <c r="O741" s="80">
        <f t="shared" si="339"/>
        <v>53652548.364274248</v>
      </c>
      <c r="P741" s="80">
        <f t="shared" si="339"/>
        <v>62959287.522330604</v>
      </c>
      <c r="Q741" s="80">
        <f t="shared" si="339"/>
        <v>6581688.8363382146</v>
      </c>
      <c r="R741" s="80">
        <f t="shared" si="339"/>
        <v>3334798.4780713813</v>
      </c>
      <c r="S741" s="80">
        <f t="shared" si="339"/>
        <v>12799430.854463615</v>
      </c>
      <c r="T741" s="80">
        <f t="shared" si="339"/>
        <v>184435.37402848012</v>
      </c>
      <c r="U741" s="80">
        <f t="shared" si="339"/>
        <v>226935.29157390742</v>
      </c>
      <c r="V741" s="80">
        <f>V713+V714+V716+V719+V720+V721+V723+V724+V718+V717</f>
        <v>0</v>
      </c>
      <c r="W741" s="80">
        <f>W713+W714+W716+W719+W720+W721+W723+W724+W718+W717</f>
        <v>0</v>
      </c>
      <c r="X741" s="80">
        <f>X713+X714+X716+X719+X720+X721+X723+X724+X718+X717</f>
        <v>0</v>
      </c>
      <c r="Y741" s="80">
        <f>Y713+Y714+Y716+Y719+Y720+Y721+Y723+Y724+Y718+Y717</f>
        <v>0</v>
      </c>
      <c r="Z741" s="80">
        <f>Z713+Z714+Z716+Z719+Z720+Z721+Z723+Z724+Z718+Z717</f>
        <v>0</v>
      </c>
      <c r="AA741" s="80">
        <f>SUM(G741:Z741)</f>
        <v>855991103.24269795</v>
      </c>
      <c r="AB741" s="93" t="str">
        <f>IF(ABS(F741-AA741)&lt;0.01,"ok","err")</f>
        <v>ok</v>
      </c>
    </row>
    <row r="742" spans="1:28" s="60" customFormat="1"/>
    <row r="743" spans="1:28" s="60" customFormat="1">
      <c r="A743" s="60" t="s">
        <v>838</v>
      </c>
      <c r="D743" s="60" t="s">
        <v>843</v>
      </c>
      <c r="F743" s="136">
        <f t="shared" ref="F743:Z743" si="340">F691</f>
        <v>62185554.183806494</v>
      </c>
      <c r="G743" s="136">
        <f t="shared" si="340"/>
        <v>30245175.128357016</v>
      </c>
      <c r="H743" s="136">
        <f t="shared" si="340"/>
        <v>7893136.8616490923</v>
      </c>
      <c r="I743" s="136">
        <f t="shared" si="340"/>
        <v>0</v>
      </c>
      <c r="J743" s="136">
        <f t="shared" si="340"/>
        <v>583898.26375443523</v>
      </c>
      <c r="K743" s="136">
        <f t="shared" si="340"/>
        <v>7528723.6289021643</v>
      </c>
      <c r="L743" s="136">
        <f t="shared" si="340"/>
        <v>0</v>
      </c>
      <c r="M743" s="136">
        <f t="shared" si="340"/>
        <v>0</v>
      </c>
      <c r="N743" s="136">
        <f t="shared" si="340"/>
        <v>6252840.9339411771</v>
      </c>
      <c r="O743" s="136">
        <f t="shared" si="340"/>
        <v>3737964.8383186734</v>
      </c>
      <c r="P743" s="136">
        <f t="shared" si="340"/>
        <v>3264548.9141497239</v>
      </c>
      <c r="Q743" s="136">
        <f t="shared" si="340"/>
        <v>393295.0592991946</v>
      </c>
      <c r="R743" s="136">
        <f t="shared" si="340"/>
        <v>182377.02075575007</v>
      </c>
      <c r="S743" s="136">
        <f t="shared" si="340"/>
        <v>2083547.4240824259</v>
      </c>
      <c r="T743" s="136">
        <f t="shared" si="340"/>
        <v>7827.6899862554428</v>
      </c>
      <c r="U743" s="136">
        <f t="shared" si="340"/>
        <v>12218.420610588899</v>
      </c>
      <c r="V743" s="136">
        <f t="shared" si="340"/>
        <v>0</v>
      </c>
      <c r="W743" s="136">
        <f t="shared" si="340"/>
        <v>0</v>
      </c>
      <c r="X743" s="136">
        <f t="shared" si="340"/>
        <v>0</v>
      </c>
      <c r="Y743" s="136">
        <f t="shared" si="340"/>
        <v>0</v>
      </c>
      <c r="Z743" s="136">
        <f t="shared" si="340"/>
        <v>0</v>
      </c>
      <c r="AA743" s="136">
        <f>SUM(G743:Z743)</f>
        <v>62185554.183806509</v>
      </c>
      <c r="AB743" s="93" t="str">
        <f>IF(ABS(F743-AA743)&lt;0.01,"ok","err")</f>
        <v>ok</v>
      </c>
    </row>
    <row r="744" spans="1:28" s="60" customFormat="1"/>
    <row r="745" spans="1:28" s="60" customFormat="1">
      <c r="A745" s="60" t="s">
        <v>836</v>
      </c>
      <c r="D745" s="60" t="s">
        <v>839</v>
      </c>
      <c r="F745" s="80">
        <f>F739-F741-F743</f>
        <v>107448254.57349531</v>
      </c>
      <c r="G745" s="80">
        <f t="shared" ref="G745:Z745" si="341">G739-G741-G743</f>
        <v>5476189.4529592171</v>
      </c>
      <c r="H745" s="80">
        <f t="shared" si="341"/>
        <v>27554045.966417555</v>
      </c>
      <c r="I745" s="80">
        <f t="shared" si="341"/>
        <v>0</v>
      </c>
      <c r="J745" s="80">
        <f t="shared" si="341"/>
        <v>1641309.1467349487</v>
      </c>
      <c r="K745" s="80">
        <f t="shared" si="341"/>
        <v>32684673.680091042</v>
      </c>
      <c r="L745" s="80">
        <f t="shared" si="341"/>
        <v>0</v>
      </c>
      <c r="M745" s="80">
        <f t="shared" si="341"/>
        <v>0</v>
      </c>
      <c r="N745" s="80">
        <f t="shared" si="341"/>
        <v>9510781.9839639142</v>
      </c>
      <c r="O745" s="80">
        <f>O739-O741-O743</f>
        <v>23826334.076538134</v>
      </c>
      <c r="P745" s="80">
        <f t="shared" si="341"/>
        <v>2684468.0340640396</v>
      </c>
      <c r="Q745" s="80">
        <f t="shared" si="341"/>
        <v>-169385.97612548841</v>
      </c>
      <c r="R745" s="80">
        <f t="shared" si="341"/>
        <v>19216.56885456579</v>
      </c>
      <c r="S745" s="80">
        <f t="shared" si="341"/>
        <v>4142900.8357349397</v>
      </c>
      <c r="T745" s="80">
        <f t="shared" si="341"/>
        <v>32888.360812585757</v>
      </c>
      <c r="U745" s="80">
        <f t="shared" si="341"/>
        <v>44832.443449888917</v>
      </c>
      <c r="V745" s="80">
        <f t="shared" si="341"/>
        <v>0</v>
      </c>
      <c r="W745" s="80">
        <f t="shared" si="341"/>
        <v>0</v>
      </c>
      <c r="X745" s="80">
        <f t="shared" si="341"/>
        <v>0</v>
      </c>
      <c r="Y745" s="80">
        <f t="shared" si="341"/>
        <v>0</v>
      </c>
      <c r="Z745" s="80">
        <f t="shared" si="341"/>
        <v>0</v>
      </c>
      <c r="AA745" s="80">
        <f>SUM(G745:Z745)</f>
        <v>107448254.57349533</v>
      </c>
      <c r="AB745" s="93" t="str">
        <f>IF(ABS(F745-AA745)&lt;0.01,"ok","err")</f>
        <v>ok</v>
      </c>
    </row>
    <row r="746" spans="1:28" s="60" customFormat="1"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93"/>
    </row>
    <row r="747" spans="1:28" s="60" customFormat="1"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93"/>
    </row>
    <row r="748" spans="1:28" s="60" customFormat="1"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93"/>
    </row>
    <row r="749" spans="1:28" s="60" customFormat="1"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93"/>
    </row>
    <row r="750" spans="1:28" s="60" customFormat="1"/>
    <row r="753" spans="1:28" ht="15">
      <c r="A753" s="65" t="s">
        <v>208</v>
      </c>
    </row>
    <row r="754" spans="1:28">
      <c r="F754" s="80"/>
    </row>
    <row r="755" spans="1:28" ht="15">
      <c r="A755" s="65" t="s">
        <v>1112</v>
      </c>
    </row>
    <row r="756" spans="1:28" s="60" customFormat="1"/>
    <row r="757" spans="1:28" s="60" customFormat="1">
      <c r="A757" s="60" t="s">
        <v>134</v>
      </c>
      <c r="F757" s="80">
        <f t="shared" ref="F757:Z757" si="342">F710</f>
        <v>1025624911.9999999</v>
      </c>
      <c r="G757" s="80">
        <f t="shared" si="342"/>
        <v>405988994.16238278</v>
      </c>
      <c r="H757" s="80">
        <f t="shared" si="342"/>
        <v>142823559.18654126</v>
      </c>
      <c r="I757" s="80">
        <f t="shared" si="342"/>
        <v>0</v>
      </c>
      <c r="J757" s="80">
        <f t="shared" si="342"/>
        <v>12222622.640936047</v>
      </c>
      <c r="K757" s="80">
        <f t="shared" si="342"/>
        <v>159865881.54324916</v>
      </c>
      <c r="L757" s="80">
        <f t="shared" si="342"/>
        <v>0</v>
      </c>
      <c r="M757" s="80">
        <f t="shared" si="342"/>
        <v>0</v>
      </c>
      <c r="N757" s="80">
        <f t="shared" si="342"/>
        <v>124721696.03527898</v>
      </c>
      <c r="O757" s="80">
        <f t="shared" si="342"/>
        <v>81216847.279131055</v>
      </c>
      <c r="P757" s="80">
        <f t="shared" si="342"/>
        <v>68908304.470544368</v>
      </c>
      <c r="Q757" s="80">
        <f t="shared" si="342"/>
        <v>6805597.9195119208</v>
      </c>
      <c r="R757" s="80">
        <f t="shared" si="342"/>
        <v>3536392.0676816972</v>
      </c>
      <c r="S757" s="80">
        <f t="shared" si="342"/>
        <v>19025879.11428098</v>
      </c>
      <c r="T757" s="80">
        <f t="shared" si="342"/>
        <v>225151.42482732132</v>
      </c>
      <c r="U757" s="80">
        <f t="shared" si="342"/>
        <v>283986.15563438524</v>
      </c>
      <c r="V757" s="80">
        <f t="shared" si="342"/>
        <v>0</v>
      </c>
      <c r="W757" s="80">
        <f t="shared" si="342"/>
        <v>0</v>
      </c>
      <c r="X757" s="80">
        <f t="shared" si="342"/>
        <v>0</v>
      </c>
      <c r="Y757" s="80">
        <f t="shared" si="342"/>
        <v>0</v>
      </c>
      <c r="Z757" s="80">
        <f t="shared" si="342"/>
        <v>0</v>
      </c>
      <c r="AA757" s="80">
        <f>SUM(G757:Z757)</f>
        <v>1025624911.9999999</v>
      </c>
      <c r="AB757" s="93" t="str">
        <f>IF(ABS(F757-AA757)&lt;0.01,"ok","err")</f>
        <v>ok</v>
      </c>
    </row>
    <row r="758" spans="1:28" s="60" customFormat="1"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93"/>
    </row>
    <row r="759" spans="1:28" s="60" customFormat="1">
      <c r="A759" s="60" t="s">
        <v>135</v>
      </c>
      <c r="F759" s="80"/>
      <c r="G759" s="80"/>
      <c r="H759" s="80"/>
      <c r="I759" s="80"/>
      <c r="J759" s="80"/>
      <c r="K759" s="80"/>
      <c r="L759" s="80"/>
      <c r="M759" s="80"/>
      <c r="N759" s="80"/>
      <c r="O759" s="216"/>
      <c r="P759" s="216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93"/>
    </row>
    <row r="760" spans="1:28" s="60" customFormat="1" ht="14.25" hidden="1" customHeight="1">
      <c r="B760" s="60" t="s">
        <v>1260</v>
      </c>
      <c r="E760" s="60" t="s">
        <v>130</v>
      </c>
      <c r="F760" s="76"/>
      <c r="G760" s="76">
        <f t="shared" ref="G760:P767" si="343">IF(VLOOKUP($E760,$D$6:$AN$1131,3,)=0,0,(VLOOKUP($E760,$D$6:$AN$1131,G$2,)/VLOOKUP($E760,$D$6:$AN$1131,3,))*$F760)</f>
        <v>0</v>
      </c>
      <c r="H760" s="76">
        <f t="shared" si="343"/>
        <v>0</v>
      </c>
      <c r="I760" s="76">
        <f t="shared" si="343"/>
        <v>0</v>
      </c>
      <c r="J760" s="76">
        <f t="shared" si="343"/>
        <v>0</v>
      </c>
      <c r="K760" s="76">
        <f t="shared" si="343"/>
        <v>0</v>
      </c>
      <c r="L760" s="76">
        <f t="shared" si="343"/>
        <v>0</v>
      </c>
      <c r="M760" s="76">
        <f t="shared" si="343"/>
        <v>0</v>
      </c>
      <c r="N760" s="76">
        <f t="shared" si="343"/>
        <v>0</v>
      </c>
      <c r="O760" s="76">
        <f t="shared" si="343"/>
        <v>0</v>
      </c>
      <c r="P760" s="76">
        <f t="shared" si="343"/>
        <v>0</v>
      </c>
      <c r="Q760" s="76">
        <f t="shared" ref="Q760:Z767" si="344">IF(VLOOKUP($E760,$D$6:$AN$1131,3,)=0,0,(VLOOKUP($E760,$D$6:$AN$1131,Q$2,)/VLOOKUP($E760,$D$6:$AN$1131,3,))*$F760)</f>
        <v>0</v>
      </c>
      <c r="R760" s="76">
        <f t="shared" si="344"/>
        <v>0</v>
      </c>
      <c r="S760" s="76">
        <f t="shared" si="344"/>
        <v>0</v>
      </c>
      <c r="T760" s="76">
        <f t="shared" si="344"/>
        <v>0</v>
      </c>
      <c r="U760" s="76">
        <f t="shared" si="344"/>
        <v>0</v>
      </c>
      <c r="V760" s="76">
        <f t="shared" si="344"/>
        <v>0</v>
      </c>
      <c r="W760" s="76">
        <f t="shared" si="344"/>
        <v>0</v>
      </c>
      <c r="X760" s="76">
        <f t="shared" si="344"/>
        <v>0</v>
      </c>
      <c r="Y760" s="76">
        <f t="shared" si="344"/>
        <v>0</v>
      </c>
      <c r="Z760" s="76">
        <f t="shared" si="344"/>
        <v>0</v>
      </c>
      <c r="AA760" s="80">
        <f t="shared" ref="AA760:AA768" si="345">SUM(G760:Z760)</f>
        <v>0</v>
      </c>
      <c r="AB760" s="93" t="str">
        <f t="shared" ref="AB760:AB768" si="346">IF(ABS(F760-AA760)&lt;0.01,"ok","err")</f>
        <v>ok</v>
      </c>
    </row>
    <row r="761" spans="1:28" s="60" customFormat="1" ht="14.25" hidden="1" customHeight="1">
      <c r="B761" s="60" t="s">
        <v>1303</v>
      </c>
      <c r="E761" s="60" t="s">
        <v>130</v>
      </c>
      <c r="F761" s="79"/>
      <c r="G761" s="79">
        <f t="shared" si="343"/>
        <v>0</v>
      </c>
      <c r="H761" s="79">
        <f t="shared" si="343"/>
        <v>0</v>
      </c>
      <c r="I761" s="79">
        <f t="shared" si="343"/>
        <v>0</v>
      </c>
      <c r="J761" s="79">
        <f t="shared" si="343"/>
        <v>0</v>
      </c>
      <c r="K761" s="79">
        <f t="shared" si="343"/>
        <v>0</v>
      </c>
      <c r="L761" s="79">
        <f t="shared" si="343"/>
        <v>0</v>
      </c>
      <c r="M761" s="79">
        <f t="shared" si="343"/>
        <v>0</v>
      </c>
      <c r="N761" s="79">
        <f t="shared" si="343"/>
        <v>0</v>
      </c>
      <c r="O761" s="79">
        <f t="shared" si="343"/>
        <v>0</v>
      </c>
      <c r="P761" s="79">
        <f t="shared" si="343"/>
        <v>0</v>
      </c>
      <c r="Q761" s="79">
        <f t="shared" si="344"/>
        <v>0</v>
      </c>
      <c r="R761" s="79">
        <f t="shared" si="344"/>
        <v>0</v>
      </c>
      <c r="S761" s="79">
        <f t="shared" si="344"/>
        <v>0</v>
      </c>
      <c r="T761" s="79">
        <f t="shared" si="344"/>
        <v>0</v>
      </c>
      <c r="U761" s="79">
        <f t="shared" si="344"/>
        <v>0</v>
      </c>
      <c r="V761" s="79">
        <f t="shared" si="344"/>
        <v>0</v>
      </c>
      <c r="W761" s="79">
        <f t="shared" si="344"/>
        <v>0</v>
      </c>
      <c r="X761" s="79">
        <f t="shared" si="344"/>
        <v>0</v>
      </c>
      <c r="Y761" s="79">
        <f t="shared" si="344"/>
        <v>0</v>
      </c>
      <c r="Z761" s="79">
        <f t="shared" si="344"/>
        <v>0</v>
      </c>
      <c r="AA761" s="79">
        <f>SUM(G761:Z761)</f>
        <v>0</v>
      </c>
      <c r="AB761" s="93" t="str">
        <f t="shared" si="346"/>
        <v>ok</v>
      </c>
    </row>
    <row r="762" spans="1:28" s="60" customFormat="1" ht="14.25" hidden="1" customHeight="1">
      <c r="B762" s="60" t="s">
        <v>687</v>
      </c>
      <c r="E762" s="60" t="s">
        <v>930</v>
      </c>
      <c r="F762" s="79"/>
      <c r="G762" s="79">
        <f t="shared" si="343"/>
        <v>0</v>
      </c>
      <c r="H762" s="79">
        <f t="shared" si="343"/>
        <v>0</v>
      </c>
      <c r="I762" s="79">
        <f t="shared" si="343"/>
        <v>0</v>
      </c>
      <c r="J762" s="79">
        <f t="shared" si="343"/>
        <v>0</v>
      </c>
      <c r="K762" s="79">
        <f t="shared" si="343"/>
        <v>0</v>
      </c>
      <c r="L762" s="79">
        <f t="shared" si="343"/>
        <v>0</v>
      </c>
      <c r="M762" s="79">
        <f t="shared" si="343"/>
        <v>0</v>
      </c>
      <c r="N762" s="79">
        <f t="shared" si="343"/>
        <v>0</v>
      </c>
      <c r="O762" s="79">
        <f t="shared" si="343"/>
        <v>0</v>
      </c>
      <c r="P762" s="79">
        <f t="shared" si="343"/>
        <v>0</v>
      </c>
      <c r="Q762" s="79">
        <f t="shared" si="344"/>
        <v>0</v>
      </c>
      <c r="R762" s="79">
        <f t="shared" si="344"/>
        <v>0</v>
      </c>
      <c r="S762" s="79">
        <f t="shared" si="344"/>
        <v>0</v>
      </c>
      <c r="T762" s="79">
        <f t="shared" si="344"/>
        <v>0</v>
      </c>
      <c r="U762" s="79">
        <f t="shared" si="344"/>
        <v>0</v>
      </c>
      <c r="V762" s="79">
        <f t="shared" si="344"/>
        <v>0</v>
      </c>
      <c r="W762" s="79">
        <f t="shared" si="344"/>
        <v>0</v>
      </c>
      <c r="X762" s="79">
        <f t="shared" si="344"/>
        <v>0</v>
      </c>
      <c r="Y762" s="79">
        <f t="shared" si="344"/>
        <v>0</v>
      </c>
      <c r="Z762" s="79">
        <f t="shared" si="344"/>
        <v>0</v>
      </c>
      <c r="AA762" s="79">
        <f t="shared" si="345"/>
        <v>0</v>
      </c>
      <c r="AB762" s="93" t="str">
        <f t="shared" si="346"/>
        <v>ok</v>
      </c>
    </row>
    <row r="763" spans="1:28" s="60" customFormat="1" ht="14.25" hidden="1" customHeight="1">
      <c r="B763" s="60" t="s">
        <v>1261</v>
      </c>
      <c r="D763" s="60" t="s">
        <v>875</v>
      </c>
      <c r="E763" s="60" t="s">
        <v>1245</v>
      </c>
      <c r="F763" s="79"/>
      <c r="G763" s="79">
        <f t="shared" si="343"/>
        <v>0</v>
      </c>
      <c r="H763" s="79">
        <f t="shared" si="343"/>
        <v>0</v>
      </c>
      <c r="I763" s="79">
        <f t="shared" si="343"/>
        <v>0</v>
      </c>
      <c r="J763" s="79">
        <f t="shared" si="343"/>
        <v>0</v>
      </c>
      <c r="K763" s="79">
        <f t="shared" si="343"/>
        <v>0</v>
      </c>
      <c r="L763" s="79">
        <f t="shared" si="343"/>
        <v>0</v>
      </c>
      <c r="M763" s="79">
        <f t="shared" si="343"/>
        <v>0</v>
      </c>
      <c r="N763" s="79">
        <f t="shared" si="343"/>
        <v>0</v>
      </c>
      <c r="O763" s="79">
        <f t="shared" si="343"/>
        <v>0</v>
      </c>
      <c r="P763" s="79">
        <f t="shared" si="343"/>
        <v>0</v>
      </c>
      <c r="Q763" s="79">
        <f t="shared" si="344"/>
        <v>0</v>
      </c>
      <c r="R763" s="79">
        <f t="shared" si="344"/>
        <v>0</v>
      </c>
      <c r="S763" s="79">
        <f t="shared" si="344"/>
        <v>0</v>
      </c>
      <c r="T763" s="79">
        <f t="shared" si="344"/>
        <v>0</v>
      </c>
      <c r="U763" s="79">
        <f t="shared" si="344"/>
        <v>0</v>
      </c>
      <c r="V763" s="79">
        <f t="shared" si="344"/>
        <v>0</v>
      </c>
      <c r="W763" s="79">
        <f t="shared" si="344"/>
        <v>0</v>
      </c>
      <c r="X763" s="79">
        <f t="shared" si="344"/>
        <v>0</v>
      </c>
      <c r="Y763" s="79">
        <f t="shared" si="344"/>
        <v>0</v>
      </c>
      <c r="Z763" s="79">
        <f t="shared" si="344"/>
        <v>0</v>
      </c>
      <c r="AA763" s="79">
        <f t="shared" si="345"/>
        <v>0</v>
      </c>
      <c r="AB763" s="93" t="str">
        <f t="shared" si="346"/>
        <v>ok</v>
      </c>
    </row>
    <row r="764" spans="1:28" s="60" customFormat="1" ht="14.25" hidden="1" customHeight="1">
      <c r="B764" s="60" t="s">
        <v>1302</v>
      </c>
      <c r="E764" s="60" t="s">
        <v>1245</v>
      </c>
      <c r="F764" s="79"/>
      <c r="G764" s="79">
        <f t="shared" si="343"/>
        <v>0</v>
      </c>
      <c r="H764" s="79">
        <f t="shared" si="343"/>
        <v>0</v>
      </c>
      <c r="I764" s="79">
        <f t="shared" si="343"/>
        <v>0</v>
      </c>
      <c r="J764" s="79">
        <f t="shared" si="343"/>
        <v>0</v>
      </c>
      <c r="K764" s="79">
        <f t="shared" si="343"/>
        <v>0</v>
      </c>
      <c r="L764" s="79">
        <f t="shared" si="343"/>
        <v>0</v>
      </c>
      <c r="M764" s="79">
        <f t="shared" si="343"/>
        <v>0</v>
      </c>
      <c r="N764" s="79">
        <f t="shared" si="343"/>
        <v>0</v>
      </c>
      <c r="O764" s="79">
        <f t="shared" si="343"/>
        <v>0</v>
      </c>
      <c r="P764" s="79">
        <f t="shared" si="343"/>
        <v>0</v>
      </c>
      <c r="Q764" s="79">
        <f t="shared" si="344"/>
        <v>0</v>
      </c>
      <c r="R764" s="79">
        <f t="shared" si="344"/>
        <v>0</v>
      </c>
      <c r="S764" s="79">
        <f t="shared" si="344"/>
        <v>0</v>
      </c>
      <c r="T764" s="79">
        <f t="shared" si="344"/>
        <v>0</v>
      </c>
      <c r="U764" s="79">
        <f t="shared" si="344"/>
        <v>0</v>
      </c>
      <c r="V764" s="79">
        <f t="shared" si="344"/>
        <v>0</v>
      </c>
      <c r="W764" s="79">
        <f t="shared" si="344"/>
        <v>0</v>
      </c>
      <c r="X764" s="79">
        <f t="shared" si="344"/>
        <v>0</v>
      </c>
      <c r="Y764" s="79">
        <f t="shared" si="344"/>
        <v>0</v>
      </c>
      <c r="Z764" s="79">
        <f t="shared" si="344"/>
        <v>0</v>
      </c>
      <c r="AA764" s="79">
        <f>SUM(G764:Z764)</f>
        <v>0</v>
      </c>
      <c r="AB764" s="93" t="str">
        <f>IF(ABS(F764-AA764)&lt;0.01,"ok","err")</f>
        <v>ok</v>
      </c>
    </row>
    <row r="765" spans="1:28" s="60" customFormat="1" ht="14.25" hidden="1" customHeight="1">
      <c r="B765" s="60" t="s">
        <v>1262</v>
      </c>
      <c r="E765" s="60" t="s">
        <v>693</v>
      </c>
      <c r="F765" s="79">
        <v>0</v>
      </c>
      <c r="G765" s="79">
        <f t="shared" si="343"/>
        <v>0</v>
      </c>
      <c r="H765" s="79">
        <f t="shared" si="343"/>
        <v>0</v>
      </c>
      <c r="I765" s="79">
        <f t="shared" si="343"/>
        <v>0</v>
      </c>
      <c r="J765" s="79">
        <f t="shared" si="343"/>
        <v>0</v>
      </c>
      <c r="K765" s="79">
        <f t="shared" si="343"/>
        <v>0</v>
      </c>
      <c r="L765" s="79">
        <f t="shared" si="343"/>
        <v>0</v>
      </c>
      <c r="M765" s="79">
        <f t="shared" si="343"/>
        <v>0</v>
      </c>
      <c r="N765" s="79">
        <f t="shared" si="343"/>
        <v>0</v>
      </c>
      <c r="O765" s="79">
        <f t="shared" si="343"/>
        <v>0</v>
      </c>
      <c r="P765" s="79">
        <f t="shared" si="343"/>
        <v>0</v>
      </c>
      <c r="Q765" s="79">
        <f t="shared" si="344"/>
        <v>0</v>
      </c>
      <c r="R765" s="79">
        <f t="shared" si="344"/>
        <v>0</v>
      </c>
      <c r="S765" s="79">
        <f t="shared" si="344"/>
        <v>0</v>
      </c>
      <c r="T765" s="79">
        <f t="shared" si="344"/>
        <v>0</v>
      </c>
      <c r="U765" s="79">
        <f t="shared" si="344"/>
        <v>0</v>
      </c>
      <c r="V765" s="79">
        <f t="shared" si="344"/>
        <v>0</v>
      </c>
      <c r="W765" s="79">
        <f t="shared" si="344"/>
        <v>0</v>
      </c>
      <c r="X765" s="79">
        <f t="shared" si="344"/>
        <v>0</v>
      </c>
      <c r="Y765" s="79">
        <f t="shared" si="344"/>
        <v>0</v>
      </c>
      <c r="Z765" s="79">
        <f t="shared" si="344"/>
        <v>0</v>
      </c>
      <c r="AA765" s="79">
        <f t="shared" si="345"/>
        <v>0</v>
      </c>
      <c r="AB765" s="93" t="str">
        <f t="shared" si="346"/>
        <v>ok</v>
      </c>
    </row>
    <row r="766" spans="1:28" s="60" customFormat="1" ht="14.25" hidden="1" customHeight="1">
      <c r="B766" s="60" t="s">
        <v>841</v>
      </c>
      <c r="D766" s="60" t="s">
        <v>876</v>
      </c>
      <c r="E766" s="60" t="s">
        <v>1246</v>
      </c>
      <c r="F766" s="79"/>
      <c r="G766" s="79">
        <f t="shared" si="343"/>
        <v>0</v>
      </c>
      <c r="H766" s="79">
        <f t="shared" si="343"/>
        <v>0</v>
      </c>
      <c r="I766" s="79">
        <f t="shared" si="343"/>
        <v>0</v>
      </c>
      <c r="J766" s="79">
        <f t="shared" si="343"/>
        <v>0</v>
      </c>
      <c r="K766" s="79">
        <f t="shared" si="343"/>
        <v>0</v>
      </c>
      <c r="L766" s="79">
        <f t="shared" si="343"/>
        <v>0</v>
      </c>
      <c r="M766" s="79">
        <f t="shared" si="343"/>
        <v>0</v>
      </c>
      <c r="N766" s="79">
        <f t="shared" si="343"/>
        <v>0</v>
      </c>
      <c r="O766" s="79">
        <f t="shared" si="343"/>
        <v>0</v>
      </c>
      <c r="P766" s="79">
        <f t="shared" si="343"/>
        <v>0</v>
      </c>
      <c r="Q766" s="79">
        <f t="shared" si="344"/>
        <v>0</v>
      </c>
      <c r="R766" s="79">
        <f t="shared" si="344"/>
        <v>0</v>
      </c>
      <c r="S766" s="79">
        <f t="shared" si="344"/>
        <v>0</v>
      </c>
      <c r="T766" s="79">
        <f t="shared" si="344"/>
        <v>0</v>
      </c>
      <c r="U766" s="79">
        <f t="shared" si="344"/>
        <v>0</v>
      </c>
      <c r="V766" s="79">
        <f t="shared" si="344"/>
        <v>0</v>
      </c>
      <c r="W766" s="79">
        <f t="shared" si="344"/>
        <v>0</v>
      </c>
      <c r="X766" s="79">
        <f t="shared" si="344"/>
        <v>0</v>
      </c>
      <c r="Y766" s="79">
        <f t="shared" si="344"/>
        <v>0</v>
      </c>
      <c r="Z766" s="79">
        <f t="shared" si="344"/>
        <v>0</v>
      </c>
      <c r="AA766" s="79">
        <f t="shared" si="345"/>
        <v>0</v>
      </c>
      <c r="AB766" s="93" t="str">
        <f t="shared" si="346"/>
        <v>ok</v>
      </c>
    </row>
    <row r="767" spans="1:28" s="60" customFormat="1">
      <c r="B767" s="60" t="s">
        <v>1263</v>
      </c>
      <c r="E767" s="60" t="s">
        <v>693</v>
      </c>
      <c r="F767" s="79">
        <v>-8423259.5387509596</v>
      </c>
      <c r="G767" s="79">
        <f t="shared" si="343"/>
        <v>-3297836.5637638657</v>
      </c>
      <c r="H767" s="79">
        <f t="shared" si="343"/>
        <v>-1848541.9147539535</v>
      </c>
      <c r="I767" s="79">
        <f t="shared" si="343"/>
        <v>0</v>
      </c>
      <c r="J767" s="79">
        <f t="shared" si="343"/>
        <v>-80618.546479590106</v>
      </c>
      <c r="K767" s="79">
        <f t="shared" si="343"/>
        <v>-1002889.880727366</v>
      </c>
      <c r="L767" s="79">
        <f t="shared" si="343"/>
        <v>0</v>
      </c>
      <c r="M767" s="79">
        <f t="shared" si="343"/>
        <v>0</v>
      </c>
      <c r="N767" s="79">
        <f t="shared" si="343"/>
        <v>-833193.57320102572</v>
      </c>
      <c r="O767" s="79">
        <f t="shared" si="343"/>
        <v>-537753.55392959388</v>
      </c>
      <c r="P767" s="79">
        <f t="shared" si="343"/>
        <v>-461699.26012290485</v>
      </c>
      <c r="Q767" s="79">
        <f t="shared" si="344"/>
        <v>-42712.387941544512</v>
      </c>
      <c r="R767" s="79">
        <f t="shared" si="344"/>
        <v>-23116.949883436577</v>
      </c>
      <c r="S767" s="79">
        <f t="shared" si="344"/>
        <v>-290133.08100865397</v>
      </c>
      <c r="T767" s="79">
        <f t="shared" si="344"/>
        <v>-2398.9515506920206</v>
      </c>
      <c r="U767" s="79">
        <f t="shared" si="344"/>
        <v>-2364.8753883329678</v>
      </c>
      <c r="V767" s="79">
        <f t="shared" si="344"/>
        <v>0</v>
      </c>
      <c r="W767" s="79">
        <f t="shared" si="344"/>
        <v>0</v>
      </c>
      <c r="X767" s="79">
        <f t="shared" si="344"/>
        <v>0</v>
      </c>
      <c r="Y767" s="79">
        <f t="shared" si="344"/>
        <v>0</v>
      </c>
      <c r="Z767" s="79">
        <f t="shared" si="344"/>
        <v>0</v>
      </c>
      <c r="AA767" s="79">
        <f t="shared" si="345"/>
        <v>-8423259.5387509614</v>
      </c>
      <c r="AB767" s="93" t="str">
        <f t="shared" si="346"/>
        <v>ok</v>
      </c>
    </row>
    <row r="768" spans="1:28" s="60" customFormat="1">
      <c r="B768" s="60" t="s">
        <v>1329</v>
      </c>
      <c r="F768" s="79">
        <v>0</v>
      </c>
      <c r="G768" s="79"/>
      <c r="H768" s="79"/>
      <c r="I768" s="79"/>
      <c r="J768" s="79"/>
      <c r="K768" s="79"/>
      <c r="L768" s="79"/>
      <c r="M768" s="79"/>
      <c r="N768" s="79"/>
      <c r="O768" s="79">
        <v>0</v>
      </c>
      <c r="P768" s="79"/>
      <c r="Q768" s="79">
        <v>0</v>
      </c>
      <c r="R768" s="79"/>
      <c r="S768" s="79"/>
      <c r="T768" s="79"/>
      <c r="U768" s="79"/>
      <c r="V768" s="79"/>
      <c r="W768" s="79"/>
      <c r="X768" s="79"/>
      <c r="Y768" s="79"/>
      <c r="Z768" s="79"/>
      <c r="AA768" s="79">
        <f t="shared" si="345"/>
        <v>0</v>
      </c>
      <c r="AB768" s="93" t="str">
        <f t="shared" si="346"/>
        <v>ok</v>
      </c>
    </row>
    <row r="769" spans="1:28" s="60" customFormat="1">
      <c r="E769" s="112"/>
      <c r="F769" s="80"/>
      <c r="G769" s="80"/>
    </row>
    <row r="770" spans="1:28" s="60" customFormat="1">
      <c r="A770" s="60" t="s">
        <v>136</v>
      </c>
      <c r="E770" s="112"/>
      <c r="F770" s="80">
        <f t="shared" ref="F770:Z770" si="347">SUM(F757:F768)</f>
        <v>1017201652.4612489</v>
      </c>
      <c r="G770" s="80">
        <f t="shared" si="347"/>
        <v>402691157.59861892</v>
      </c>
      <c r="H770" s="80">
        <f t="shared" si="347"/>
        <v>140975017.27178732</v>
      </c>
      <c r="I770" s="80">
        <f t="shared" si="347"/>
        <v>0</v>
      </c>
      <c r="J770" s="80">
        <f t="shared" si="347"/>
        <v>12142004.094456457</v>
      </c>
      <c r="K770" s="80">
        <f t="shared" si="347"/>
        <v>158862991.66252178</v>
      </c>
      <c r="L770" s="80">
        <f t="shared" si="347"/>
        <v>0</v>
      </c>
      <c r="M770" s="80">
        <f t="shared" si="347"/>
        <v>0</v>
      </c>
      <c r="N770" s="80">
        <f t="shared" si="347"/>
        <v>123888502.46207795</v>
      </c>
      <c r="O770" s="80">
        <f t="shared" si="347"/>
        <v>80679093.725201458</v>
      </c>
      <c r="P770" s="80">
        <f t="shared" si="347"/>
        <v>68446605.210421458</v>
      </c>
      <c r="Q770" s="80">
        <f t="shared" si="347"/>
        <v>6762885.5315703759</v>
      </c>
      <c r="R770" s="80">
        <f t="shared" si="347"/>
        <v>3513275.1177982604</v>
      </c>
      <c r="S770" s="80">
        <f t="shared" si="347"/>
        <v>18735746.033272326</v>
      </c>
      <c r="T770" s="80">
        <f t="shared" si="347"/>
        <v>222752.47327662929</v>
      </c>
      <c r="U770" s="80">
        <f t="shared" si="347"/>
        <v>281621.28024605225</v>
      </c>
      <c r="V770" s="80">
        <f t="shared" si="347"/>
        <v>0</v>
      </c>
      <c r="W770" s="80">
        <f t="shared" si="347"/>
        <v>0</v>
      </c>
      <c r="X770" s="80">
        <f t="shared" si="347"/>
        <v>0</v>
      </c>
      <c r="Y770" s="80">
        <f t="shared" si="347"/>
        <v>0</v>
      </c>
      <c r="Z770" s="80">
        <f t="shared" si="347"/>
        <v>0</v>
      </c>
      <c r="AA770" s="80">
        <f>SUM(G770:Z770)</f>
        <v>1017201652.4612489</v>
      </c>
      <c r="AB770" s="93" t="str">
        <f>IF(ABS(F770-AA770)&lt;0.01,"ok","err")</f>
        <v>ok</v>
      </c>
    </row>
    <row r="771" spans="1:28" s="60" customFormat="1" ht="16.5" customHeight="1">
      <c r="E771" s="80"/>
    </row>
    <row r="772" spans="1:28" s="60" customFormat="1" ht="15">
      <c r="A772" s="65" t="s">
        <v>1116</v>
      </c>
      <c r="F772" s="80"/>
    </row>
    <row r="773" spans="1:28" s="60" customFormat="1"/>
    <row r="774" spans="1:28">
      <c r="A774" s="68" t="s">
        <v>1117</v>
      </c>
      <c r="F774" s="80">
        <f t="shared" ref="F774:AA774" si="348">F233</f>
        <v>685621902.81823468</v>
      </c>
      <c r="G774" s="80">
        <f t="shared" si="348"/>
        <v>287977479.04383886</v>
      </c>
      <c r="H774" s="80">
        <f t="shared" si="348"/>
        <v>85712374.904412091</v>
      </c>
      <c r="I774" s="80">
        <f t="shared" si="348"/>
        <v>0</v>
      </c>
      <c r="J774" s="80">
        <f t="shared" si="348"/>
        <v>8382184.1559373448</v>
      </c>
      <c r="K774" s="80">
        <f t="shared" si="348"/>
        <v>98788345.739999518</v>
      </c>
      <c r="L774" s="80">
        <f t="shared" si="348"/>
        <v>0</v>
      </c>
      <c r="M774" s="80">
        <f t="shared" si="348"/>
        <v>0</v>
      </c>
      <c r="N774" s="80">
        <f t="shared" si="348"/>
        <v>91640486.35993652</v>
      </c>
      <c r="O774" s="80">
        <f t="shared" si="348"/>
        <v>43317845.899576016</v>
      </c>
      <c r="P774" s="80">
        <f t="shared" si="348"/>
        <v>53872935.67491778</v>
      </c>
      <c r="Q774" s="80">
        <f t="shared" si="348"/>
        <v>5491759.0931262597</v>
      </c>
      <c r="R774" s="80">
        <f t="shared" si="348"/>
        <v>2831748.9051755359</v>
      </c>
      <c r="S774" s="80">
        <f t="shared" si="348"/>
        <v>7250096.0209032139</v>
      </c>
      <c r="T774" s="80">
        <f t="shared" si="348"/>
        <v>163488.34608044932</v>
      </c>
      <c r="U774" s="80">
        <f t="shared" si="348"/>
        <v>193158.6743311403</v>
      </c>
      <c r="V774" s="80">
        <f t="shared" si="348"/>
        <v>0</v>
      </c>
      <c r="W774" s="80">
        <f t="shared" si="348"/>
        <v>0</v>
      </c>
      <c r="X774" s="64">
        <f t="shared" si="348"/>
        <v>0</v>
      </c>
      <c r="Y774" s="64">
        <f t="shared" si="348"/>
        <v>0</v>
      </c>
      <c r="Z774" s="64">
        <f t="shared" si="348"/>
        <v>0</v>
      </c>
      <c r="AA774" s="64">
        <f t="shared" si="348"/>
        <v>685621902.81823492</v>
      </c>
      <c r="AB774" s="58" t="str">
        <f t="shared" ref="AB774:AB785" si="349">IF(ABS(F774-AA774)&lt;0.01,"ok","err")</f>
        <v>ok</v>
      </c>
    </row>
    <row r="775" spans="1:28">
      <c r="A775" s="68" t="s">
        <v>1118</v>
      </c>
      <c r="F775" s="79">
        <f t="shared" ref="F775:AA775" si="350">F347</f>
        <v>138842526.50563762</v>
      </c>
      <c r="G775" s="79">
        <f t="shared" si="350"/>
        <v>66956528.663069092</v>
      </c>
      <c r="H775" s="79">
        <f t="shared" si="350"/>
        <v>17662359.026010059</v>
      </c>
      <c r="I775" s="79">
        <f t="shared" si="350"/>
        <v>0</v>
      </c>
      <c r="J775" s="79">
        <f t="shared" si="350"/>
        <v>1319207.819514378</v>
      </c>
      <c r="K775" s="79">
        <f t="shared" si="350"/>
        <v>17047245.359047126</v>
      </c>
      <c r="L775" s="79">
        <f t="shared" si="350"/>
        <v>0</v>
      </c>
      <c r="M775" s="79">
        <f t="shared" si="350"/>
        <v>0</v>
      </c>
      <c r="N775" s="79">
        <f t="shared" si="350"/>
        <v>14147537.382176131</v>
      </c>
      <c r="O775" s="79">
        <f t="shared" si="350"/>
        <v>8439638.5688393302</v>
      </c>
      <c r="P775" s="79">
        <f t="shared" si="350"/>
        <v>7431299.1513437964</v>
      </c>
      <c r="Q775" s="79">
        <f t="shared" si="350"/>
        <v>890538.01548429963</v>
      </c>
      <c r="R775" s="79">
        <f t="shared" si="350"/>
        <v>410588.53529443557</v>
      </c>
      <c r="S775" s="79">
        <f t="shared" si="350"/>
        <v>4493023.2657757187</v>
      </c>
      <c r="T775" s="79">
        <f t="shared" si="350"/>
        <v>16978.565610219943</v>
      </c>
      <c r="U775" s="79">
        <f t="shared" si="350"/>
        <v>27582.153473022237</v>
      </c>
      <c r="V775" s="79">
        <f t="shared" si="350"/>
        <v>0</v>
      </c>
      <c r="W775" s="79">
        <f t="shared" si="350"/>
        <v>0</v>
      </c>
      <c r="X775" s="63">
        <f t="shared" si="350"/>
        <v>0</v>
      </c>
      <c r="Y775" s="63">
        <f t="shared" si="350"/>
        <v>0</v>
      </c>
      <c r="Z775" s="63">
        <f t="shared" si="350"/>
        <v>0</v>
      </c>
      <c r="AA775" s="63">
        <f t="shared" si="350"/>
        <v>138842526.50563762</v>
      </c>
      <c r="AB775" s="58" t="str">
        <f t="shared" si="349"/>
        <v>ok</v>
      </c>
    </row>
    <row r="776" spans="1:28" hidden="1">
      <c r="A776" s="111" t="s">
        <v>281</v>
      </c>
      <c r="F776" s="79">
        <f t="shared" ref="F776:Z776" si="351">F715</f>
        <v>0</v>
      </c>
      <c r="G776" s="79">
        <f t="shared" si="351"/>
        <v>0</v>
      </c>
      <c r="H776" s="79">
        <f t="shared" si="351"/>
        <v>0</v>
      </c>
      <c r="I776" s="79">
        <f t="shared" si="351"/>
        <v>0</v>
      </c>
      <c r="J776" s="79">
        <f t="shared" si="351"/>
        <v>0</v>
      </c>
      <c r="K776" s="79">
        <f t="shared" si="351"/>
        <v>0</v>
      </c>
      <c r="L776" s="79">
        <f t="shared" si="351"/>
        <v>0</v>
      </c>
      <c r="M776" s="79">
        <f t="shared" si="351"/>
        <v>0</v>
      </c>
      <c r="N776" s="79">
        <f t="shared" si="351"/>
        <v>0</v>
      </c>
      <c r="O776" s="79">
        <f t="shared" si="351"/>
        <v>0</v>
      </c>
      <c r="P776" s="79">
        <f t="shared" si="351"/>
        <v>0</v>
      </c>
      <c r="Q776" s="79">
        <f t="shared" si="351"/>
        <v>0</v>
      </c>
      <c r="R776" s="79">
        <f t="shared" si="351"/>
        <v>0</v>
      </c>
      <c r="S776" s="79">
        <f t="shared" si="351"/>
        <v>0</v>
      </c>
      <c r="T776" s="79">
        <f t="shared" si="351"/>
        <v>0</v>
      </c>
      <c r="U776" s="79">
        <f t="shared" si="351"/>
        <v>0</v>
      </c>
      <c r="V776" s="79">
        <f t="shared" si="351"/>
        <v>0</v>
      </c>
      <c r="W776" s="79">
        <f t="shared" si="351"/>
        <v>0</v>
      </c>
      <c r="X776" s="63">
        <f t="shared" si="351"/>
        <v>0</v>
      </c>
      <c r="Y776" s="63">
        <f t="shared" si="351"/>
        <v>0</v>
      </c>
      <c r="Z776" s="63">
        <f t="shared" si="351"/>
        <v>0</v>
      </c>
      <c r="AA776" s="63">
        <f t="shared" ref="AA776:AA781" si="352">SUM(G776:Z776)</f>
        <v>0</v>
      </c>
      <c r="AB776" s="58" t="str">
        <f t="shared" si="349"/>
        <v>ok</v>
      </c>
    </row>
    <row r="777" spans="1:28" hidden="1">
      <c r="A777" s="68" t="s">
        <v>804</v>
      </c>
      <c r="F777" s="79">
        <f t="shared" ref="F777:Z777" si="353">F716</f>
        <v>0</v>
      </c>
      <c r="G777" s="79">
        <f t="shared" si="353"/>
        <v>0</v>
      </c>
      <c r="H777" s="79">
        <f t="shared" si="353"/>
        <v>0</v>
      </c>
      <c r="I777" s="79">
        <f t="shared" si="353"/>
        <v>0</v>
      </c>
      <c r="J777" s="79">
        <f t="shared" si="353"/>
        <v>0</v>
      </c>
      <c r="K777" s="79">
        <f t="shared" si="353"/>
        <v>0</v>
      </c>
      <c r="L777" s="79">
        <f t="shared" si="353"/>
        <v>0</v>
      </c>
      <c r="M777" s="79">
        <f t="shared" si="353"/>
        <v>0</v>
      </c>
      <c r="N777" s="79">
        <f t="shared" si="353"/>
        <v>0</v>
      </c>
      <c r="O777" s="79">
        <f t="shared" si="353"/>
        <v>0</v>
      </c>
      <c r="P777" s="79">
        <f t="shared" si="353"/>
        <v>0</v>
      </c>
      <c r="Q777" s="79">
        <f t="shared" si="353"/>
        <v>0</v>
      </c>
      <c r="R777" s="79">
        <f t="shared" si="353"/>
        <v>0</v>
      </c>
      <c r="S777" s="79">
        <f t="shared" si="353"/>
        <v>0</v>
      </c>
      <c r="T777" s="79">
        <f t="shared" si="353"/>
        <v>0</v>
      </c>
      <c r="U777" s="79">
        <f t="shared" si="353"/>
        <v>0</v>
      </c>
      <c r="V777" s="79">
        <f t="shared" si="353"/>
        <v>0</v>
      </c>
      <c r="W777" s="79">
        <f t="shared" si="353"/>
        <v>0</v>
      </c>
      <c r="X777" s="63">
        <f t="shared" si="353"/>
        <v>0</v>
      </c>
      <c r="Y777" s="63">
        <f t="shared" si="353"/>
        <v>0</v>
      </c>
      <c r="Z777" s="63">
        <f t="shared" si="353"/>
        <v>0</v>
      </c>
      <c r="AA777" s="63">
        <f t="shared" si="352"/>
        <v>0</v>
      </c>
      <c r="AB777" s="58" t="str">
        <f t="shared" si="349"/>
        <v>ok</v>
      </c>
    </row>
    <row r="778" spans="1:28" hidden="1">
      <c r="A778" s="60" t="s">
        <v>1169</v>
      </c>
      <c r="F778" s="79">
        <f t="shared" ref="F778:Z778" si="354">F717</f>
        <v>0</v>
      </c>
      <c r="G778" s="79">
        <f t="shared" si="354"/>
        <v>0</v>
      </c>
      <c r="H778" s="79">
        <f t="shared" si="354"/>
        <v>0</v>
      </c>
      <c r="I778" s="79">
        <f t="shared" si="354"/>
        <v>0</v>
      </c>
      <c r="J778" s="79">
        <f t="shared" si="354"/>
        <v>0</v>
      </c>
      <c r="K778" s="79">
        <f t="shared" si="354"/>
        <v>0</v>
      </c>
      <c r="L778" s="79">
        <f t="shared" si="354"/>
        <v>0</v>
      </c>
      <c r="M778" s="79">
        <f t="shared" si="354"/>
        <v>0</v>
      </c>
      <c r="N778" s="79">
        <f t="shared" si="354"/>
        <v>0</v>
      </c>
      <c r="O778" s="79">
        <f t="shared" si="354"/>
        <v>0</v>
      </c>
      <c r="P778" s="79">
        <f t="shared" si="354"/>
        <v>0</v>
      </c>
      <c r="Q778" s="79">
        <f t="shared" si="354"/>
        <v>0</v>
      </c>
      <c r="R778" s="79">
        <f t="shared" si="354"/>
        <v>0</v>
      </c>
      <c r="S778" s="79">
        <f t="shared" si="354"/>
        <v>0</v>
      </c>
      <c r="T778" s="79">
        <f t="shared" si="354"/>
        <v>0</v>
      </c>
      <c r="U778" s="79">
        <f t="shared" si="354"/>
        <v>0</v>
      </c>
      <c r="V778" s="79">
        <f t="shared" si="354"/>
        <v>0</v>
      </c>
      <c r="W778" s="79">
        <f t="shared" si="354"/>
        <v>0</v>
      </c>
      <c r="X778" s="63">
        <f t="shared" si="354"/>
        <v>0</v>
      </c>
      <c r="Y778" s="63">
        <f t="shared" si="354"/>
        <v>0</v>
      </c>
      <c r="Z778" s="63">
        <f t="shared" si="354"/>
        <v>0</v>
      </c>
      <c r="AA778" s="63">
        <f t="shared" si="352"/>
        <v>0</v>
      </c>
      <c r="AB778" s="58" t="str">
        <f t="shared" si="349"/>
        <v>ok</v>
      </c>
    </row>
    <row r="779" spans="1:28" hidden="1">
      <c r="A779" s="60" t="s">
        <v>1170</v>
      </c>
      <c r="F779" s="79">
        <f t="shared" ref="F779:W779" si="355">F718</f>
        <v>0</v>
      </c>
      <c r="G779" s="79">
        <f t="shared" si="355"/>
        <v>0</v>
      </c>
      <c r="H779" s="79">
        <f t="shared" si="355"/>
        <v>0</v>
      </c>
      <c r="I779" s="79">
        <f t="shared" si="355"/>
        <v>0</v>
      </c>
      <c r="J779" s="79">
        <f t="shared" si="355"/>
        <v>0</v>
      </c>
      <c r="K779" s="79">
        <f t="shared" si="355"/>
        <v>0</v>
      </c>
      <c r="L779" s="79">
        <f t="shared" si="355"/>
        <v>0</v>
      </c>
      <c r="M779" s="79">
        <f t="shared" si="355"/>
        <v>0</v>
      </c>
      <c r="N779" s="79">
        <f t="shared" si="355"/>
        <v>0</v>
      </c>
      <c r="O779" s="79">
        <f t="shared" si="355"/>
        <v>0</v>
      </c>
      <c r="P779" s="79">
        <f t="shared" si="355"/>
        <v>0</v>
      </c>
      <c r="Q779" s="79">
        <f t="shared" si="355"/>
        <v>0</v>
      </c>
      <c r="R779" s="79">
        <f t="shared" si="355"/>
        <v>0</v>
      </c>
      <c r="S779" s="79">
        <f t="shared" si="355"/>
        <v>0</v>
      </c>
      <c r="T779" s="79">
        <f t="shared" si="355"/>
        <v>0</v>
      </c>
      <c r="U779" s="79">
        <f t="shared" si="355"/>
        <v>0</v>
      </c>
      <c r="V779" s="79">
        <f t="shared" si="355"/>
        <v>0</v>
      </c>
      <c r="W779" s="79">
        <f t="shared" si="355"/>
        <v>0</v>
      </c>
      <c r="X779" s="63"/>
      <c r="Y779" s="63"/>
      <c r="Z779" s="63"/>
      <c r="AA779" s="63">
        <f t="shared" si="352"/>
        <v>0</v>
      </c>
      <c r="AB779" s="58" t="str">
        <f t="shared" si="349"/>
        <v>ok</v>
      </c>
    </row>
    <row r="780" spans="1:28">
      <c r="A780" s="68" t="s">
        <v>726</v>
      </c>
      <c r="E780" s="60" t="s">
        <v>1101</v>
      </c>
      <c r="F780" s="79">
        <f t="shared" ref="F780:W780" si="356">F719</f>
        <v>32529208.918825753</v>
      </c>
      <c r="G780" s="79">
        <f t="shared" si="356"/>
        <v>15821224.614783587</v>
      </c>
      <c r="H780" s="79">
        <f t="shared" si="356"/>
        <v>4128892.9779181606</v>
      </c>
      <c r="I780" s="79">
        <f t="shared" si="356"/>
        <v>0</v>
      </c>
      <c r="J780" s="79">
        <f t="shared" si="356"/>
        <v>305436.67027339508</v>
      </c>
      <c r="K780" s="79">
        <f t="shared" si="356"/>
        <v>3938268.7350952788</v>
      </c>
      <c r="L780" s="79">
        <f t="shared" si="356"/>
        <v>0</v>
      </c>
      <c r="M780" s="79">
        <f t="shared" si="356"/>
        <v>0</v>
      </c>
      <c r="N780" s="79">
        <f t="shared" si="356"/>
        <v>3270855.6150380769</v>
      </c>
      <c r="O780" s="79">
        <f t="shared" si="356"/>
        <v>1955326.1324566021</v>
      </c>
      <c r="P780" s="79">
        <f t="shared" si="356"/>
        <v>1707682.6772375295</v>
      </c>
      <c r="Q780" s="79">
        <f t="shared" si="356"/>
        <v>205732.30099181121</v>
      </c>
      <c r="R780" s="79">
        <f t="shared" si="356"/>
        <v>95401.259794540762</v>
      </c>
      <c r="S780" s="79">
        <f t="shared" si="356"/>
        <v>1089901.8323440109</v>
      </c>
      <c r="T780" s="79">
        <f t="shared" si="356"/>
        <v>4094.6577747313927</v>
      </c>
      <c r="U780" s="79">
        <f t="shared" si="356"/>
        <v>6391.445118027631</v>
      </c>
      <c r="V780" s="79">
        <f t="shared" si="356"/>
        <v>0</v>
      </c>
      <c r="W780" s="79">
        <f t="shared" si="356"/>
        <v>0</v>
      </c>
      <c r="X780" s="63">
        <f>X719</f>
        <v>0</v>
      </c>
      <c r="Y780" s="63">
        <f>Y719</f>
        <v>0</v>
      </c>
      <c r="Z780" s="63">
        <f>Z719</f>
        <v>0</v>
      </c>
      <c r="AA780" s="63">
        <f t="shared" si="352"/>
        <v>32529208.918825749</v>
      </c>
      <c r="AB780" s="58" t="str">
        <f t="shared" si="349"/>
        <v>ok</v>
      </c>
    </row>
    <row r="781" spans="1:28">
      <c r="A781" s="68" t="s">
        <v>727</v>
      </c>
      <c r="F781" s="79">
        <f t="shared" ref="F781:Z781" si="357">F576</f>
        <v>-1002535.0000000001</v>
      </c>
      <c r="G781" s="79">
        <f t="shared" si="357"/>
        <v>-487602.74062498263</v>
      </c>
      <c r="H781" s="79">
        <f t="shared" si="357"/>
        <v>-127250.54986571152</v>
      </c>
      <c r="I781" s="79">
        <f t="shared" si="357"/>
        <v>0</v>
      </c>
      <c r="J781" s="79">
        <f t="shared" si="357"/>
        <v>-9413.4152784552807</v>
      </c>
      <c r="K781" s="79">
        <f t="shared" si="357"/>
        <v>-121375.59988597687</v>
      </c>
      <c r="L781" s="79">
        <f t="shared" si="357"/>
        <v>0</v>
      </c>
      <c r="M781" s="79">
        <f t="shared" si="357"/>
        <v>0</v>
      </c>
      <c r="N781" s="79">
        <f t="shared" si="357"/>
        <v>-100806.23977684391</v>
      </c>
      <c r="O781" s="79">
        <f t="shared" si="357"/>
        <v>-60262.236597702744</v>
      </c>
      <c r="P781" s="79">
        <f t="shared" si="357"/>
        <v>-52629.981168509992</v>
      </c>
      <c r="Q781" s="79">
        <f t="shared" si="357"/>
        <v>-6340.5732641552013</v>
      </c>
      <c r="R781" s="79">
        <f t="shared" si="357"/>
        <v>-2940.2221931308027</v>
      </c>
      <c r="S781" s="79">
        <f t="shared" si="357"/>
        <v>-33590.264559327814</v>
      </c>
      <c r="T781" s="79">
        <f t="shared" si="357"/>
        <v>-126.19543692052756</v>
      </c>
      <c r="U781" s="79">
        <f t="shared" si="357"/>
        <v>-196.98134828275855</v>
      </c>
      <c r="V781" s="79">
        <f t="shared" si="357"/>
        <v>0</v>
      </c>
      <c r="W781" s="79">
        <f t="shared" si="357"/>
        <v>0</v>
      </c>
      <c r="X781" s="63">
        <f t="shared" si="357"/>
        <v>0</v>
      </c>
      <c r="Y781" s="63">
        <f t="shared" si="357"/>
        <v>0</v>
      </c>
      <c r="Z781" s="63">
        <f t="shared" si="357"/>
        <v>0</v>
      </c>
      <c r="AA781" s="63">
        <f t="shared" si="352"/>
        <v>-1002535</v>
      </c>
      <c r="AB781" s="58" t="str">
        <f t="shared" si="349"/>
        <v>ok</v>
      </c>
    </row>
    <row r="782" spans="1:28" hidden="1">
      <c r="A782" s="68" t="s">
        <v>692</v>
      </c>
      <c r="F782" s="79">
        <f t="shared" ref="F782:AA782" si="358">F721</f>
        <v>0</v>
      </c>
      <c r="G782" s="79">
        <f t="shared" si="358"/>
        <v>0</v>
      </c>
      <c r="H782" s="79">
        <f t="shared" si="358"/>
        <v>0</v>
      </c>
      <c r="I782" s="79">
        <f t="shared" si="358"/>
        <v>0</v>
      </c>
      <c r="J782" s="79">
        <f t="shared" si="358"/>
        <v>0</v>
      </c>
      <c r="K782" s="79">
        <f t="shared" si="358"/>
        <v>0</v>
      </c>
      <c r="L782" s="79">
        <f t="shared" si="358"/>
        <v>0</v>
      </c>
      <c r="M782" s="79">
        <f t="shared" si="358"/>
        <v>0</v>
      </c>
      <c r="N782" s="79">
        <f t="shared" si="358"/>
        <v>0</v>
      </c>
      <c r="O782" s="79">
        <f t="shared" si="358"/>
        <v>0</v>
      </c>
      <c r="P782" s="79">
        <f t="shared" si="358"/>
        <v>0</v>
      </c>
      <c r="Q782" s="79">
        <f t="shared" si="358"/>
        <v>0</v>
      </c>
      <c r="R782" s="79">
        <f t="shared" si="358"/>
        <v>0</v>
      </c>
      <c r="S782" s="79">
        <f t="shared" si="358"/>
        <v>0</v>
      </c>
      <c r="T782" s="79">
        <f t="shared" si="358"/>
        <v>0</v>
      </c>
      <c r="U782" s="79">
        <f t="shared" si="358"/>
        <v>0</v>
      </c>
      <c r="V782" s="79">
        <f t="shared" si="358"/>
        <v>0</v>
      </c>
      <c r="W782" s="79">
        <f t="shared" si="358"/>
        <v>0</v>
      </c>
      <c r="X782" s="63">
        <f t="shared" si="358"/>
        <v>0</v>
      </c>
      <c r="Y782" s="63">
        <f t="shared" si="358"/>
        <v>0</v>
      </c>
      <c r="Z782" s="63">
        <f t="shared" si="358"/>
        <v>0</v>
      </c>
      <c r="AA782" s="63">
        <f t="shared" si="358"/>
        <v>0</v>
      </c>
      <c r="AB782" s="58" t="str">
        <f t="shared" si="349"/>
        <v>ok</v>
      </c>
    </row>
    <row r="783" spans="1:28">
      <c r="A783" s="68" t="s">
        <v>206</v>
      </c>
      <c r="E783" s="60" t="s">
        <v>839</v>
      </c>
      <c r="F783" s="79">
        <f>F722</f>
        <v>48157086</v>
      </c>
      <c r="G783" s="79">
        <f t="shared" ref="G783:Z783" si="359">IF(VLOOKUP($E783,$D$6:$AN$1131,3,)=0,0,(VLOOKUP($E783,$D$6:$AN$1131,G$2,)/VLOOKUP($E783,$D$6:$AN$1131,3,))*$F783)</f>
        <v>2454365.8478702004</v>
      </c>
      <c r="H783" s="79">
        <f t="shared" si="359"/>
        <v>12349410.109264264</v>
      </c>
      <c r="I783" s="79">
        <f t="shared" si="359"/>
        <v>0</v>
      </c>
      <c r="J783" s="79">
        <f t="shared" si="359"/>
        <v>735616.09768018348</v>
      </c>
      <c r="K783" s="79">
        <f t="shared" si="359"/>
        <v>14648899.114665983</v>
      </c>
      <c r="L783" s="79">
        <f t="shared" si="359"/>
        <v>0</v>
      </c>
      <c r="M783" s="79">
        <f t="shared" si="359"/>
        <v>0</v>
      </c>
      <c r="N783" s="79">
        <f t="shared" si="359"/>
        <v>4262624.3464543009</v>
      </c>
      <c r="O783" s="79">
        <f t="shared" si="359"/>
        <v>10678692.024761964</v>
      </c>
      <c r="P783" s="79">
        <f t="shared" si="359"/>
        <v>1203148.0501365161</v>
      </c>
      <c r="Q783" s="79">
        <f t="shared" si="359"/>
        <v>-75916.86856010824</v>
      </c>
      <c r="R783" s="79">
        <f t="shared" si="359"/>
        <v>8612.647665870245</v>
      </c>
      <c r="S783" s="79">
        <f t="shared" si="359"/>
        <v>1856801.0492854789</v>
      </c>
      <c r="T783" s="79">
        <f t="shared" si="359"/>
        <v>14740.189371502422</v>
      </c>
      <c r="U783" s="79">
        <f t="shared" si="359"/>
        <v>20093.391403856331</v>
      </c>
      <c r="V783" s="79">
        <f t="shared" si="359"/>
        <v>0</v>
      </c>
      <c r="W783" s="79">
        <f t="shared" si="359"/>
        <v>0</v>
      </c>
      <c r="X783" s="63">
        <f t="shared" si="359"/>
        <v>0</v>
      </c>
      <c r="Y783" s="63">
        <f t="shared" si="359"/>
        <v>0</v>
      </c>
      <c r="Z783" s="63">
        <f t="shared" si="359"/>
        <v>0</v>
      </c>
      <c r="AA783" s="63">
        <f>SUM(G783:Z783)</f>
        <v>48157086.000000007</v>
      </c>
      <c r="AB783" s="58" t="str">
        <f t="shared" si="349"/>
        <v>ok</v>
      </c>
    </row>
    <row r="784" spans="1:28">
      <c r="A784" s="68" t="s">
        <v>699</v>
      </c>
      <c r="F784" s="79">
        <f>F723</f>
        <v>0</v>
      </c>
      <c r="G784" s="79">
        <f t="shared" ref="G784:L784" si="360">G1102</f>
        <v>0</v>
      </c>
      <c r="H784" s="79">
        <f t="shared" si="360"/>
        <v>0</v>
      </c>
      <c r="I784" s="79">
        <f t="shared" si="360"/>
        <v>0</v>
      </c>
      <c r="J784" s="79">
        <f t="shared" si="360"/>
        <v>0</v>
      </c>
      <c r="K784" s="79">
        <f t="shared" si="360"/>
        <v>0</v>
      </c>
      <c r="L784" s="79">
        <f t="shared" si="360"/>
        <v>0</v>
      </c>
      <c r="M784" s="79">
        <f>-M1102</f>
        <v>0</v>
      </c>
      <c r="N784" s="79">
        <f>N1102</f>
        <v>0</v>
      </c>
      <c r="O784" s="79">
        <f>-O1102</f>
        <v>0</v>
      </c>
      <c r="P784" s="79">
        <v>0</v>
      </c>
      <c r="Q784" s="79">
        <f t="shared" ref="Q784:Z784" si="361">Q1102</f>
        <v>0</v>
      </c>
      <c r="R784" s="79">
        <f t="shared" si="361"/>
        <v>0</v>
      </c>
      <c r="S784" s="79">
        <f t="shared" si="361"/>
        <v>0</v>
      </c>
      <c r="T784" s="79">
        <f t="shared" si="361"/>
        <v>0</v>
      </c>
      <c r="U784" s="79">
        <f t="shared" si="361"/>
        <v>0</v>
      </c>
      <c r="V784" s="79">
        <f t="shared" si="361"/>
        <v>0</v>
      </c>
      <c r="W784" s="79">
        <f t="shared" si="361"/>
        <v>0</v>
      </c>
      <c r="X784" s="63">
        <f t="shared" si="361"/>
        <v>0</v>
      </c>
      <c r="Y784" s="63">
        <f t="shared" si="361"/>
        <v>0</v>
      </c>
      <c r="Z784" s="63">
        <f t="shared" si="361"/>
        <v>0</v>
      </c>
      <c r="AA784" s="63">
        <f>SUM(G784:Z784)</f>
        <v>0</v>
      </c>
      <c r="AB784" s="58" t="str">
        <f t="shared" si="349"/>
        <v>ok</v>
      </c>
    </row>
    <row r="785" spans="1:28">
      <c r="A785" s="68" t="s">
        <v>700</v>
      </c>
      <c r="E785" s="60" t="s">
        <v>701</v>
      </c>
      <c r="F785" s="79">
        <f>F724</f>
        <v>0</v>
      </c>
      <c r="G785" s="79">
        <f t="shared" ref="G785:Z785" si="362">IF(VLOOKUP($E785,$D$6:$AN$1131,3,)=0,0,(VLOOKUP($E785,$D$6:$AN$1131,G$2,)/VLOOKUP($E785,$D$6:$AN$1131,3,))*$F785)</f>
        <v>0</v>
      </c>
      <c r="H785" s="79">
        <f t="shared" si="362"/>
        <v>0</v>
      </c>
      <c r="I785" s="79">
        <f t="shared" si="362"/>
        <v>0</v>
      </c>
      <c r="J785" s="79">
        <f t="shared" si="362"/>
        <v>0</v>
      </c>
      <c r="K785" s="79">
        <f t="shared" si="362"/>
        <v>0</v>
      </c>
      <c r="L785" s="79">
        <f t="shared" si="362"/>
        <v>0</v>
      </c>
      <c r="M785" s="79">
        <f t="shared" si="362"/>
        <v>0</v>
      </c>
      <c r="N785" s="79">
        <f t="shared" si="362"/>
        <v>0</v>
      </c>
      <c r="O785" s="79">
        <f t="shared" si="362"/>
        <v>0</v>
      </c>
      <c r="P785" s="79">
        <f t="shared" si="362"/>
        <v>0</v>
      </c>
      <c r="Q785" s="79">
        <f t="shared" si="362"/>
        <v>0</v>
      </c>
      <c r="R785" s="79">
        <f t="shared" si="362"/>
        <v>0</v>
      </c>
      <c r="S785" s="79">
        <f t="shared" si="362"/>
        <v>0</v>
      </c>
      <c r="T785" s="79">
        <f t="shared" si="362"/>
        <v>0</v>
      </c>
      <c r="U785" s="79">
        <f t="shared" si="362"/>
        <v>0</v>
      </c>
      <c r="V785" s="79">
        <f t="shared" si="362"/>
        <v>0</v>
      </c>
      <c r="W785" s="79">
        <f t="shared" si="362"/>
        <v>0</v>
      </c>
      <c r="X785" s="63">
        <f t="shared" si="362"/>
        <v>0</v>
      </c>
      <c r="Y785" s="63">
        <f t="shared" si="362"/>
        <v>0</v>
      </c>
      <c r="Z785" s="63">
        <f t="shared" si="362"/>
        <v>0</v>
      </c>
      <c r="AA785" s="63">
        <f>SUM(G785:Z785)</f>
        <v>0</v>
      </c>
      <c r="AB785" s="58" t="str">
        <f t="shared" si="349"/>
        <v>ok</v>
      </c>
    </row>
    <row r="786" spans="1:28">
      <c r="A786" s="68"/>
      <c r="D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63"/>
      <c r="Y786" s="63"/>
      <c r="Z786" s="63"/>
      <c r="AA786" s="63"/>
      <c r="AB786" s="58"/>
    </row>
    <row r="787" spans="1:28">
      <c r="A787" s="60" t="s">
        <v>207</v>
      </c>
      <c r="AA787" s="64"/>
      <c r="AB787" s="58"/>
    </row>
    <row r="788" spans="1:28" s="60" customFormat="1" hidden="1">
      <c r="B788" s="60" t="s">
        <v>688</v>
      </c>
      <c r="E788" s="60" t="s">
        <v>930</v>
      </c>
      <c r="F788" s="288"/>
      <c r="G788" s="76">
        <f t="shared" ref="G788:P797" si="363">IF(VLOOKUP($E788,$D$6:$AN$1131,3,)=0,0,(VLOOKUP($E788,$D$6:$AN$1131,G$2,)/VLOOKUP($E788,$D$6:$AN$1131,3,))*$F788)</f>
        <v>0</v>
      </c>
      <c r="H788" s="76">
        <f t="shared" si="363"/>
        <v>0</v>
      </c>
      <c r="I788" s="76">
        <f t="shared" si="363"/>
        <v>0</v>
      </c>
      <c r="J788" s="76">
        <f t="shared" si="363"/>
        <v>0</v>
      </c>
      <c r="K788" s="76">
        <f t="shared" si="363"/>
        <v>0</v>
      </c>
      <c r="L788" s="76">
        <f t="shared" si="363"/>
        <v>0</v>
      </c>
      <c r="M788" s="76">
        <f t="shared" si="363"/>
        <v>0</v>
      </c>
      <c r="N788" s="76">
        <f t="shared" si="363"/>
        <v>0</v>
      </c>
      <c r="O788" s="76">
        <f t="shared" si="363"/>
        <v>0</v>
      </c>
      <c r="P788" s="76">
        <f t="shared" si="363"/>
        <v>0</v>
      </c>
      <c r="Q788" s="76">
        <f t="shared" ref="Q788:Z797" si="364">IF(VLOOKUP($E788,$D$6:$AN$1131,3,)=0,0,(VLOOKUP($E788,$D$6:$AN$1131,Q$2,)/VLOOKUP($E788,$D$6:$AN$1131,3,))*$F788)</f>
        <v>0</v>
      </c>
      <c r="R788" s="76">
        <f t="shared" si="364"/>
        <v>0</v>
      </c>
      <c r="S788" s="76">
        <f t="shared" si="364"/>
        <v>0</v>
      </c>
      <c r="T788" s="76">
        <f t="shared" si="364"/>
        <v>0</v>
      </c>
      <c r="U788" s="76">
        <f t="shared" si="364"/>
        <v>0</v>
      </c>
      <c r="V788" s="76">
        <f t="shared" si="364"/>
        <v>0</v>
      </c>
      <c r="W788" s="76">
        <f t="shared" si="364"/>
        <v>0</v>
      </c>
      <c r="X788" s="79">
        <f t="shared" si="364"/>
        <v>0</v>
      </c>
      <c r="Y788" s="79">
        <f t="shared" si="364"/>
        <v>0</v>
      </c>
      <c r="Z788" s="79">
        <f t="shared" si="364"/>
        <v>0</v>
      </c>
      <c r="AA788" s="80">
        <f>SUM(G788:Z788)</f>
        <v>0</v>
      </c>
      <c r="AB788" s="93" t="str">
        <f t="shared" ref="AB788:AB819" si="365">IF(ABS(F788-AA788)&lt;0.01,"ok","err")</f>
        <v>ok</v>
      </c>
    </row>
    <row r="789" spans="1:28" s="60" customFormat="1" hidden="1">
      <c r="B789" s="60" t="s">
        <v>689</v>
      </c>
      <c r="E789" s="60" t="s">
        <v>693</v>
      </c>
      <c r="F789" s="284"/>
      <c r="G789" s="79">
        <f t="shared" si="363"/>
        <v>0</v>
      </c>
      <c r="H789" s="79">
        <f t="shared" si="363"/>
        <v>0</v>
      </c>
      <c r="I789" s="79">
        <f t="shared" si="363"/>
        <v>0</v>
      </c>
      <c r="J789" s="79">
        <f t="shared" si="363"/>
        <v>0</v>
      </c>
      <c r="K789" s="79">
        <f t="shared" si="363"/>
        <v>0</v>
      </c>
      <c r="L789" s="79">
        <f t="shared" si="363"/>
        <v>0</v>
      </c>
      <c r="M789" s="79">
        <f t="shared" si="363"/>
        <v>0</v>
      </c>
      <c r="N789" s="79">
        <f t="shared" si="363"/>
        <v>0</v>
      </c>
      <c r="O789" s="79">
        <f t="shared" si="363"/>
        <v>0</v>
      </c>
      <c r="P789" s="79">
        <f t="shared" si="363"/>
        <v>0</v>
      </c>
      <c r="Q789" s="79">
        <f t="shared" si="364"/>
        <v>0</v>
      </c>
      <c r="R789" s="79">
        <f t="shared" si="364"/>
        <v>0</v>
      </c>
      <c r="S789" s="79">
        <f t="shared" si="364"/>
        <v>0</v>
      </c>
      <c r="T789" s="79">
        <f t="shared" si="364"/>
        <v>0</v>
      </c>
      <c r="U789" s="79">
        <f t="shared" si="364"/>
        <v>0</v>
      </c>
      <c r="V789" s="79">
        <f t="shared" si="364"/>
        <v>0</v>
      </c>
      <c r="W789" s="79">
        <f t="shared" si="364"/>
        <v>0</v>
      </c>
      <c r="X789" s="79">
        <f t="shared" si="364"/>
        <v>0</v>
      </c>
      <c r="Y789" s="79">
        <f t="shared" si="364"/>
        <v>0</v>
      </c>
      <c r="Z789" s="79">
        <f t="shared" si="364"/>
        <v>0</v>
      </c>
      <c r="AA789" s="79">
        <f t="shared" ref="AA789:AA818" si="366">SUM(G789:Z789)</f>
        <v>0</v>
      </c>
      <c r="AB789" s="93" t="str">
        <f t="shared" si="365"/>
        <v>ok</v>
      </c>
    </row>
    <row r="790" spans="1:28" s="60" customFormat="1" hidden="1">
      <c r="B790" s="60" t="s">
        <v>280</v>
      </c>
      <c r="E790" s="60" t="s">
        <v>1246</v>
      </c>
      <c r="F790" s="284"/>
      <c r="G790" s="79">
        <f t="shared" si="363"/>
        <v>0</v>
      </c>
      <c r="H790" s="79">
        <f t="shared" si="363"/>
        <v>0</v>
      </c>
      <c r="I790" s="79">
        <f t="shared" si="363"/>
        <v>0</v>
      </c>
      <c r="J790" s="79">
        <f t="shared" si="363"/>
        <v>0</v>
      </c>
      <c r="K790" s="79">
        <f t="shared" si="363"/>
        <v>0</v>
      </c>
      <c r="L790" s="79">
        <f t="shared" si="363"/>
        <v>0</v>
      </c>
      <c r="M790" s="79">
        <f t="shared" si="363"/>
        <v>0</v>
      </c>
      <c r="N790" s="79">
        <f t="shared" si="363"/>
        <v>0</v>
      </c>
      <c r="O790" s="79">
        <f t="shared" si="363"/>
        <v>0</v>
      </c>
      <c r="P790" s="79">
        <f t="shared" si="363"/>
        <v>0</v>
      </c>
      <c r="Q790" s="79">
        <f t="shared" si="364"/>
        <v>0</v>
      </c>
      <c r="R790" s="79">
        <f t="shared" si="364"/>
        <v>0</v>
      </c>
      <c r="S790" s="79">
        <f t="shared" si="364"/>
        <v>0</v>
      </c>
      <c r="T790" s="79">
        <f t="shared" si="364"/>
        <v>0</v>
      </c>
      <c r="U790" s="79">
        <f t="shared" si="364"/>
        <v>0</v>
      </c>
      <c r="V790" s="79">
        <f t="shared" si="364"/>
        <v>0</v>
      </c>
      <c r="W790" s="79">
        <f t="shared" si="364"/>
        <v>0</v>
      </c>
      <c r="X790" s="79">
        <f t="shared" si="364"/>
        <v>0</v>
      </c>
      <c r="Y790" s="79">
        <f t="shared" si="364"/>
        <v>0</v>
      </c>
      <c r="Z790" s="79">
        <f t="shared" si="364"/>
        <v>0</v>
      </c>
      <c r="AA790" s="79">
        <f>SUM(G790:Z790)</f>
        <v>0</v>
      </c>
      <c r="AB790" s="93" t="str">
        <f t="shared" si="365"/>
        <v>ok</v>
      </c>
    </row>
    <row r="791" spans="1:28" s="60" customFormat="1" hidden="1">
      <c r="B791" s="60" t="s">
        <v>690</v>
      </c>
      <c r="E791" s="60" t="s">
        <v>930</v>
      </c>
      <c r="F791" s="284"/>
      <c r="G791" s="79">
        <f t="shared" si="363"/>
        <v>0</v>
      </c>
      <c r="H791" s="79">
        <f t="shared" si="363"/>
        <v>0</v>
      </c>
      <c r="I791" s="79">
        <f t="shared" si="363"/>
        <v>0</v>
      </c>
      <c r="J791" s="79">
        <f t="shared" si="363"/>
        <v>0</v>
      </c>
      <c r="K791" s="79">
        <f t="shared" si="363"/>
        <v>0</v>
      </c>
      <c r="L791" s="79">
        <f t="shared" si="363"/>
        <v>0</v>
      </c>
      <c r="M791" s="79">
        <f t="shared" si="363"/>
        <v>0</v>
      </c>
      <c r="N791" s="79">
        <f t="shared" si="363"/>
        <v>0</v>
      </c>
      <c r="O791" s="79">
        <f t="shared" si="363"/>
        <v>0</v>
      </c>
      <c r="P791" s="79">
        <f t="shared" si="363"/>
        <v>0</v>
      </c>
      <c r="Q791" s="79">
        <f t="shared" si="364"/>
        <v>0</v>
      </c>
      <c r="R791" s="79">
        <f t="shared" si="364"/>
        <v>0</v>
      </c>
      <c r="S791" s="79">
        <f t="shared" si="364"/>
        <v>0</v>
      </c>
      <c r="T791" s="79">
        <f t="shared" si="364"/>
        <v>0</v>
      </c>
      <c r="U791" s="79">
        <f t="shared" si="364"/>
        <v>0</v>
      </c>
      <c r="V791" s="79">
        <f t="shared" si="364"/>
        <v>0</v>
      </c>
      <c r="W791" s="79">
        <f t="shared" si="364"/>
        <v>0</v>
      </c>
      <c r="X791" s="79">
        <f t="shared" si="364"/>
        <v>0</v>
      </c>
      <c r="Y791" s="79">
        <f t="shared" si="364"/>
        <v>0</v>
      </c>
      <c r="Z791" s="79">
        <f t="shared" si="364"/>
        <v>0</v>
      </c>
      <c r="AA791" s="79">
        <f t="shared" si="366"/>
        <v>0</v>
      </c>
      <c r="AB791" s="93" t="str">
        <f t="shared" si="365"/>
        <v>ok</v>
      </c>
    </row>
    <row r="792" spans="1:28" s="60" customFormat="1" hidden="1">
      <c r="B792" s="60" t="s">
        <v>1302</v>
      </c>
      <c r="E792" s="60" t="s">
        <v>1245</v>
      </c>
      <c r="F792" s="284"/>
      <c r="G792" s="79">
        <f t="shared" si="363"/>
        <v>0</v>
      </c>
      <c r="H792" s="79">
        <f t="shared" si="363"/>
        <v>0</v>
      </c>
      <c r="I792" s="79">
        <f t="shared" si="363"/>
        <v>0</v>
      </c>
      <c r="J792" s="79">
        <f t="shared" si="363"/>
        <v>0</v>
      </c>
      <c r="K792" s="79">
        <f t="shared" si="363"/>
        <v>0</v>
      </c>
      <c r="L792" s="79">
        <f t="shared" si="363"/>
        <v>0</v>
      </c>
      <c r="M792" s="79">
        <f t="shared" si="363"/>
        <v>0</v>
      </c>
      <c r="N792" s="79">
        <f t="shared" si="363"/>
        <v>0</v>
      </c>
      <c r="O792" s="79">
        <f t="shared" si="363"/>
        <v>0</v>
      </c>
      <c r="P792" s="79">
        <f t="shared" si="363"/>
        <v>0</v>
      </c>
      <c r="Q792" s="79">
        <f t="shared" si="364"/>
        <v>0</v>
      </c>
      <c r="R792" s="79">
        <f t="shared" si="364"/>
        <v>0</v>
      </c>
      <c r="S792" s="79">
        <f t="shared" si="364"/>
        <v>0</v>
      </c>
      <c r="T792" s="79">
        <f t="shared" si="364"/>
        <v>0</v>
      </c>
      <c r="U792" s="79">
        <f t="shared" si="364"/>
        <v>0</v>
      </c>
      <c r="V792" s="79">
        <f t="shared" si="364"/>
        <v>0</v>
      </c>
      <c r="W792" s="79">
        <f t="shared" si="364"/>
        <v>0</v>
      </c>
      <c r="X792" s="79">
        <f t="shared" si="364"/>
        <v>0</v>
      </c>
      <c r="Y792" s="79">
        <f t="shared" si="364"/>
        <v>0</v>
      </c>
      <c r="Z792" s="79">
        <f t="shared" si="364"/>
        <v>0</v>
      </c>
      <c r="AA792" s="79">
        <f>SUM(G792:Z792)</f>
        <v>0</v>
      </c>
      <c r="AB792" s="93" t="str">
        <f>IF(ABS(F792-AA792)&lt;0.01,"ok","err")</f>
        <v>ok</v>
      </c>
    </row>
    <row r="793" spans="1:28" s="60" customFormat="1" hidden="1">
      <c r="B793" s="60" t="s">
        <v>1267</v>
      </c>
      <c r="E793" s="60" t="s">
        <v>874</v>
      </c>
      <c r="F793" s="284"/>
      <c r="G793" s="79">
        <f t="shared" si="363"/>
        <v>0</v>
      </c>
      <c r="H793" s="79">
        <f t="shared" si="363"/>
        <v>0</v>
      </c>
      <c r="I793" s="79">
        <f t="shared" si="363"/>
        <v>0</v>
      </c>
      <c r="J793" s="79">
        <f t="shared" si="363"/>
        <v>0</v>
      </c>
      <c r="K793" s="79">
        <f t="shared" si="363"/>
        <v>0</v>
      </c>
      <c r="L793" s="79">
        <f t="shared" si="363"/>
        <v>0</v>
      </c>
      <c r="M793" s="79">
        <f t="shared" si="363"/>
        <v>0</v>
      </c>
      <c r="N793" s="79">
        <f t="shared" si="363"/>
        <v>0</v>
      </c>
      <c r="O793" s="79">
        <f t="shared" si="363"/>
        <v>0</v>
      </c>
      <c r="P793" s="79">
        <f t="shared" si="363"/>
        <v>0</v>
      </c>
      <c r="Q793" s="79">
        <f t="shared" si="364"/>
        <v>0</v>
      </c>
      <c r="R793" s="79">
        <f t="shared" si="364"/>
        <v>0</v>
      </c>
      <c r="S793" s="79">
        <f t="shared" si="364"/>
        <v>0</v>
      </c>
      <c r="T793" s="79">
        <f t="shared" si="364"/>
        <v>0</v>
      </c>
      <c r="U793" s="79">
        <f t="shared" si="364"/>
        <v>0</v>
      </c>
      <c r="V793" s="79">
        <f t="shared" si="364"/>
        <v>0</v>
      </c>
      <c r="W793" s="79">
        <f t="shared" si="364"/>
        <v>0</v>
      </c>
      <c r="X793" s="79">
        <f t="shared" si="364"/>
        <v>0</v>
      </c>
      <c r="Y793" s="79">
        <f t="shared" si="364"/>
        <v>0</v>
      </c>
      <c r="Z793" s="79">
        <f t="shared" si="364"/>
        <v>0</v>
      </c>
      <c r="AA793" s="79">
        <f t="shared" si="366"/>
        <v>0</v>
      </c>
      <c r="AB793" s="93" t="str">
        <f t="shared" si="365"/>
        <v>ok</v>
      </c>
    </row>
    <row r="794" spans="1:28" s="60" customFormat="1" hidden="1">
      <c r="B794" s="60" t="s">
        <v>1264</v>
      </c>
      <c r="E794" s="60" t="s">
        <v>873</v>
      </c>
      <c r="F794" s="284"/>
      <c r="G794" s="79">
        <f t="shared" si="363"/>
        <v>0</v>
      </c>
      <c r="H794" s="79">
        <f t="shared" si="363"/>
        <v>0</v>
      </c>
      <c r="I794" s="79">
        <f t="shared" si="363"/>
        <v>0</v>
      </c>
      <c r="J794" s="79">
        <f t="shared" si="363"/>
        <v>0</v>
      </c>
      <c r="K794" s="79">
        <f t="shared" si="363"/>
        <v>0</v>
      </c>
      <c r="L794" s="79">
        <f t="shared" si="363"/>
        <v>0</v>
      </c>
      <c r="M794" s="79">
        <f t="shared" si="363"/>
        <v>0</v>
      </c>
      <c r="N794" s="79">
        <f t="shared" si="363"/>
        <v>0</v>
      </c>
      <c r="O794" s="79">
        <f t="shared" si="363"/>
        <v>0</v>
      </c>
      <c r="P794" s="79">
        <f t="shared" si="363"/>
        <v>0</v>
      </c>
      <c r="Q794" s="79">
        <f t="shared" si="364"/>
        <v>0</v>
      </c>
      <c r="R794" s="79">
        <f t="shared" si="364"/>
        <v>0</v>
      </c>
      <c r="S794" s="79">
        <f t="shared" si="364"/>
        <v>0</v>
      </c>
      <c r="T794" s="79">
        <f t="shared" si="364"/>
        <v>0</v>
      </c>
      <c r="U794" s="79">
        <f t="shared" si="364"/>
        <v>0</v>
      </c>
      <c r="V794" s="79">
        <f t="shared" si="364"/>
        <v>0</v>
      </c>
      <c r="W794" s="79">
        <f t="shared" si="364"/>
        <v>0</v>
      </c>
      <c r="X794" s="79">
        <f t="shared" si="364"/>
        <v>0</v>
      </c>
      <c r="Y794" s="79">
        <f t="shared" si="364"/>
        <v>0</v>
      </c>
      <c r="Z794" s="79">
        <f t="shared" si="364"/>
        <v>0</v>
      </c>
      <c r="AA794" s="79">
        <f t="shared" si="366"/>
        <v>0</v>
      </c>
      <c r="AB794" s="93" t="str">
        <f t="shared" si="365"/>
        <v>ok</v>
      </c>
    </row>
    <row r="795" spans="1:28" s="60" customFormat="1" hidden="1">
      <c r="B795" s="60" t="s">
        <v>1265</v>
      </c>
      <c r="E795" s="60" t="s">
        <v>532</v>
      </c>
      <c r="F795" s="284"/>
      <c r="G795" s="79">
        <f t="shared" si="363"/>
        <v>0</v>
      </c>
      <c r="H795" s="79">
        <f t="shared" si="363"/>
        <v>0</v>
      </c>
      <c r="I795" s="79">
        <f t="shared" si="363"/>
        <v>0</v>
      </c>
      <c r="J795" s="79">
        <f t="shared" si="363"/>
        <v>0</v>
      </c>
      <c r="K795" s="79">
        <f t="shared" si="363"/>
        <v>0</v>
      </c>
      <c r="L795" s="79">
        <f t="shared" si="363"/>
        <v>0</v>
      </c>
      <c r="M795" s="79">
        <f t="shared" si="363"/>
        <v>0</v>
      </c>
      <c r="N795" s="79">
        <f t="shared" si="363"/>
        <v>0</v>
      </c>
      <c r="O795" s="79">
        <f t="shared" si="363"/>
        <v>0</v>
      </c>
      <c r="P795" s="79">
        <f t="shared" si="363"/>
        <v>0</v>
      </c>
      <c r="Q795" s="79">
        <f t="shared" si="364"/>
        <v>0</v>
      </c>
      <c r="R795" s="79">
        <f t="shared" si="364"/>
        <v>0</v>
      </c>
      <c r="S795" s="79">
        <f t="shared" si="364"/>
        <v>0</v>
      </c>
      <c r="T795" s="79">
        <f t="shared" si="364"/>
        <v>0</v>
      </c>
      <c r="U795" s="79">
        <f t="shared" si="364"/>
        <v>0</v>
      </c>
      <c r="V795" s="79">
        <f t="shared" si="364"/>
        <v>0</v>
      </c>
      <c r="W795" s="79">
        <f t="shared" si="364"/>
        <v>0</v>
      </c>
      <c r="X795" s="79">
        <f t="shared" si="364"/>
        <v>0</v>
      </c>
      <c r="Y795" s="79">
        <f t="shared" si="364"/>
        <v>0</v>
      </c>
      <c r="Z795" s="79">
        <f t="shared" si="364"/>
        <v>0</v>
      </c>
      <c r="AA795" s="79">
        <f t="shared" si="366"/>
        <v>0</v>
      </c>
      <c r="AB795" s="93" t="str">
        <f t="shared" si="365"/>
        <v>ok</v>
      </c>
    </row>
    <row r="796" spans="1:28" s="60" customFormat="1" hidden="1">
      <c r="B796" s="60" t="s">
        <v>1269</v>
      </c>
      <c r="E796" s="60" t="s">
        <v>1108</v>
      </c>
      <c r="F796" s="284"/>
      <c r="G796" s="79">
        <f t="shared" si="363"/>
        <v>0</v>
      </c>
      <c r="H796" s="79">
        <f t="shared" si="363"/>
        <v>0</v>
      </c>
      <c r="I796" s="79">
        <f t="shared" si="363"/>
        <v>0</v>
      </c>
      <c r="J796" s="79">
        <f t="shared" si="363"/>
        <v>0</v>
      </c>
      <c r="K796" s="79">
        <f t="shared" si="363"/>
        <v>0</v>
      </c>
      <c r="L796" s="79">
        <f t="shared" si="363"/>
        <v>0</v>
      </c>
      <c r="M796" s="79">
        <f t="shared" si="363"/>
        <v>0</v>
      </c>
      <c r="N796" s="79">
        <f t="shared" si="363"/>
        <v>0</v>
      </c>
      <c r="O796" s="79">
        <f t="shared" si="363"/>
        <v>0</v>
      </c>
      <c r="P796" s="79">
        <f t="shared" si="363"/>
        <v>0</v>
      </c>
      <c r="Q796" s="79">
        <f t="shared" si="364"/>
        <v>0</v>
      </c>
      <c r="R796" s="79">
        <f t="shared" si="364"/>
        <v>0</v>
      </c>
      <c r="S796" s="79">
        <f t="shared" si="364"/>
        <v>0</v>
      </c>
      <c r="T796" s="79">
        <f t="shared" si="364"/>
        <v>0</v>
      </c>
      <c r="U796" s="79">
        <f t="shared" si="364"/>
        <v>0</v>
      </c>
      <c r="V796" s="79">
        <f t="shared" si="364"/>
        <v>0</v>
      </c>
      <c r="W796" s="79">
        <f t="shared" si="364"/>
        <v>0</v>
      </c>
      <c r="X796" s="79">
        <f t="shared" si="364"/>
        <v>0</v>
      </c>
      <c r="Y796" s="79">
        <f t="shared" si="364"/>
        <v>0</v>
      </c>
      <c r="Z796" s="79">
        <f t="shared" si="364"/>
        <v>0</v>
      </c>
      <c r="AA796" s="79">
        <f t="shared" si="366"/>
        <v>0</v>
      </c>
      <c r="AB796" s="93" t="str">
        <f t="shared" si="365"/>
        <v>ok</v>
      </c>
    </row>
    <row r="797" spans="1:28" s="60" customFormat="1" hidden="1">
      <c r="B797" s="60" t="s">
        <v>1266</v>
      </c>
      <c r="E797" s="60" t="s">
        <v>1108</v>
      </c>
      <c r="F797" s="284"/>
      <c r="G797" s="79">
        <f t="shared" si="363"/>
        <v>0</v>
      </c>
      <c r="H797" s="79">
        <f t="shared" si="363"/>
        <v>0</v>
      </c>
      <c r="I797" s="79">
        <f t="shared" si="363"/>
        <v>0</v>
      </c>
      <c r="J797" s="79">
        <f t="shared" si="363"/>
        <v>0</v>
      </c>
      <c r="K797" s="79">
        <f t="shared" si="363"/>
        <v>0</v>
      </c>
      <c r="L797" s="79">
        <f t="shared" si="363"/>
        <v>0</v>
      </c>
      <c r="M797" s="79">
        <f t="shared" si="363"/>
        <v>0</v>
      </c>
      <c r="N797" s="79">
        <f t="shared" si="363"/>
        <v>0</v>
      </c>
      <c r="O797" s="79">
        <f t="shared" si="363"/>
        <v>0</v>
      </c>
      <c r="P797" s="79">
        <f t="shared" si="363"/>
        <v>0</v>
      </c>
      <c r="Q797" s="79">
        <f t="shared" si="364"/>
        <v>0</v>
      </c>
      <c r="R797" s="79">
        <f t="shared" si="364"/>
        <v>0</v>
      </c>
      <c r="S797" s="79">
        <f t="shared" si="364"/>
        <v>0</v>
      </c>
      <c r="T797" s="79">
        <f t="shared" si="364"/>
        <v>0</v>
      </c>
      <c r="U797" s="79">
        <f t="shared" si="364"/>
        <v>0</v>
      </c>
      <c r="V797" s="79">
        <f t="shared" si="364"/>
        <v>0</v>
      </c>
      <c r="W797" s="79">
        <f t="shared" si="364"/>
        <v>0</v>
      </c>
      <c r="X797" s="79">
        <f t="shared" si="364"/>
        <v>0</v>
      </c>
      <c r="Y797" s="79">
        <f t="shared" si="364"/>
        <v>0</v>
      </c>
      <c r="Z797" s="79">
        <f t="shared" si="364"/>
        <v>0</v>
      </c>
      <c r="AA797" s="79">
        <f t="shared" si="366"/>
        <v>0</v>
      </c>
      <c r="AB797" s="93" t="str">
        <f t="shared" si="365"/>
        <v>ok</v>
      </c>
    </row>
    <row r="798" spans="1:28" s="60" customFormat="1" hidden="1">
      <c r="B798" s="60" t="s">
        <v>1268</v>
      </c>
      <c r="E798" s="60" t="s">
        <v>422</v>
      </c>
      <c r="F798" s="79">
        <v>0</v>
      </c>
      <c r="G798" s="79">
        <f t="shared" ref="G798:P807" si="367">IF(VLOOKUP($E798,$D$6:$AN$1131,3,)=0,0,(VLOOKUP($E798,$D$6:$AN$1131,G$2,)/VLOOKUP($E798,$D$6:$AN$1131,3,))*$F798)</f>
        <v>0</v>
      </c>
      <c r="H798" s="79">
        <f t="shared" si="367"/>
        <v>0</v>
      </c>
      <c r="I798" s="79">
        <f t="shared" si="367"/>
        <v>0</v>
      </c>
      <c r="J798" s="79">
        <f t="shared" si="367"/>
        <v>0</v>
      </c>
      <c r="K798" s="79">
        <f t="shared" si="367"/>
        <v>0</v>
      </c>
      <c r="L798" s="79">
        <f t="shared" si="367"/>
        <v>0</v>
      </c>
      <c r="M798" s="79">
        <f t="shared" si="367"/>
        <v>0</v>
      </c>
      <c r="N798" s="79">
        <f t="shared" si="367"/>
        <v>0</v>
      </c>
      <c r="O798" s="79">
        <f t="shared" si="367"/>
        <v>0</v>
      </c>
      <c r="P798" s="79">
        <f t="shared" si="367"/>
        <v>0</v>
      </c>
      <c r="Q798" s="79">
        <f t="shared" ref="Q798:Z807" si="368">IF(VLOOKUP($E798,$D$6:$AN$1131,3,)=0,0,(VLOOKUP($E798,$D$6:$AN$1131,Q$2,)/VLOOKUP($E798,$D$6:$AN$1131,3,))*$F798)</f>
        <v>0</v>
      </c>
      <c r="R798" s="79">
        <f t="shared" si="368"/>
        <v>0</v>
      </c>
      <c r="S798" s="79">
        <f t="shared" si="368"/>
        <v>0</v>
      </c>
      <c r="T798" s="79">
        <f t="shared" si="368"/>
        <v>0</v>
      </c>
      <c r="U798" s="79">
        <f t="shared" si="368"/>
        <v>0</v>
      </c>
      <c r="V798" s="79">
        <f t="shared" si="368"/>
        <v>0</v>
      </c>
      <c r="W798" s="79">
        <f t="shared" si="368"/>
        <v>0</v>
      </c>
      <c r="X798" s="79">
        <f t="shared" si="368"/>
        <v>0</v>
      </c>
      <c r="Y798" s="79">
        <f t="shared" si="368"/>
        <v>0</v>
      </c>
      <c r="Z798" s="79">
        <f t="shared" si="368"/>
        <v>0</v>
      </c>
      <c r="AA798" s="79">
        <f>SUM(G798:Z798)</f>
        <v>0</v>
      </c>
      <c r="AB798" s="93" t="str">
        <f t="shared" si="365"/>
        <v>ok</v>
      </c>
    </row>
    <row r="799" spans="1:28" s="60" customFormat="1" hidden="1">
      <c r="B799" s="60" t="s">
        <v>1306</v>
      </c>
      <c r="E799" s="60" t="s">
        <v>363</v>
      </c>
      <c r="F799" s="284"/>
      <c r="G799" s="79">
        <f t="shared" si="367"/>
        <v>0</v>
      </c>
      <c r="H799" s="79">
        <f t="shared" si="367"/>
        <v>0</v>
      </c>
      <c r="I799" s="79">
        <f t="shared" si="367"/>
        <v>0</v>
      </c>
      <c r="J799" s="79">
        <f t="shared" si="367"/>
        <v>0</v>
      </c>
      <c r="K799" s="79">
        <f t="shared" si="367"/>
        <v>0</v>
      </c>
      <c r="L799" s="79">
        <f t="shared" si="367"/>
        <v>0</v>
      </c>
      <c r="M799" s="79">
        <f t="shared" si="367"/>
        <v>0</v>
      </c>
      <c r="N799" s="79">
        <f t="shared" si="367"/>
        <v>0</v>
      </c>
      <c r="O799" s="79">
        <f t="shared" si="367"/>
        <v>0</v>
      </c>
      <c r="P799" s="79">
        <f t="shared" si="367"/>
        <v>0</v>
      </c>
      <c r="Q799" s="79">
        <f t="shared" si="368"/>
        <v>0</v>
      </c>
      <c r="R799" s="79">
        <f t="shared" si="368"/>
        <v>0</v>
      </c>
      <c r="S799" s="79">
        <f t="shared" si="368"/>
        <v>0</v>
      </c>
      <c r="T799" s="79">
        <f t="shared" si="368"/>
        <v>0</v>
      </c>
      <c r="U799" s="79">
        <f t="shared" si="368"/>
        <v>0</v>
      </c>
      <c r="V799" s="79">
        <f t="shared" si="368"/>
        <v>0</v>
      </c>
      <c r="W799" s="79">
        <f t="shared" si="368"/>
        <v>0</v>
      </c>
      <c r="X799" s="79">
        <f t="shared" si="368"/>
        <v>0</v>
      </c>
      <c r="Y799" s="79">
        <f t="shared" si="368"/>
        <v>0</v>
      </c>
      <c r="Z799" s="79">
        <f t="shared" si="368"/>
        <v>0</v>
      </c>
      <c r="AA799" s="79">
        <f>SUM(G799:Z799)</f>
        <v>0</v>
      </c>
      <c r="AB799" s="93" t="str">
        <f t="shared" si="365"/>
        <v>ok</v>
      </c>
    </row>
    <row r="800" spans="1:28" s="60" customFormat="1">
      <c r="B800" s="60" t="s">
        <v>1270</v>
      </c>
      <c r="E800" s="60" t="s">
        <v>1113</v>
      </c>
      <c r="F800" s="79">
        <v>-984863.11999999953</v>
      </c>
      <c r="G800" s="79">
        <f t="shared" si="367"/>
        <v>-386923.53298670636</v>
      </c>
      <c r="H800" s="79">
        <f t="shared" si="367"/>
        <v>-138592.30440883758</v>
      </c>
      <c r="I800" s="79">
        <f t="shared" si="367"/>
        <v>0</v>
      </c>
      <c r="J800" s="79">
        <f t="shared" si="367"/>
        <v>-11752.445984316924</v>
      </c>
      <c r="K800" s="79">
        <f t="shared" si="367"/>
        <v>-154658.37963094763</v>
      </c>
      <c r="L800" s="79">
        <f t="shared" si="367"/>
        <v>0</v>
      </c>
      <c r="M800" s="79">
        <f t="shared" si="367"/>
        <v>0</v>
      </c>
      <c r="N800" s="79">
        <f t="shared" si="367"/>
        <v>-119299.96608740593</v>
      </c>
      <c r="O800" s="79">
        <f t="shared" si="367"/>
        <v>-79210.371468209982</v>
      </c>
      <c r="P800" s="79">
        <f t="shared" si="367"/>
        <v>-65593.97070022297</v>
      </c>
      <c r="Q800" s="79">
        <f t="shared" si="368"/>
        <v>-6470.9152665995898</v>
      </c>
      <c r="R800" s="79">
        <f t="shared" si="368"/>
        <v>-3359.8282200867957</v>
      </c>
      <c r="S800" s="79">
        <f t="shared" si="368"/>
        <v>-18510.662428640695</v>
      </c>
      <c r="T800" s="79">
        <f t="shared" si="368"/>
        <v>-215.11291296804271</v>
      </c>
      <c r="U800" s="79">
        <f t="shared" si="368"/>
        <v>-275.62990505709371</v>
      </c>
      <c r="V800" s="79">
        <f t="shared" si="368"/>
        <v>0</v>
      </c>
      <c r="W800" s="79">
        <f t="shared" si="368"/>
        <v>0</v>
      </c>
      <c r="X800" s="79">
        <f t="shared" si="368"/>
        <v>0</v>
      </c>
      <c r="Y800" s="79">
        <f t="shared" si="368"/>
        <v>0</v>
      </c>
      <c r="Z800" s="79">
        <f t="shared" si="368"/>
        <v>0</v>
      </c>
      <c r="AA800" s="79">
        <f t="shared" si="366"/>
        <v>-984863.11999999953</v>
      </c>
      <c r="AB800" s="93" t="str">
        <f t="shared" si="365"/>
        <v>ok</v>
      </c>
    </row>
    <row r="801" spans="2:28" s="60" customFormat="1" hidden="1">
      <c r="B801" s="60" t="s">
        <v>1330</v>
      </c>
      <c r="E801" s="60" t="s">
        <v>510</v>
      </c>
      <c r="F801" s="79">
        <v>0</v>
      </c>
      <c r="G801" s="79">
        <f t="shared" si="367"/>
        <v>0</v>
      </c>
      <c r="H801" s="79">
        <f t="shared" si="367"/>
        <v>0</v>
      </c>
      <c r="I801" s="79">
        <f t="shared" si="367"/>
        <v>0</v>
      </c>
      <c r="J801" s="79">
        <f t="shared" si="367"/>
        <v>0</v>
      </c>
      <c r="K801" s="79">
        <f t="shared" si="367"/>
        <v>0</v>
      </c>
      <c r="L801" s="79">
        <f t="shared" si="367"/>
        <v>0</v>
      </c>
      <c r="M801" s="79">
        <f t="shared" si="367"/>
        <v>0</v>
      </c>
      <c r="N801" s="79">
        <f t="shared" si="367"/>
        <v>0</v>
      </c>
      <c r="O801" s="79">
        <f t="shared" si="367"/>
        <v>0</v>
      </c>
      <c r="P801" s="79">
        <f t="shared" si="367"/>
        <v>0</v>
      </c>
      <c r="Q801" s="79">
        <f t="shared" si="368"/>
        <v>0</v>
      </c>
      <c r="R801" s="79">
        <f t="shared" si="368"/>
        <v>0</v>
      </c>
      <c r="S801" s="79">
        <f t="shared" si="368"/>
        <v>0</v>
      </c>
      <c r="T801" s="79">
        <f t="shared" si="368"/>
        <v>0</v>
      </c>
      <c r="U801" s="79">
        <f t="shared" si="368"/>
        <v>0</v>
      </c>
      <c r="V801" s="79">
        <f t="shared" si="368"/>
        <v>0</v>
      </c>
      <c r="W801" s="79">
        <f t="shared" si="368"/>
        <v>0</v>
      </c>
      <c r="X801" s="79">
        <f t="shared" si="368"/>
        <v>0</v>
      </c>
      <c r="Y801" s="79">
        <f t="shared" si="368"/>
        <v>0</v>
      </c>
      <c r="Z801" s="79">
        <f t="shared" si="368"/>
        <v>0</v>
      </c>
      <c r="AA801" s="79">
        <f>SUM(G801:Z801)</f>
        <v>0</v>
      </c>
      <c r="AB801" s="93" t="str">
        <f t="shared" si="365"/>
        <v>ok</v>
      </c>
    </row>
    <row r="802" spans="2:28" s="60" customFormat="1" hidden="1">
      <c r="B802" s="60" t="s">
        <v>1271</v>
      </c>
      <c r="E802" s="60" t="s">
        <v>363</v>
      </c>
      <c r="F802" s="284"/>
      <c r="G802" s="79">
        <f t="shared" si="367"/>
        <v>0</v>
      </c>
      <c r="H802" s="79">
        <f t="shared" si="367"/>
        <v>0</v>
      </c>
      <c r="I802" s="79">
        <f t="shared" si="367"/>
        <v>0</v>
      </c>
      <c r="J802" s="79">
        <f t="shared" si="367"/>
        <v>0</v>
      </c>
      <c r="K802" s="79">
        <f t="shared" si="367"/>
        <v>0</v>
      </c>
      <c r="L802" s="79">
        <f t="shared" si="367"/>
        <v>0</v>
      </c>
      <c r="M802" s="79">
        <f t="shared" si="367"/>
        <v>0</v>
      </c>
      <c r="N802" s="79">
        <f t="shared" si="367"/>
        <v>0</v>
      </c>
      <c r="O802" s="79">
        <f t="shared" si="367"/>
        <v>0</v>
      </c>
      <c r="P802" s="79">
        <f t="shared" si="367"/>
        <v>0</v>
      </c>
      <c r="Q802" s="79">
        <f t="shared" si="368"/>
        <v>0</v>
      </c>
      <c r="R802" s="79">
        <f t="shared" si="368"/>
        <v>0</v>
      </c>
      <c r="S802" s="79">
        <f t="shared" si="368"/>
        <v>0</v>
      </c>
      <c r="T802" s="79">
        <f t="shared" si="368"/>
        <v>0</v>
      </c>
      <c r="U802" s="79">
        <f t="shared" si="368"/>
        <v>0</v>
      </c>
      <c r="V802" s="79">
        <f t="shared" si="368"/>
        <v>0</v>
      </c>
      <c r="W802" s="79">
        <f t="shared" si="368"/>
        <v>0</v>
      </c>
      <c r="X802" s="79">
        <f t="shared" si="368"/>
        <v>0</v>
      </c>
      <c r="Y802" s="79">
        <f t="shared" si="368"/>
        <v>0</v>
      </c>
      <c r="Z802" s="79">
        <f t="shared" si="368"/>
        <v>0</v>
      </c>
      <c r="AA802" s="79">
        <f>SUM(G802:Z802)</f>
        <v>0</v>
      </c>
      <c r="AB802" s="93" t="str">
        <f t="shared" si="365"/>
        <v>ok</v>
      </c>
    </row>
    <row r="803" spans="2:28" s="60" customFormat="1" hidden="1">
      <c r="B803" s="60" t="s">
        <v>1272</v>
      </c>
      <c r="E803" s="60" t="s">
        <v>1092</v>
      </c>
      <c r="F803" s="284"/>
      <c r="G803" s="79">
        <f t="shared" si="367"/>
        <v>0</v>
      </c>
      <c r="H803" s="79">
        <f t="shared" si="367"/>
        <v>0</v>
      </c>
      <c r="I803" s="79">
        <f t="shared" si="367"/>
        <v>0</v>
      </c>
      <c r="J803" s="79">
        <f t="shared" si="367"/>
        <v>0</v>
      </c>
      <c r="K803" s="79">
        <f t="shared" si="367"/>
        <v>0</v>
      </c>
      <c r="L803" s="79">
        <f t="shared" si="367"/>
        <v>0</v>
      </c>
      <c r="M803" s="79">
        <f t="shared" si="367"/>
        <v>0</v>
      </c>
      <c r="N803" s="79">
        <f t="shared" si="367"/>
        <v>0</v>
      </c>
      <c r="O803" s="79">
        <f t="shared" si="367"/>
        <v>0</v>
      </c>
      <c r="P803" s="79">
        <f t="shared" si="367"/>
        <v>0</v>
      </c>
      <c r="Q803" s="79">
        <f t="shared" si="368"/>
        <v>0</v>
      </c>
      <c r="R803" s="79">
        <f t="shared" si="368"/>
        <v>0</v>
      </c>
      <c r="S803" s="79">
        <f t="shared" si="368"/>
        <v>0</v>
      </c>
      <c r="T803" s="79">
        <f t="shared" si="368"/>
        <v>0</v>
      </c>
      <c r="U803" s="79">
        <f t="shared" si="368"/>
        <v>0</v>
      </c>
      <c r="V803" s="79">
        <f t="shared" si="368"/>
        <v>0</v>
      </c>
      <c r="W803" s="79">
        <f t="shared" si="368"/>
        <v>0</v>
      </c>
      <c r="X803" s="79">
        <f t="shared" si="368"/>
        <v>0</v>
      </c>
      <c r="Y803" s="79">
        <f t="shared" si="368"/>
        <v>0</v>
      </c>
      <c r="Z803" s="79">
        <f t="shared" si="368"/>
        <v>0</v>
      </c>
      <c r="AA803" s="79">
        <f>SUM(G803:Z803)</f>
        <v>0</v>
      </c>
      <c r="AB803" s="93" t="str">
        <f t="shared" si="365"/>
        <v>ok</v>
      </c>
    </row>
    <row r="804" spans="2:28" s="60" customFormat="1" hidden="1">
      <c r="B804" s="60" t="s">
        <v>1273</v>
      </c>
      <c r="E804" s="60" t="s">
        <v>1092</v>
      </c>
      <c r="F804" s="284"/>
      <c r="G804" s="79">
        <f t="shared" si="367"/>
        <v>0</v>
      </c>
      <c r="H804" s="79">
        <f t="shared" si="367"/>
        <v>0</v>
      </c>
      <c r="I804" s="79">
        <f t="shared" si="367"/>
        <v>0</v>
      </c>
      <c r="J804" s="79">
        <f t="shared" si="367"/>
        <v>0</v>
      </c>
      <c r="K804" s="79">
        <f t="shared" si="367"/>
        <v>0</v>
      </c>
      <c r="L804" s="79">
        <f t="shared" si="367"/>
        <v>0</v>
      </c>
      <c r="M804" s="79">
        <f t="shared" si="367"/>
        <v>0</v>
      </c>
      <c r="N804" s="79">
        <f t="shared" si="367"/>
        <v>0</v>
      </c>
      <c r="O804" s="79">
        <f t="shared" si="367"/>
        <v>0</v>
      </c>
      <c r="P804" s="79">
        <f t="shared" si="367"/>
        <v>0</v>
      </c>
      <c r="Q804" s="79">
        <f t="shared" si="368"/>
        <v>0</v>
      </c>
      <c r="R804" s="79">
        <f t="shared" si="368"/>
        <v>0</v>
      </c>
      <c r="S804" s="79">
        <f t="shared" si="368"/>
        <v>0</v>
      </c>
      <c r="T804" s="79">
        <f t="shared" si="368"/>
        <v>0</v>
      </c>
      <c r="U804" s="79">
        <f t="shared" si="368"/>
        <v>0</v>
      </c>
      <c r="V804" s="79">
        <f t="shared" si="368"/>
        <v>0</v>
      </c>
      <c r="W804" s="79">
        <f t="shared" si="368"/>
        <v>0</v>
      </c>
      <c r="X804" s="79">
        <f t="shared" si="368"/>
        <v>0</v>
      </c>
      <c r="Y804" s="79">
        <f t="shared" si="368"/>
        <v>0</v>
      </c>
      <c r="Z804" s="79">
        <f t="shared" si="368"/>
        <v>0</v>
      </c>
      <c r="AA804" s="79">
        <f>SUM(G804:Z804)</f>
        <v>0</v>
      </c>
      <c r="AB804" s="93" t="str">
        <f t="shared" si="365"/>
        <v>ok</v>
      </c>
    </row>
    <row r="805" spans="2:28" s="60" customFormat="1" hidden="1">
      <c r="B805" s="60" t="s">
        <v>691</v>
      </c>
      <c r="E805" s="60" t="s">
        <v>1106</v>
      </c>
      <c r="F805" s="284"/>
      <c r="G805" s="79">
        <f t="shared" si="367"/>
        <v>0</v>
      </c>
      <c r="H805" s="79">
        <f t="shared" si="367"/>
        <v>0</v>
      </c>
      <c r="I805" s="79">
        <f t="shared" si="367"/>
        <v>0</v>
      </c>
      <c r="J805" s="79">
        <f t="shared" si="367"/>
        <v>0</v>
      </c>
      <c r="K805" s="79">
        <f t="shared" si="367"/>
        <v>0</v>
      </c>
      <c r="L805" s="79">
        <f t="shared" si="367"/>
        <v>0</v>
      </c>
      <c r="M805" s="79">
        <f t="shared" si="367"/>
        <v>0</v>
      </c>
      <c r="N805" s="79">
        <f t="shared" si="367"/>
        <v>0</v>
      </c>
      <c r="O805" s="79">
        <f t="shared" si="367"/>
        <v>0</v>
      </c>
      <c r="P805" s="79">
        <f t="shared" si="367"/>
        <v>0</v>
      </c>
      <c r="Q805" s="79">
        <f t="shared" si="368"/>
        <v>0</v>
      </c>
      <c r="R805" s="79">
        <f t="shared" si="368"/>
        <v>0</v>
      </c>
      <c r="S805" s="79">
        <f t="shared" si="368"/>
        <v>0</v>
      </c>
      <c r="T805" s="79">
        <f t="shared" si="368"/>
        <v>0</v>
      </c>
      <c r="U805" s="79">
        <f t="shared" si="368"/>
        <v>0</v>
      </c>
      <c r="V805" s="79">
        <f t="shared" si="368"/>
        <v>0</v>
      </c>
      <c r="W805" s="79">
        <f t="shared" si="368"/>
        <v>0</v>
      </c>
      <c r="X805" s="79">
        <f t="shared" si="368"/>
        <v>0</v>
      </c>
      <c r="Y805" s="79">
        <f t="shared" si="368"/>
        <v>0</v>
      </c>
      <c r="Z805" s="79">
        <f t="shared" si="368"/>
        <v>0</v>
      </c>
      <c r="AA805" s="79">
        <f t="shared" si="366"/>
        <v>0</v>
      </c>
      <c r="AB805" s="93" t="str">
        <f t="shared" si="365"/>
        <v>ok</v>
      </c>
    </row>
    <row r="806" spans="2:28" s="60" customFormat="1" hidden="1">
      <c r="B806" s="60" t="s">
        <v>1307</v>
      </c>
      <c r="E806" s="60" t="s">
        <v>422</v>
      </c>
      <c r="F806" s="284"/>
      <c r="G806" s="79">
        <f t="shared" si="367"/>
        <v>0</v>
      </c>
      <c r="H806" s="79">
        <f t="shared" si="367"/>
        <v>0</v>
      </c>
      <c r="I806" s="79">
        <f t="shared" si="367"/>
        <v>0</v>
      </c>
      <c r="J806" s="79">
        <f t="shared" si="367"/>
        <v>0</v>
      </c>
      <c r="K806" s="79">
        <f t="shared" si="367"/>
        <v>0</v>
      </c>
      <c r="L806" s="79">
        <f t="shared" si="367"/>
        <v>0</v>
      </c>
      <c r="M806" s="79">
        <f t="shared" si="367"/>
        <v>0</v>
      </c>
      <c r="N806" s="79">
        <f t="shared" si="367"/>
        <v>0</v>
      </c>
      <c r="O806" s="79">
        <f t="shared" si="367"/>
        <v>0</v>
      </c>
      <c r="P806" s="79">
        <f t="shared" si="367"/>
        <v>0</v>
      </c>
      <c r="Q806" s="79">
        <f t="shared" si="368"/>
        <v>0</v>
      </c>
      <c r="R806" s="79">
        <f t="shared" si="368"/>
        <v>0</v>
      </c>
      <c r="S806" s="79">
        <f t="shared" si="368"/>
        <v>0</v>
      </c>
      <c r="T806" s="79">
        <f t="shared" si="368"/>
        <v>0</v>
      </c>
      <c r="U806" s="79">
        <f t="shared" si="368"/>
        <v>0</v>
      </c>
      <c r="V806" s="79">
        <f t="shared" si="368"/>
        <v>0</v>
      </c>
      <c r="W806" s="79">
        <f t="shared" si="368"/>
        <v>0</v>
      </c>
      <c r="X806" s="79">
        <f t="shared" si="368"/>
        <v>0</v>
      </c>
      <c r="Y806" s="79">
        <f t="shared" si="368"/>
        <v>0</v>
      </c>
      <c r="Z806" s="79">
        <f t="shared" si="368"/>
        <v>0</v>
      </c>
      <c r="AA806" s="79">
        <f t="shared" si="366"/>
        <v>0</v>
      </c>
      <c r="AB806" s="93" t="str">
        <f t="shared" si="365"/>
        <v>ok</v>
      </c>
    </row>
    <row r="807" spans="2:28" s="60" customFormat="1" hidden="1">
      <c r="B807" s="60" t="s">
        <v>1274</v>
      </c>
      <c r="E807" s="60" t="s">
        <v>363</v>
      </c>
      <c r="F807" s="284"/>
      <c r="G807" s="79">
        <f t="shared" si="367"/>
        <v>0</v>
      </c>
      <c r="H807" s="79">
        <f t="shared" si="367"/>
        <v>0</v>
      </c>
      <c r="I807" s="79">
        <f t="shared" si="367"/>
        <v>0</v>
      </c>
      <c r="J807" s="79">
        <f t="shared" si="367"/>
        <v>0</v>
      </c>
      <c r="K807" s="79">
        <f t="shared" si="367"/>
        <v>0</v>
      </c>
      <c r="L807" s="79">
        <f t="shared" si="367"/>
        <v>0</v>
      </c>
      <c r="M807" s="79">
        <f t="shared" si="367"/>
        <v>0</v>
      </c>
      <c r="N807" s="79">
        <f t="shared" si="367"/>
        <v>0</v>
      </c>
      <c r="O807" s="79">
        <f t="shared" si="367"/>
        <v>0</v>
      </c>
      <c r="P807" s="79">
        <f t="shared" si="367"/>
        <v>0</v>
      </c>
      <c r="Q807" s="79">
        <f t="shared" si="368"/>
        <v>0</v>
      </c>
      <c r="R807" s="79">
        <f t="shared" si="368"/>
        <v>0</v>
      </c>
      <c r="S807" s="79">
        <f t="shared" si="368"/>
        <v>0</v>
      </c>
      <c r="T807" s="79">
        <f t="shared" si="368"/>
        <v>0</v>
      </c>
      <c r="U807" s="79">
        <f t="shared" si="368"/>
        <v>0</v>
      </c>
      <c r="V807" s="79">
        <f t="shared" si="368"/>
        <v>0</v>
      </c>
      <c r="W807" s="79">
        <f t="shared" si="368"/>
        <v>0</v>
      </c>
      <c r="X807" s="79">
        <f t="shared" si="368"/>
        <v>0</v>
      </c>
      <c r="Y807" s="79">
        <f t="shared" si="368"/>
        <v>0</v>
      </c>
      <c r="Z807" s="79">
        <f t="shared" si="368"/>
        <v>0</v>
      </c>
      <c r="AA807" s="79">
        <f t="shared" si="366"/>
        <v>0</v>
      </c>
      <c r="AB807" s="93" t="str">
        <f t="shared" si="365"/>
        <v>ok</v>
      </c>
    </row>
    <row r="808" spans="2:28" s="60" customFormat="1" hidden="1">
      <c r="B808" s="60" t="s">
        <v>1275</v>
      </c>
      <c r="E808" s="60" t="s">
        <v>1092</v>
      </c>
      <c r="F808" s="284"/>
      <c r="G808" s="79">
        <f t="shared" ref="G808:P818" si="369">IF(VLOOKUP($E808,$D$6:$AN$1131,3,)=0,0,(VLOOKUP($E808,$D$6:$AN$1131,G$2,)/VLOOKUP($E808,$D$6:$AN$1131,3,))*$F808)</f>
        <v>0</v>
      </c>
      <c r="H808" s="79">
        <f t="shared" si="369"/>
        <v>0</v>
      </c>
      <c r="I808" s="79">
        <f t="shared" si="369"/>
        <v>0</v>
      </c>
      <c r="J808" s="79">
        <f t="shared" si="369"/>
        <v>0</v>
      </c>
      <c r="K808" s="79">
        <f t="shared" si="369"/>
        <v>0</v>
      </c>
      <c r="L808" s="79">
        <f t="shared" si="369"/>
        <v>0</v>
      </c>
      <c r="M808" s="79">
        <f t="shared" si="369"/>
        <v>0</v>
      </c>
      <c r="N808" s="79">
        <f t="shared" si="369"/>
        <v>0</v>
      </c>
      <c r="O808" s="79">
        <f t="shared" si="369"/>
        <v>0</v>
      </c>
      <c r="P808" s="79">
        <f t="shared" si="369"/>
        <v>0</v>
      </c>
      <c r="Q808" s="79">
        <f t="shared" ref="Q808:Z818" si="370">IF(VLOOKUP($E808,$D$6:$AN$1131,3,)=0,0,(VLOOKUP($E808,$D$6:$AN$1131,Q$2,)/VLOOKUP($E808,$D$6:$AN$1131,3,))*$F808)</f>
        <v>0</v>
      </c>
      <c r="R808" s="79">
        <f t="shared" si="370"/>
        <v>0</v>
      </c>
      <c r="S808" s="79">
        <f t="shared" si="370"/>
        <v>0</v>
      </c>
      <c r="T808" s="79">
        <f t="shared" si="370"/>
        <v>0</v>
      </c>
      <c r="U808" s="79">
        <f t="shared" si="370"/>
        <v>0</v>
      </c>
      <c r="V808" s="79">
        <f t="shared" si="370"/>
        <v>0</v>
      </c>
      <c r="W808" s="79">
        <f t="shared" si="370"/>
        <v>0</v>
      </c>
      <c r="X808" s="79">
        <f t="shared" si="370"/>
        <v>0</v>
      </c>
      <c r="Y808" s="79">
        <f t="shared" si="370"/>
        <v>0</v>
      </c>
      <c r="Z808" s="79">
        <f t="shared" si="370"/>
        <v>0</v>
      </c>
      <c r="AA808" s="79">
        <f t="shared" si="366"/>
        <v>0</v>
      </c>
      <c r="AB808" s="93" t="str">
        <f t="shared" si="365"/>
        <v>ok</v>
      </c>
    </row>
    <row r="809" spans="2:28" s="60" customFormat="1" hidden="1">
      <c r="B809" s="60" t="s">
        <v>1276</v>
      </c>
      <c r="E809" s="60" t="s">
        <v>1104</v>
      </c>
      <c r="F809" s="284"/>
      <c r="G809" s="79">
        <f t="shared" si="369"/>
        <v>0</v>
      </c>
      <c r="H809" s="79">
        <f t="shared" si="369"/>
        <v>0</v>
      </c>
      <c r="I809" s="79">
        <f t="shared" si="369"/>
        <v>0</v>
      </c>
      <c r="J809" s="79">
        <f t="shared" si="369"/>
        <v>0</v>
      </c>
      <c r="K809" s="79">
        <f t="shared" si="369"/>
        <v>0</v>
      </c>
      <c r="L809" s="79">
        <f t="shared" si="369"/>
        <v>0</v>
      </c>
      <c r="M809" s="79">
        <f t="shared" si="369"/>
        <v>0</v>
      </c>
      <c r="N809" s="79">
        <f t="shared" si="369"/>
        <v>0</v>
      </c>
      <c r="O809" s="79">
        <f t="shared" si="369"/>
        <v>0</v>
      </c>
      <c r="P809" s="79">
        <f t="shared" si="369"/>
        <v>0</v>
      </c>
      <c r="Q809" s="79">
        <f t="shared" si="370"/>
        <v>0</v>
      </c>
      <c r="R809" s="79">
        <f t="shared" si="370"/>
        <v>0</v>
      </c>
      <c r="S809" s="79">
        <f t="shared" si="370"/>
        <v>0</v>
      </c>
      <c r="T809" s="79">
        <f t="shared" si="370"/>
        <v>0</v>
      </c>
      <c r="U809" s="79">
        <f t="shared" si="370"/>
        <v>0</v>
      </c>
      <c r="V809" s="79">
        <f t="shared" si="370"/>
        <v>0</v>
      </c>
      <c r="W809" s="79">
        <f t="shared" si="370"/>
        <v>0</v>
      </c>
      <c r="X809" s="79">
        <f t="shared" si="370"/>
        <v>0</v>
      </c>
      <c r="Y809" s="79">
        <f t="shared" si="370"/>
        <v>0</v>
      </c>
      <c r="Z809" s="79">
        <f t="shared" si="370"/>
        <v>0</v>
      </c>
      <c r="AA809" s="79">
        <f t="shared" si="366"/>
        <v>0</v>
      </c>
      <c r="AB809" s="93" t="str">
        <f t="shared" si="365"/>
        <v>ok</v>
      </c>
    </row>
    <row r="810" spans="2:28" s="60" customFormat="1" hidden="1">
      <c r="B810" s="60" t="s">
        <v>1305</v>
      </c>
      <c r="E810" s="60" t="s">
        <v>422</v>
      </c>
      <c r="F810" s="284"/>
      <c r="G810" s="79">
        <f t="shared" si="369"/>
        <v>0</v>
      </c>
      <c r="H810" s="79">
        <f t="shared" si="369"/>
        <v>0</v>
      </c>
      <c r="I810" s="79">
        <f t="shared" si="369"/>
        <v>0</v>
      </c>
      <c r="J810" s="79">
        <f t="shared" si="369"/>
        <v>0</v>
      </c>
      <c r="K810" s="79">
        <f t="shared" si="369"/>
        <v>0</v>
      </c>
      <c r="L810" s="79">
        <f t="shared" si="369"/>
        <v>0</v>
      </c>
      <c r="M810" s="79">
        <f t="shared" si="369"/>
        <v>0</v>
      </c>
      <c r="N810" s="79">
        <f t="shared" si="369"/>
        <v>0</v>
      </c>
      <c r="O810" s="79">
        <f t="shared" si="369"/>
        <v>0</v>
      </c>
      <c r="P810" s="79">
        <f t="shared" si="369"/>
        <v>0</v>
      </c>
      <c r="Q810" s="79">
        <f t="shared" si="370"/>
        <v>0</v>
      </c>
      <c r="R810" s="79">
        <f t="shared" si="370"/>
        <v>0</v>
      </c>
      <c r="S810" s="79">
        <f t="shared" si="370"/>
        <v>0</v>
      </c>
      <c r="T810" s="79">
        <f t="shared" si="370"/>
        <v>0</v>
      </c>
      <c r="U810" s="79">
        <f t="shared" si="370"/>
        <v>0</v>
      </c>
      <c r="V810" s="79">
        <f t="shared" si="370"/>
        <v>0</v>
      </c>
      <c r="W810" s="79">
        <f t="shared" si="370"/>
        <v>0</v>
      </c>
      <c r="X810" s="79">
        <f t="shared" si="370"/>
        <v>0</v>
      </c>
      <c r="Y810" s="79">
        <f t="shared" si="370"/>
        <v>0</v>
      </c>
      <c r="Z810" s="79">
        <f t="shared" si="370"/>
        <v>0</v>
      </c>
      <c r="AA810" s="79">
        <f>SUM(G810:Z810)</f>
        <v>0</v>
      </c>
      <c r="AB810" s="93" t="str">
        <f t="shared" si="365"/>
        <v>ok</v>
      </c>
    </row>
    <row r="811" spans="2:28" s="60" customFormat="1" hidden="1">
      <c r="B811" s="60" t="s">
        <v>1277</v>
      </c>
      <c r="E811" s="60" t="s">
        <v>422</v>
      </c>
      <c r="F811" s="284"/>
      <c r="G811" s="79">
        <f t="shared" si="369"/>
        <v>0</v>
      </c>
      <c r="H811" s="79">
        <f t="shared" si="369"/>
        <v>0</v>
      </c>
      <c r="I811" s="79">
        <f t="shared" si="369"/>
        <v>0</v>
      </c>
      <c r="J811" s="79">
        <f t="shared" si="369"/>
        <v>0</v>
      </c>
      <c r="K811" s="79">
        <f t="shared" si="369"/>
        <v>0</v>
      </c>
      <c r="L811" s="79">
        <f t="shared" si="369"/>
        <v>0</v>
      </c>
      <c r="M811" s="79">
        <f t="shared" si="369"/>
        <v>0</v>
      </c>
      <c r="N811" s="79">
        <f t="shared" si="369"/>
        <v>0</v>
      </c>
      <c r="O811" s="79">
        <f t="shared" si="369"/>
        <v>0</v>
      </c>
      <c r="P811" s="79">
        <f t="shared" si="369"/>
        <v>0</v>
      </c>
      <c r="Q811" s="79">
        <f t="shared" si="370"/>
        <v>0</v>
      </c>
      <c r="R811" s="79">
        <f t="shared" si="370"/>
        <v>0</v>
      </c>
      <c r="S811" s="79">
        <f t="shared" si="370"/>
        <v>0</v>
      </c>
      <c r="T811" s="79">
        <f t="shared" si="370"/>
        <v>0</v>
      </c>
      <c r="U811" s="79">
        <f t="shared" si="370"/>
        <v>0</v>
      </c>
      <c r="V811" s="79">
        <f t="shared" si="370"/>
        <v>0</v>
      </c>
      <c r="W811" s="79">
        <f t="shared" si="370"/>
        <v>0</v>
      </c>
      <c r="X811" s="79">
        <f t="shared" si="370"/>
        <v>0</v>
      </c>
      <c r="Y811" s="79">
        <f t="shared" si="370"/>
        <v>0</v>
      </c>
      <c r="Z811" s="79">
        <f t="shared" si="370"/>
        <v>0</v>
      </c>
      <c r="AA811" s="79">
        <f>SUM(G811:Z811)</f>
        <v>0</v>
      </c>
      <c r="AB811" s="93" t="str">
        <f t="shared" si="365"/>
        <v>ok</v>
      </c>
    </row>
    <row r="812" spans="2:28" s="60" customFormat="1" hidden="1">
      <c r="B812" s="60" t="s">
        <v>1282</v>
      </c>
      <c r="E812" s="60" t="s">
        <v>422</v>
      </c>
      <c r="F812" s="284"/>
      <c r="G812" s="79">
        <f t="shared" si="369"/>
        <v>0</v>
      </c>
      <c r="H812" s="79">
        <f t="shared" si="369"/>
        <v>0</v>
      </c>
      <c r="I812" s="79">
        <f t="shared" si="369"/>
        <v>0</v>
      </c>
      <c r="J812" s="79">
        <f t="shared" si="369"/>
        <v>0</v>
      </c>
      <c r="K812" s="79">
        <f t="shared" si="369"/>
        <v>0</v>
      </c>
      <c r="L812" s="79">
        <f t="shared" si="369"/>
        <v>0</v>
      </c>
      <c r="M812" s="79">
        <f t="shared" si="369"/>
        <v>0</v>
      </c>
      <c r="N812" s="79">
        <f t="shared" si="369"/>
        <v>0</v>
      </c>
      <c r="O812" s="79">
        <f t="shared" si="369"/>
        <v>0</v>
      </c>
      <c r="P812" s="79">
        <f t="shared" si="369"/>
        <v>0</v>
      </c>
      <c r="Q812" s="79">
        <f t="shared" si="370"/>
        <v>0</v>
      </c>
      <c r="R812" s="79">
        <f t="shared" si="370"/>
        <v>0</v>
      </c>
      <c r="S812" s="79">
        <f t="shared" si="370"/>
        <v>0</v>
      </c>
      <c r="T812" s="79">
        <f t="shared" si="370"/>
        <v>0</v>
      </c>
      <c r="U812" s="79">
        <f t="shared" si="370"/>
        <v>0</v>
      </c>
      <c r="V812" s="79">
        <f t="shared" si="370"/>
        <v>0</v>
      </c>
      <c r="W812" s="79">
        <f t="shared" si="370"/>
        <v>0</v>
      </c>
      <c r="X812" s="79">
        <f t="shared" si="370"/>
        <v>0</v>
      </c>
      <c r="Y812" s="79">
        <f t="shared" si="370"/>
        <v>0</v>
      </c>
      <c r="Z812" s="79">
        <f t="shared" si="370"/>
        <v>0</v>
      </c>
      <c r="AA812" s="79">
        <f>SUM(G812:Z812)</f>
        <v>0</v>
      </c>
      <c r="AB812" s="93" t="str">
        <f t="shared" si="365"/>
        <v>ok</v>
      </c>
    </row>
    <row r="813" spans="2:28" s="70" customFormat="1">
      <c r="B813" s="70" t="s">
        <v>1182</v>
      </c>
      <c r="E813" s="70" t="s">
        <v>839</v>
      </c>
      <c r="F813" s="146">
        <f>-2776923-489194-161809-28505+324683+57197</f>
        <v>-3074551</v>
      </c>
      <c r="G813" s="146">
        <f t="shared" si="369"/>
        <v>-156697.0429218905</v>
      </c>
      <c r="H813" s="146">
        <f t="shared" si="369"/>
        <v>-788438.30378043547</v>
      </c>
      <c r="I813" s="146">
        <f t="shared" si="369"/>
        <v>0</v>
      </c>
      <c r="J813" s="146">
        <f t="shared" si="369"/>
        <v>-46964.826915372447</v>
      </c>
      <c r="K813" s="146">
        <f t="shared" si="369"/>
        <v>-935247.35740645544</v>
      </c>
      <c r="L813" s="146">
        <f t="shared" si="369"/>
        <v>0</v>
      </c>
      <c r="M813" s="146">
        <f t="shared" si="369"/>
        <v>0</v>
      </c>
      <c r="N813" s="146">
        <f t="shared" si="369"/>
        <v>-272143.87405034056</v>
      </c>
      <c r="O813" s="146">
        <f t="shared" si="369"/>
        <v>-681772.63141345221</v>
      </c>
      <c r="P813" s="146">
        <f t="shared" si="369"/>
        <v>-76814.033986509807</v>
      </c>
      <c r="Q813" s="146">
        <f t="shared" si="370"/>
        <v>4846.8523230070305</v>
      </c>
      <c r="R813" s="146">
        <f t="shared" si="370"/>
        <v>-549.8676662817395</v>
      </c>
      <c r="S813" s="146">
        <f t="shared" si="370"/>
        <v>-118545.99181689935</v>
      </c>
      <c r="T813" s="146">
        <f t="shared" si="370"/>
        <v>-941.07571152337039</v>
      </c>
      <c r="U813" s="146">
        <f t="shared" si="370"/>
        <v>-1282.8466538469102</v>
      </c>
      <c r="V813" s="146">
        <f t="shared" si="370"/>
        <v>0</v>
      </c>
      <c r="W813" s="146">
        <f t="shared" si="370"/>
        <v>0</v>
      </c>
      <c r="X813" s="146">
        <f t="shared" si="370"/>
        <v>0</v>
      </c>
      <c r="Y813" s="146">
        <f t="shared" si="370"/>
        <v>0</v>
      </c>
      <c r="Z813" s="146">
        <f t="shared" si="370"/>
        <v>0</v>
      </c>
      <c r="AA813" s="146">
        <f t="shared" si="366"/>
        <v>-3074551.0000000009</v>
      </c>
      <c r="AB813" s="144" t="str">
        <f t="shared" si="365"/>
        <v>ok</v>
      </c>
    </row>
    <row r="814" spans="2:28" s="60" customFormat="1">
      <c r="B814" s="60" t="s">
        <v>1183</v>
      </c>
      <c r="E814" s="60" t="s">
        <v>839</v>
      </c>
      <c r="F814" s="147">
        <v>0</v>
      </c>
      <c r="G814" s="147">
        <f t="shared" si="369"/>
        <v>0</v>
      </c>
      <c r="H814" s="147">
        <f t="shared" si="369"/>
        <v>0</v>
      </c>
      <c r="I814" s="147">
        <f t="shared" si="369"/>
        <v>0</v>
      </c>
      <c r="J814" s="147">
        <f t="shared" si="369"/>
        <v>0</v>
      </c>
      <c r="K814" s="147">
        <f t="shared" si="369"/>
        <v>0</v>
      </c>
      <c r="L814" s="147">
        <f t="shared" si="369"/>
        <v>0</v>
      </c>
      <c r="M814" s="147">
        <f t="shared" si="369"/>
        <v>0</v>
      </c>
      <c r="N814" s="147">
        <f t="shared" si="369"/>
        <v>0</v>
      </c>
      <c r="O814" s="147">
        <f t="shared" si="369"/>
        <v>0</v>
      </c>
      <c r="P814" s="147">
        <f t="shared" si="369"/>
        <v>0</v>
      </c>
      <c r="Q814" s="147">
        <f t="shared" si="370"/>
        <v>0</v>
      </c>
      <c r="R814" s="147">
        <f t="shared" si="370"/>
        <v>0</v>
      </c>
      <c r="S814" s="147">
        <f t="shared" si="370"/>
        <v>0</v>
      </c>
      <c r="T814" s="147">
        <f t="shared" si="370"/>
        <v>0</v>
      </c>
      <c r="U814" s="147">
        <f t="shared" si="370"/>
        <v>0</v>
      </c>
      <c r="V814" s="79">
        <f t="shared" si="370"/>
        <v>0</v>
      </c>
      <c r="W814" s="79">
        <f t="shared" si="370"/>
        <v>0</v>
      </c>
      <c r="X814" s="79">
        <f t="shared" si="370"/>
        <v>0</v>
      </c>
      <c r="Y814" s="79">
        <f t="shared" si="370"/>
        <v>0</v>
      </c>
      <c r="Z814" s="79">
        <f t="shared" si="370"/>
        <v>0</v>
      </c>
      <c r="AA814" s="79">
        <f t="shared" si="366"/>
        <v>0</v>
      </c>
      <c r="AB814" s="93" t="str">
        <f t="shared" si="365"/>
        <v>ok</v>
      </c>
    </row>
    <row r="815" spans="2:28" s="60" customFormat="1" hidden="1">
      <c r="B815" s="60" t="s">
        <v>1184</v>
      </c>
      <c r="E815" s="60" t="s">
        <v>839</v>
      </c>
      <c r="F815" s="284"/>
      <c r="G815" s="79">
        <f t="shared" si="369"/>
        <v>0</v>
      </c>
      <c r="H815" s="79">
        <f t="shared" si="369"/>
        <v>0</v>
      </c>
      <c r="I815" s="79">
        <f t="shared" si="369"/>
        <v>0</v>
      </c>
      <c r="J815" s="79">
        <f t="shared" si="369"/>
        <v>0</v>
      </c>
      <c r="K815" s="79">
        <f t="shared" si="369"/>
        <v>0</v>
      </c>
      <c r="L815" s="79">
        <f t="shared" si="369"/>
        <v>0</v>
      </c>
      <c r="M815" s="79">
        <f t="shared" si="369"/>
        <v>0</v>
      </c>
      <c r="N815" s="79">
        <f t="shared" si="369"/>
        <v>0</v>
      </c>
      <c r="O815" s="79">
        <f t="shared" si="369"/>
        <v>0</v>
      </c>
      <c r="P815" s="79">
        <f t="shared" si="369"/>
        <v>0</v>
      </c>
      <c r="Q815" s="79">
        <f t="shared" si="370"/>
        <v>0</v>
      </c>
      <c r="R815" s="79">
        <f t="shared" si="370"/>
        <v>0</v>
      </c>
      <c r="S815" s="79">
        <f t="shared" si="370"/>
        <v>0</v>
      </c>
      <c r="T815" s="79">
        <f t="shared" si="370"/>
        <v>0</v>
      </c>
      <c r="U815" s="79">
        <f t="shared" si="370"/>
        <v>0</v>
      </c>
      <c r="V815" s="79">
        <f t="shared" si="370"/>
        <v>0</v>
      </c>
      <c r="W815" s="79">
        <f t="shared" si="370"/>
        <v>0</v>
      </c>
      <c r="X815" s="79">
        <f t="shared" si="370"/>
        <v>0</v>
      </c>
      <c r="Y815" s="79">
        <f t="shared" si="370"/>
        <v>0</v>
      </c>
      <c r="Z815" s="79">
        <f t="shared" si="370"/>
        <v>0</v>
      </c>
      <c r="AA815" s="79">
        <f t="shared" si="366"/>
        <v>0</v>
      </c>
      <c r="AB815" s="93" t="str">
        <f t="shared" si="365"/>
        <v>ok</v>
      </c>
    </row>
    <row r="816" spans="2:28" s="60" customFormat="1" hidden="1">
      <c r="B816" s="60" t="s">
        <v>1185</v>
      </c>
      <c r="E816" s="60" t="s">
        <v>839</v>
      </c>
      <c r="F816" s="284"/>
      <c r="G816" s="76">
        <f t="shared" si="369"/>
        <v>0</v>
      </c>
      <c r="H816" s="76">
        <f t="shared" si="369"/>
        <v>0</v>
      </c>
      <c r="I816" s="76">
        <f t="shared" si="369"/>
        <v>0</v>
      </c>
      <c r="J816" s="76">
        <f t="shared" si="369"/>
        <v>0</v>
      </c>
      <c r="K816" s="76">
        <f t="shared" si="369"/>
        <v>0</v>
      </c>
      <c r="L816" s="76">
        <f t="shared" si="369"/>
        <v>0</v>
      </c>
      <c r="M816" s="76">
        <f t="shared" si="369"/>
        <v>0</v>
      </c>
      <c r="N816" s="76">
        <f t="shared" si="369"/>
        <v>0</v>
      </c>
      <c r="O816" s="76">
        <f t="shared" si="369"/>
        <v>0</v>
      </c>
      <c r="P816" s="76">
        <f t="shared" si="369"/>
        <v>0</v>
      </c>
      <c r="Q816" s="76">
        <f t="shared" si="370"/>
        <v>0</v>
      </c>
      <c r="R816" s="76">
        <f t="shared" si="370"/>
        <v>0</v>
      </c>
      <c r="S816" s="76">
        <f t="shared" si="370"/>
        <v>0</v>
      </c>
      <c r="T816" s="76">
        <f t="shared" si="370"/>
        <v>0</v>
      </c>
      <c r="U816" s="76">
        <f t="shared" si="370"/>
        <v>0</v>
      </c>
      <c r="V816" s="76">
        <f t="shared" si="370"/>
        <v>0</v>
      </c>
      <c r="W816" s="76">
        <f t="shared" si="370"/>
        <v>0</v>
      </c>
      <c r="X816" s="79">
        <f t="shared" si="370"/>
        <v>0</v>
      </c>
      <c r="Y816" s="79">
        <f t="shared" si="370"/>
        <v>0</v>
      </c>
      <c r="Z816" s="79">
        <f t="shared" si="370"/>
        <v>0</v>
      </c>
      <c r="AA816" s="80">
        <f t="shared" si="366"/>
        <v>0</v>
      </c>
      <c r="AB816" s="93" t="str">
        <f t="shared" si="365"/>
        <v>ok</v>
      </c>
    </row>
    <row r="817" spans="1:54" s="60" customFormat="1" hidden="1">
      <c r="B817" s="60" t="s">
        <v>1186</v>
      </c>
      <c r="E817" s="60" t="s">
        <v>422</v>
      </c>
      <c r="F817" s="284"/>
      <c r="G817" s="76">
        <f t="shared" si="369"/>
        <v>0</v>
      </c>
      <c r="H817" s="76">
        <f t="shared" si="369"/>
        <v>0</v>
      </c>
      <c r="I817" s="76">
        <f t="shared" si="369"/>
        <v>0</v>
      </c>
      <c r="J817" s="76">
        <f t="shared" si="369"/>
        <v>0</v>
      </c>
      <c r="K817" s="76">
        <f t="shared" si="369"/>
        <v>0</v>
      </c>
      <c r="L817" s="76">
        <f t="shared" si="369"/>
        <v>0</v>
      </c>
      <c r="M817" s="76">
        <f t="shared" si="369"/>
        <v>0</v>
      </c>
      <c r="N817" s="76">
        <f t="shared" si="369"/>
        <v>0</v>
      </c>
      <c r="O817" s="76">
        <f t="shared" si="369"/>
        <v>0</v>
      </c>
      <c r="P817" s="76">
        <f t="shared" si="369"/>
        <v>0</v>
      </c>
      <c r="Q817" s="76">
        <f t="shared" si="370"/>
        <v>0</v>
      </c>
      <c r="R817" s="76">
        <f t="shared" si="370"/>
        <v>0</v>
      </c>
      <c r="S817" s="76">
        <f t="shared" si="370"/>
        <v>0</v>
      </c>
      <c r="T817" s="76">
        <f t="shared" si="370"/>
        <v>0</v>
      </c>
      <c r="U817" s="76">
        <f t="shared" si="370"/>
        <v>0</v>
      </c>
      <c r="V817" s="76">
        <f t="shared" si="370"/>
        <v>0</v>
      </c>
      <c r="W817" s="76">
        <f t="shared" si="370"/>
        <v>0</v>
      </c>
      <c r="X817" s="79">
        <f t="shared" si="370"/>
        <v>0</v>
      </c>
      <c r="Y817" s="79">
        <f t="shared" si="370"/>
        <v>0</v>
      </c>
      <c r="Z817" s="79">
        <f t="shared" si="370"/>
        <v>0</v>
      </c>
      <c r="AA817" s="80">
        <f t="shared" si="366"/>
        <v>0</v>
      </c>
      <c r="AB817" s="93" t="str">
        <f t="shared" si="365"/>
        <v>ok</v>
      </c>
    </row>
    <row r="818" spans="1:54" s="60" customFormat="1" hidden="1">
      <c r="B818" s="60" t="s">
        <v>1187</v>
      </c>
      <c r="E818" s="60" t="s">
        <v>422</v>
      </c>
      <c r="F818" s="285"/>
      <c r="G818" s="135">
        <f t="shared" si="369"/>
        <v>0</v>
      </c>
      <c r="H818" s="135">
        <f t="shared" si="369"/>
        <v>0</v>
      </c>
      <c r="I818" s="135">
        <f t="shared" si="369"/>
        <v>0</v>
      </c>
      <c r="J818" s="135">
        <f t="shared" si="369"/>
        <v>0</v>
      </c>
      <c r="K818" s="135">
        <f t="shared" si="369"/>
        <v>0</v>
      </c>
      <c r="L818" s="135">
        <f t="shared" si="369"/>
        <v>0</v>
      </c>
      <c r="M818" s="135">
        <f t="shared" si="369"/>
        <v>0</v>
      </c>
      <c r="N818" s="135">
        <f t="shared" si="369"/>
        <v>0</v>
      </c>
      <c r="O818" s="135">
        <f t="shared" si="369"/>
        <v>0</v>
      </c>
      <c r="P818" s="135">
        <f t="shared" si="369"/>
        <v>0</v>
      </c>
      <c r="Q818" s="135">
        <f t="shared" si="370"/>
        <v>0</v>
      </c>
      <c r="R818" s="135">
        <f t="shared" si="370"/>
        <v>0</v>
      </c>
      <c r="S818" s="135">
        <f t="shared" si="370"/>
        <v>0</v>
      </c>
      <c r="T818" s="135">
        <f t="shared" si="370"/>
        <v>0</v>
      </c>
      <c r="U818" s="135">
        <f t="shared" si="370"/>
        <v>0</v>
      </c>
      <c r="V818" s="135">
        <f t="shared" si="370"/>
        <v>0</v>
      </c>
      <c r="W818" s="135">
        <f t="shared" si="370"/>
        <v>0</v>
      </c>
      <c r="X818" s="79">
        <f t="shared" si="370"/>
        <v>0</v>
      </c>
      <c r="Y818" s="79">
        <f t="shared" si="370"/>
        <v>0</v>
      </c>
      <c r="Z818" s="79">
        <f t="shared" si="370"/>
        <v>0</v>
      </c>
      <c r="AA818" s="136">
        <f t="shared" si="366"/>
        <v>0</v>
      </c>
      <c r="AB818" s="148" t="str">
        <f t="shared" si="365"/>
        <v>ok</v>
      </c>
    </row>
    <row r="819" spans="1:54" s="60" customFormat="1">
      <c r="A819" s="60" t="s">
        <v>708</v>
      </c>
      <c r="F819" s="79">
        <f t="shared" ref="F819:Z819" si="371">SUM(F788:F818)</f>
        <v>-4059414.1199999996</v>
      </c>
      <c r="G819" s="79">
        <f t="shared" si="371"/>
        <v>-543620.57590859686</v>
      </c>
      <c r="H819" s="79">
        <f t="shared" si="371"/>
        <v>-927030.60818927304</v>
      </c>
      <c r="I819" s="79">
        <f t="shared" si="371"/>
        <v>0</v>
      </c>
      <c r="J819" s="79">
        <f t="shared" si="371"/>
        <v>-58717.272899689371</v>
      </c>
      <c r="K819" s="79">
        <f t="shared" si="371"/>
        <v>-1089905.737037403</v>
      </c>
      <c r="L819" s="79">
        <f t="shared" si="371"/>
        <v>0</v>
      </c>
      <c r="M819" s="79">
        <f t="shared" si="371"/>
        <v>0</v>
      </c>
      <c r="N819" s="79">
        <f t="shared" si="371"/>
        <v>-391443.84013774648</v>
      </c>
      <c r="O819" s="79">
        <f>SUM(O788:O818)</f>
        <v>-760983.00288166222</v>
      </c>
      <c r="P819" s="79">
        <f t="shared" si="371"/>
        <v>-142408.00468673278</v>
      </c>
      <c r="Q819" s="79">
        <f t="shared" si="371"/>
        <v>-1624.0629435925593</v>
      </c>
      <c r="R819" s="79">
        <f t="shared" si="371"/>
        <v>-3909.695886368535</v>
      </c>
      <c r="S819" s="79">
        <f t="shared" si="371"/>
        <v>-137056.65424554003</v>
      </c>
      <c r="T819" s="79">
        <f t="shared" si="371"/>
        <v>-1156.1886244914131</v>
      </c>
      <c r="U819" s="79">
        <f t="shared" si="371"/>
        <v>-1558.4765589040039</v>
      </c>
      <c r="V819" s="79">
        <f t="shared" si="371"/>
        <v>0</v>
      </c>
      <c r="W819" s="79">
        <f t="shared" si="371"/>
        <v>0</v>
      </c>
      <c r="X819" s="79">
        <f t="shared" si="371"/>
        <v>0</v>
      </c>
      <c r="Y819" s="79">
        <f t="shared" si="371"/>
        <v>0</v>
      </c>
      <c r="Z819" s="79">
        <f t="shared" si="371"/>
        <v>0</v>
      </c>
      <c r="AA819" s="153">
        <f>SUM(G819:Z819)</f>
        <v>-4059414.1200000006</v>
      </c>
      <c r="AB819" s="144" t="str">
        <f t="shared" si="365"/>
        <v>ok</v>
      </c>
    </row>
    <row r="820" spans="1:54" s="60" customFormat="1">
      <c r="AA820" s="153"/>
      <c r="AB820" s="144"/>
      <c r="AF820" s="149"/>
      <c r="AG820" s="149"/>
      <c r="AH820" s="149"/>
      <c r="AI820" s="149"/>
      <c r="AJ820" s="149"/>
      <c r="AK820" s="149"/>
      <c r="AL820" s="149"/>
      <c r="AM820" s="149"/>
      <c r="AN820" s="149"/>
      <c r="AO820" s="149"/>
      <c r="AP820" s="149"/>
      <c r="AQ820" s="149"/>
      <c r="AR820" s="149"/>
      <c r="AS820" s="149"/>
      <c r="AT820" s="149"/>
      <c r="AU820" s="149"/>
      <c r="AV820" s="149"/>
      <c r="AW820" s="149"/>
      <c r="AX820" s="149"/>
      <c r="AY820" s="149"/>
      <c r="AZ820" s="149"/>
      <c r="BA820" s="149"/>
      <c r="BB820" s="149"/>
    </row>
    <row r="821" spans="1:54" s="60" customFormat="1">
      <c r="A821" s="60" t="s">
        <v>1119</v>
      </c>
      <c r="D821" s="60" t="s">
        <v>1080</v>
      </c>
      <c r="F821" s="80">
        <f t="shared" ref="F821:Z821" si="372">SUM(F774:F818)</f>
        <v>900088775.12269807</v>
      </c>
      <c r="G821" s="80">
        <f t="shared" si="372"/>
        <v>372178374.85302812</v>
      </c>
      <c r="H821" s="80">
        <f t="shared" si="372"/>
        <v>118798755.85954961</v>
      </c>
      <c r="I821" s="80">
        <f t="shared" si="372"/>
        <v>0</v>
      </c>
      <c r="J821" s="80">
        <f t="shared" si="372"/>
        <v>10674314.055227157</v>
      </c>
      <c r="K821" s="80">
        <f t="shared" si="372"/>
        <v>133211477.61188452</v>
      </c>
      <c r="L821" s="80">
        <f t="shared" si="372"/>
        <v>0</v>
      </c>
      <c r="M821" s="80">
        <f t="shared" si="372"/>
        <v>0</v>
      </c>
      <c r="N821" s="80">
        <f t="shared" si="372"/>
        <v>112829253.62369046</v>
      </c>
      <c r="O821" s="80">
        <f>SUM(O774:O818)</f>
        <v>63570257.386154547</v>
      </c>
      <c r="P821" s="80">
        <f t="shared" si="372"/>
        <v>64020027.56778039</v>
      </c>
      <c r="Q821" s="80">
        <f t="shared" si="372"/>
        <v>6504147.9048345136</v>
      </c>
      <c r="R821" s="80">
        <f t="shared" si="372"/>
        <v>3339501.4298508833</v>
      </c>
      <c r="S821" s="80">
        <f t="shared" si="372"/>
        <v>14519175.249503555</v>
      </c>
      <c r="T821" s="80">
        <f t="shared" si="372"/>
        <v>198019.37477549116</v>
      </c>
      <c r="U821" s="80">
        <f t="shared" si="372"/>
        <v>245470.20641885977</v>
      </c>
      <c r="V821" s="80">
        <f t="shared" si="372"/>
        <v>0</v>
      </c>
      <c r="W821" s="80">
        <f t="shared" si="372"/>
        <v>0</v>
      </c>
      <c r="X821" s="80">
        <f t="shared" si="372"/>
        <v>0</v>
      </c>
      <c r="Y821" s="80">
        <f t="shared" si="372"/>
        <v>0</v>
      </c>
      <c r="Z821" s="80">
        <f t="shared" si="372"/>
        <v>0</v>
      </c>
      <c r="AA821" s="80">
        <f>SUM(G821:Z821)</f>
        <v>900088775.12269819</v>
      </c>
      <c r="AB821" s="93" t="str">
        <f>IF(ABS(F821-AA821)&lt;0.01,"ok","err")</f>
        <v>ok</v>
      </c>
    </row>
    <row r="822" spans="1:54" s="60" customFormat="1"/>
    <row r="823" spans="1:54" s="60" customFormat="1" ht="15">
      <c r="A823" s="65" t="s">
        <v>894</v>
      </c>
      <c r="F823" s="80">
        <f t="shared" ref="F823:AA823" si="373">F770-F821</f>
        <v>117112877.33855081</v>
      </c>
      <c r="G823" s="80">
        <f t="shared" si="373"/>
        <v>30512782.745590806</v>
      </c>
      <c r="H823" s="80">
        <f t="shared" si="373"/>
        <v>22176261.412237704</v>
      </c>
      <c r="I823" s="80">
        <f t="shared" si="373"/>
        <v>0</v>
      </c>
      <c r="J823" s="80">
        <f t="shared" si="373"/>
        <v>1467690.0392292999</v>
      </c>
      <c r="K823" s="80">
        <f t="shared" si="373"/>
        <v>25651514.05063726</v>
      </c>
      <c r="L823" s="80">
        <f t="shared" si="373"/>
        <v>0</v>
      </c>
      <c r="M823" s="80">
        <f t="shared" si="373"/>
        <v>0</v>
      </c>
      <c r="N823" s="80">
        <f t="shared" si="373"/>
        <v>11059248.838387489</v>
      </c>
      <c r="O823" s="80">
        <f t="shared" si="373"/>
        <v>17108836.33904691</v>
      </c>
      <c r="P823" s="80">
        <f t="shared" si="373"/>
        <v>4426577.6426410675</v>
      </c>
      <c r="Q823" s="80">
        <f t="shared" si="373"/>
        <v>258737.62673586234</v>
      </c>
      <c r="R823" s="80">
        <f t="shared" si="373"/>
        <v>173773.6879473771</v>
      </c>
      <c r="S823" s="80">
        <f t="shared" si="373"/>
        <v>4216570.7837687712</v>
      </c>
      <c r="T823" s="80">
        <f t="shared" si="373"/>
        <v>24733.098501138127</v>
      </c>
      <c r="U823" s="80">
        <f t="shared" si="373"/>
        <v>36151.073827192478</v>
      </c>
      <c r="V823" s="80">
        <f t="shared" si="373"/>
        <v>0</v>
      </c>
      <c r="W823" s="80">
        <f t="shared" si="373"/>
        <v>0</v>
      </c>
      <c r="X823" s="80">
        <f t="shared" si="373"/>
        <v>0</v>
      </c>
      <c r="Y823" s="80">
        <f t="shared" si="373"/>
        <v>0</v>
      </c>
      <c r="Z823" s="80">
        <f t="shared" si="373"/>
        <v>0</v>
      </c>
      <c r="AA823" s="80">
        <f t="shared" si="373"/>
        <v>117112877.33855069</v>
      </c>
      <c r="AB823" s="93" t="str">
        <f>IF(ABS(F823-AA823)&lt;0.01,"ok","err")</f>
        <v>ok</v>
      </c>
    </row>
    <row r="824" spans="1:54" s="60" customFormat="1" ht="15">
      <c r="A824" s="65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93"/>
    </row>
    <row r="825" spans="1:54" s="60" customFormat="1" ht="15">
      <c r="A825" s="65"/>
      <c r="F825" s="80"/>
      <c r="G825" s="80"/>
      <c r="H825" s="80"/>
      <c r="I825" s="80"/>
      <c r="J825" s="134"/>
      <c r="K825" s="80"/>
      <c r="L825" s="80"/>
      <c r="M825" s="80"/>
      <c r="N825" s="134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93"/>
    </row>
    <row r="826" spans="1:54" s="60" customFormat="1" ht="15">
      <c r="A826" s="65" t="s">
        <v>208</v>
      </c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93"/>
    </row>
    <row r="827" spans="1:54" s="60" customFormat="1" ht="15">
      <c r="A827" s="65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93"/>
    </row>
    <row r="828" spans="1:54" s="60" customFormat="1" ht="15">
      <c r="A828" s="65" t="s">
        <v>894</v>
      </c>
      <c r="F828" s="80">
        <f>F823</f>
        <v>117112877.33855081</v>
      </c>
      <c r="G828" s="80">
        <f t="shared" ref="G828:U828" si="374">G823</f>
        <v>30512782.745590806</v>
      </c>
      <c r="H828" s="80">
        <f t="shared" si="374"/>
        <v>22176261.412237704</v>
      </c>
      <c r="I828" s="80">
        <f t="shared" si="374"/>
        <v>0</v>
      </c>
      <c r="J828" s="80">
        <f t="shared" si="374"/>
        <v>1467690.0392292999</v>
      </c>
      <c r="K828" s="80">
        <f t="shared" si="374"/>
        <v>25651514.05063726</v>
      </c>
      <c r="L828" s="80">
        <f t="shared" si="374"/>
        <v>0</v>
      </c>
      <c r="M828" s="80">
        <f t="shared" si="374"/>
        <v>0</v>
      </c>
      <c r="N828" s="80">
        <f t="shared" si="374"/>
        <v>11059248.838387489</v>
      </c>
      <c r="O828" s="80">
        <f>O823</f>
        <v>17108836.33904691</v>
      </c>
      <c r="P828" s="80">
        <f t="shared" si="374"/>
        <v>4426577.6426410675</v>
      </c>
      <c r="Q828" s="80">
        <f t="shared" si="374"/>
        <v>258737.62673586234</v>
      </c>
      <c r="R828" s="80">
        <f t="shared" si="374"/>
        <v>173773.6879473771</v>
      </c>
      <c r="S828" s="80">
        <f t="shared" si="374"/>
        <v>4216570.7837687712</v>
      </c>
      <c r="T828" s="80">
        <f t="shared" si="374"/>
        <v>24733.098501138127</v>
      </c>
      <c r="U828" s="80">
        <f t="shared" si="374"/>
        <v>36151.073827192478</v>
      </c>
      <c r="V828" s="80"/>
      <c r="W828" s="80"/>
      <c r="X828" s="80"/>
      <c r="Y828" s="80"/>
      <c r="Z828" s="80"/>
      <c r="AA828" s="80"/>
      <c r="AB828" s="93"/>
    </row>
    <row r="829" spans="1:54" s="60" customFormat="1"/>
    <row r="830" spans="1:54" s="60" customFormat="1" ht="15">
      <c r="A830" s="65" t="s">
        <v>1102</v>
      </c>
      <c r="F830" s="80">
        <f t="shared" ref="F830:Z830" si="375">F730</f>
        <v>2380933927.241509</v>
      </c>
      <c r="G830" s="80">
        <f t="shared" si="375"/>
        <v>1151746077.2153518</v>
      </c>
      <c r="H830" s="80">
        <f t="shared" si="375"/>
        <v>302071164.72748941</v>
      </c>
      <c r="I830" s="80">
        <f t="shared" si="375"/>
        <v>0</v>
      </c>
      <c r="J830" s="80">
        <f t="shared" si="375"/>
        <v>22598765.024464671</v>
      </c>
      <c r="K830" s="80">
        <f t="shared" si="375"/>
        <v>290318355.05589318</v>
      </c>
      <c r="L830" s="80">
        <f t="shared" si="375"/>
        <v>0</v>
      </c>
      <c r="M830" s="80">
        <f t="shared" si="375"/>
        <v>0</v>
      </c>
      <c r="N830" s="80">
        <f t="shared" si="375"/>
        <v>242194583.63978818</v>
      </c>
      <c r="O830" s="80">
        <f t="shared" si="375"/>
        <v>143524479.34195939</v>
      </c>
      <c r="P830" s="80">
        <f t="shared" si="375"/>
        <v>127237257.44781397</v>
      </c>
      <c r="Q830" s="80">
        <f t="shared" si="375"/>
        <v>15203335.994018935</v>
      </c>
      <c r="R830" s="80">
        <f t="shared" si="375"/>
        <v>7082689.0574253704</v>
      </c>
      <c r="S830" s="80">
        <f t="shared" si="375"/>
        <v>78174244.52773416</v>
      </c>
      <c r="T830" s="80">
        <f t="shared" si="375"/>
        <v>308732.70736411982</v>
      </c>
      <c r="U830" s="80">
        <f t="shared" si="375"/>
        <v>474242.50220579916</v>
      </c>
      <c r="V830" s="80">
        <f t="shared" si="375"/>
        <v>0</v>
      </c>
      <c r="W830" s="80">
        <f t="shared" si="375"/>
        <v>0</v>
      </c>
      <c r="X830" s="80">
        <f t="shared" si="375"/>
        <v>0</v>
      </c>
      <c r="Y830" s="80">
        <f t="shared" si="375"/>
        <v>0</v>
      </c>
      <c r="Z830" s="80">
        <f t="shared" si="375"/>
        <v>0</v>
      </c>
      <c r="AA830" s="80">
        <f>SUM(G830:Z830)</f>
        <v>2380933927.2415094</v>
      </c>
      <c r="AB830" s="93" t="str">
        <f>IF(ABS(F830-AA830)&lt;0.01,"ok","err")</f>
        <v>ok</v>
      </c>
    </row>
    <row r="831" spans="1:54" s="60" customFormat="1" ht="15">
      <c r="A831" s="65" t="s">
        <v>1308</v>
      </c>
      <c r="E831" s="60" t="s">
        <v>1092</v>
      </c>
      <c r="F831" s="79">
        <v>0</v>
      </c>
      <c r="G831" s="79">
        <f t="shared" ref="G831:P833" si="376">IF(VLOOKUP($E831,$D$6:$AN$1131,3,)=0,0,(VLOOKUP($E831,$D$6:$AN$1131,G$2,)/VLOOKUP($E831,$D$6:$AN$1131,3,))*$F831)</f>
        <v>0</v>
      </c>
      <c r="H831" s="79">
        <f t="shared" si="376"/>
        <v>0</v>
      </c>
      <c r="I831" s="79">
        <f t="shared" si="376"/>
        <v>0</v>
      </c>
      <c r="J831" s="79">
        <f t="shared" si="376"/>
        <v>0</v>
      </c>
      <c r="K831" s="79">
        <f t="shared" si="376"/>
        <v>0</v>
      </c>
      <c r="L831" s="79">
        <f t="shared" si="376"/>
        <v>0</v>
      </c>
      <c r="M831" s="79">
        <f t="shared" si="376"/>
        <v>0</v>
      </c>
      <c r="N831" s="79">
        <f t="shared" si="376"/>
        <v>0</v>
      </c>
      <c r="O831" s="79">
        <f t="shared" si="376"/>
        <v>0</v>
      </c>
      <c r="P831" s="79">
        <f t="shared" si="376"/>
        <v>0</v>
      </c>
      <c r="Q831" s="79">
        <f t="shared" ref="Q831:Z833" si="377">IF(VLOOKUP($E831,$D$6:$AN$1131,3,)=0,0,(VLOOKUP($E831,$D$6:$AN$1131,Q$2,)/VLOOKUP($E831,$D$6:$AN$1131,3,))*$F831)</f>
        <v>0</v>
      </c>
      <c r="R831" s="79">
        <f t="shared" si="377"/>
        <v>0</v>
      </c>
      <c r="S831" s="79">
        <f t="shared" si="377"/>
        <v>0</v>
      </c>
      <c r="T831" s="79">
        <f t="shared" si="377"/>
        <v>0</v>
      </c>
      <c r="U831" s="79">
        <f t="shared" si="377"/>
        <v>0</v>
      </c>
      <c r="V831" s="79">
        <f t="shared" si="377"/>
        <v>0</v>
      </c>
      <c r="W831" s="79">
        <f t="shared" si="377"/>
        <v>0</v>
      </c>
      <c r="X831" s="79">
        <f t="shared" si="377"/>
        <v>0</v>
      </c>
      <c r="Y831" s="79">
        <f t="shared" si="377"/>
        <v>0</v>
      </c>
      <c r="Z831" s="79">
        <f t="shared" si="377"/>
        <v>0</v>
      </c>
      <c r="AA831" s="79">
        <f>SUM(G831:Z831)</f>
        <v>0</v>
      </c>
      <c r="AB831" s="93" t="str">
        <f>IF(ABS(F831-AA831)&lt;0.01,"ok","err")</f>
        <v>ok</v>
      </c>
    </row>
    <row r="832" spans="1:54" s="60" customFormat="1" ht="15">
      <c r="A832" s="65" t="s">
        <v>1164</v>
      </c>
      <c r="E832" s="60" t="s">
        <v>532</v>
      </c>
      <c r="F832" s="79">
        <v>0</v>
      </c>
      <c r="G832" s="79">
        <f t="shared" si="376"/>
        <v>0</v>
      </c>
      <c r="H832" s="79">
        <f t="shared" si="376"/>
        <v>0</v>
      </c>
      <c r="I832" s="79">
        <f t="shared" si="376"/>
        <v>0</v>
      </c>
      <c r="J832" s="79">
        <f t="shared" si="376"/>
        <v>0</v>
      </c>
      <c r="K832" s="79">
        <f t="shared" si="376"/>
        <v>0</v>
      </c>
      <c r="L832" s="79">
        <f t="shared" si="376"/>
        <v>0</v>
      </c>
      <c r="M832" s="79">
        <f t="shared" si="376"/>
        <v>0</v>
      </c>
      <c r="N832" s="79">
        <f t="shared" si="376"/>
        <v>0</v>
      </c>
      <c r="O832" s="79">
        <f t="shared" si="376"/>
        <v>0</v>
      </c>
      <c r="P832" s="79">
        <f t="shared" si="376"/>
        <v>0</v>
      </c>
      <c r="Q832" s="79">
        <f t="shared" si="377"/>
        <v>0</v>
      </c>
      <c r="R832" s="79">
        <f t="shared" si="377"/>
        <v>0</v>
      </c>
      <c r="S832" s="79">
        <f t="shared" si="377"/>
        <v>0</v>
      </c>
      <c r="T832" s="79">
        <f t="shared" si="377"/>
        <v>0</v>
      </c>
      <c r="U832" s="79">
        <f t="shared" si="377"/>
        <v>0</v>
      </c>
      <c r="V832" s="79">
        <f t="shared" si="377"/>
        <v>0</v>
      </c>
      <c r="W832" s="79">
        <f t="shared" si="377"/>
        <v>0</v>
      </c>
      <c r="X832" s="79">
        <f t="shared" si="377"/>
        <v>0</v>
      </c>
      <c r="Y832" s="79">
        <f t="shared" si="377"/>
        <v>0</v>
      </c>
      <c r="Z832" s="79">
        <f t="shared" si="377"/>
        <v>0</v>
      </c>
      <c r="AA832" s="79">
        <f>SUM(G832:Z832)</f>
        <v>0</v>
      </c>
      <c r="AB832" s="93" t="str">
        <f>IF(ABS(F832-AA832)&lt;0.01,"ok","err")</f>
        <v>ok</v>
      </c>
    </row>
    <row r="833" spans="1:28" s="60" customFormat="1" ht="15">
      <c r="A833" s="65" t="s">
        <v>0</v>
      </c>
      <c r="E833" s="60" t="s">
        <v>703</v>
      </c>
      <c r="F833" s="79">
        <v>0</v>
      </c>
      <c r="G833" s="79">
        <f t="shared" si="376"/>
        <v>0</v>
      </c>
      <c r="H833" s="79">
        <f t="shared" si="376"/>
        <v>0</v>
      </c>
      <c r="I833" s="79">
        <f t="shared" si="376"/>
        <v>0</v>
      </c>
      <c r="J833" s="79">
        <f t="shared" si="376"/>
        <v>0</v>
      </c>
      <c r="K833" s="79">
        <f t="shared" si="376"/>
        <v>0</v>
      </c>
      <c r="L833" s="79">
        <f t="shared" si="376"/>
        <v>0</v>
      </c>
      <c r="M833" s="79">
        <f t="shared" si="376"/>
        <v>0</v>
      </c>
      <c r="N833" s="79">
        <f t="shared" si="376"/>
        <v>0</v>
      </c>
      <c r="O833" s="79">
        <f t="shared" si="376"/>
        <v>0</v>
      </c>
      <c r="P833" s="79">
        <f t="shared" si="376"/>
        <v>0</v>
      </c>
      <c r="Q833" s="79">
        <f t="shared" si="377"/>
        <v>0</v>
      </c>
      <c r="R833" s="79">
        <f t="shared" si="377"/>
        <v>0</v>
      </c>
      <c r="S833" s="79">
        <f t="shared" si="377"/>
        <v>0</v>
      </c>
      <c r="T833" s="79">
        <f t="shared" si="377"/>
        <v>0</v>
      </c>
      <c r="U833" s="79">
        <f t="shared" si="377"/>
        <v>0</v>
      </c>
      <c r="V833" s="79">
        <f t="shared" si="377"/>
        <v>0</v>
      </c>
      <c r="W833" s="79">
        <f t="shared" si="377"/>
        <v>0</v>
      </c>
      <c r="X833" s="79">
        <f t="shared" si="377"/>
        <v>0</v>
      </c>
      <c r="Y833" s="79">
        <f t="shared" si="377"/>
        <v>0</v>
      </c>
      <c r="Z833" s="79">
        <f t="shared" si="377"/>
        <v>0</v>
      </c>
      <c r="AA833" s="79">
        <f>SUM(G833:Z833)</f>
        <v>0</v>
      </c>
      <c r="AB833" s="93" t="str">
        <f>IF(ABS(F833-AA833)&lt;0.01,"ok","err")</f>
        <v>ok</v>
      </c>
    </row>
    <row r="834" spans="1:28" s="60" customFormat="1" ht="15">
      <c r="A834" s="65" t="s">
        <v>908</v>
      </c>
      <c r="F834" s="80">
        <f t="shared" ref="F834:Z834" si="378">SUM(F830:F833)</f>
        <v>2380933927.241509</v>
      </c>
      <c r="G834" s="80">
        <f t="shared" si="378"/>
        <v>1151746077.2153518</v>
      </c>
      <c r="H834" s="80">
        <f t="shared" si="378"/>
        <v>302071164.72748941</v>
      </c>
      <c r="I834" s="80">
        <f t="shared" si="378"/>
        <v>0</v>
      </c>
      <c r="J834" s="80">
        <f t="shared" si="378"/>
        <v>22598765.024464671</v>
      </c>
      <c r="K834" s="80">
        <f t="shared" si="378"/>
        <v>290318355.05589318</v>
      </c>
      <c r="L834" s="80">
        <f t="shared" si="378"/>
        <v>0</v>
      </c>
      <c r="M834" s="80">
        <f t="shared" si="378"/>
        <v>0</v>
      </c>
      <c r="N834" s="80">
        <f t="shared" si="378"/>
        <v>242194583.63978818</v>
      </c>
      <c r="O834" s="80">
        <f t="shared" si="378"/>
        <v>143524479.34195939</v>
      </c>
      <c r="P834" s="80">
        <f t="shared" si="378"/>
        <v>127237257.44781397</v>
      </c>
      <c r="Q834" s="80">
        <f t="shared" si="378"/>
        <v>15203335.994018935</v>
      </c>
      <c r="R834" s="80">
        <f t="shared" si="378"/>
        <v>7082689.0574253704</v>
      </c>
      <c r="S834" s="80">
        <f t="shared" si="378"/>
        <v>78174244.52773416</v>
      </c>
      <c r="T834" s="80">
        <f t="shared" si="378"/>
        <v>308732.70736411982</v>
      </c>
      <c r="U834" s="80">
        <f t="shared" si="378"/>
        <v>474242.50220579916</v>
      </c>
      <c r="V834" s="80">
        <f t="shared" si="378"/>
        <v>0</v>
      </c>
      <c r="W834" s="80">
        <f t="shared" si="378"/>
        <v>0</v>
      </c>
      <c r="X834" s="80">
        <f t="shared" si="378"/>
        <v>0</v>
      </c>
      <c r="Y834" s="80">
        <f t="shared" si="378"/>
        <v>0</v>
      </c>
      <c r="Z834" s="80">
        <f t="shared" si="378"/>
        <v>0</v>
      </c>
      <c r="AA834" s="80">
        <f>SUM(G834:Z834)</f>
        <v>2380933927.2415094</v>
      </c>
      <c r="AB834" s="93" t="str">
        <f>IF(ABS(F834-AA834)&lt;0.01,"ok","err")</f>
        <v>ok</v>
      </c>
    </row>
    <row r="835" spans="1:28" s="60" customFormat="1" ht="15" thickBot="1"/>
    <row r="836" spans="1:28" s="60" customFormat="1" ht="15.75" thickBot="1">
      <c r="A836" s="282" t="s">
        <v>1120</v>
      </c>
      <c r="B836" s="150"/>
      <c r="C836" s="150"/>
      <c r="D836" s="150"/>
      <c r="E836" s="150"/>
      <c r="F836" s="151">
        <f t="shared" ref="F836:Z836" si="379">F823/F834</f>
        <v>4.9187789715036269E-2</v>
      </c>
      <c r="G836" s="151">
        <f t="shared" si="379"/>
        <v>2.6492630059017402E-2</v>
      </c>
      <c r="H836" s="151">
        <f t="shared" si="379"/>
        <v>7.3414029545798606E-2</v>
      </c>
      <c r="I836" s="151" t="e">
        <f t="shared" si="379"/>
        <v>#DIV/0!</v>
      </c>
      <c r="J836" s="151">
        <f t="shared" si="379"/>
        <v>6.4945586081382206E-2</v>
      </c>
      <c r="K836" s="151">
        <f t="shared" si="379"/>
        <v>8.8356501075168792E-2</v>
      </c>
      <c r="L836" s="151" t="e">
        <f t="shared" si="379"/>
        <v>#DIV/0!</v>
      </c>
      <c r="M836" s="151" t="e">
        <f t="shared" si="379"/>
        <v>#DIV/0!</v>
      </c>
      <c r="N836" s="151">
        <f t="shared" si="379"/>
        <v>4.5662659635839417E-2</v>
      </c>
      <c r="O836" s="151">
        <f t="shared" si="379"/>
        <v>0.11920500542826315</v>
      </c>
      <c r="P836" s="151">
        <f t="shared" si="379"/>
        <v>3.4789948568772135E-2</v>
      </c>
      <c r="Q836" s="151">
        <f t="shared" si="379"/>
        <v>1.7018477184063484E-2</v>
      </c>
      <c r="R836" s="151">
        <f t="shared" si="379"/>
        <v>2.4534987564531825E-2</v>
      </c>
      <c r="S836" s="151">
        <f t="shared" si="379"/>
        <v>5.3938107227538903E-2</v>
      </c>
      <c r="T836" s="151">
        <f t="shared" si="379"/>
        <v>8.0111688561613506E-2</v>
      </c>
      <c r="U836" s="151">
        <f t="shared" si="379"/>
        <v>7.6229088829125227E-2</v>
      </c>
      <c r="V836" s="151" t="e">
        <f t="shared" si="379"/>
        <v>#DIV/0!</v>
      </c>
      <c r="W836" s="151" t="e">
        <f t="shared" si="379"/>
        <v>#DIV/0!</v>
      </c>
      <c r="X836" s="151" t="e">
        <f t="shared" si="379"/>
        <v>#DIV/0!</v>
      </c>
      <c r="Y836" s="151" t="e">
        <f t="shared" si="379"/>
        <v>#DIV/0!</v>
      </c>
      <c r="Z836" s="151" t="e">
        <f t="shared" si="379"/>
        <v>#DIV/0!</v>
      </c>
      <c r="AA836" s="139"/>
      <c r="AB836" s="139"/>
    </row>
    <row r="837" spans="1:28" s="60" customFormat="1"/>
    <row r="838" spans="1:28" s="60" customFormat="1" ht="15">
      <c r="A838" s="65" t="s">
        <v>842</v>
      </c>
    </row>
    <row r="839" spans="1:28" s="60" customFormat="1"/>
    <row r="840" spans="1:28" s="60" customFormat="1">
      <c r="A840" s="60" t="s">
        <v>837</v>
      </c>
      <c r="F840" s="80">
        <f t="shared" ref="F840:Z840" si="380">F770</f>
        <v>1017201652.4612489</v>
      </c>
      <c r="G840" s="80">
        <f t="shared" si="380"/>
        <v>402691157.59861892</v>
      </c>
      <c r="H840" s="80">
        <f t="shared" si="380"/>
        <v>140975017.27178732</v>
      </c>
      <c r="I840" s="80">
        <f t="shared" si="380"/>
        <v>0</v>
      </c>
      <c r="J840" s="80">
        <f t="shared" si="380"/>
        <v>12142004.094456457</v>
      </c>
      <c r="K840" s="80">
        <f t="shared" si="380"/>
        <v>158862991.66252178</v>
      </c>
      <c r="L840" s="80">
        <f t="shared" si="380"/>
        <v>0</v>
      </c>
      <c r="M840" s="80">
        <f t="shared" si="380"/>
        <v>0</v>
      </c>
      <c r="N840" s="80">
        <f t="shared" si="380"/>
        <v>123888502.46207795</v>
      </c>
      <c r="O840" s="80">
        <f t="shared" si="380"/>
        <v>80679093.725201458</v>
      </c>
      <c r="P840" s="80">
        <f t="shared" si="380"/>
        <v>68446605.210421458</v>
      </c>
      <c r="Q840" s="80">
        <f t="shared" si="380"/>
        <v>6762885.5315703759</v>
      </c>
      <c r="R840" s="80">
        <f t="shared" si="380"/>
        <v>3513275.1177982604</v>
      </c>
      <c r="S840" s="80">
        <f t="shared" si="380"/>
        <v>18735746.033272326</v>
      </c>
      <c r="T840" s="80">
        <f t="shared" si="380"/>
        <v>222752.47327662929</v>
      </c>
      <c r="U840" s="80">
        <f t="shared" si="380"/>
        <v>281621.28024605225</v>
      </c>
      <c r="V840" s="80">
        <f t="shared" si="380"/>
        <v>0</v>
      </c>
      <c r="W840" s="80">
        <f t="shared" si="380"/>
        <v>0</v>
      </c>
      <c r="X840" s="80">
        <f t="shared" si="380"/>
        <v>0</v>
      </c>
      <c r="Y840" s="80">
        <f t="shared" si="380"/>
        <v>0</v>
      </c>
      <c r="Z840" s="80">
        <f t="shared" si="380"/>
        <v>0</v>
      </c>
      <c r="AA840" s="80">
        <f>SUM(G840:Z840)</f>
        <v>1017201652.4612489</v>
      </c>
      <c r="AB840" s="93" t="str">
        <f>IF(ABS(F840-AA840)&lt;0.01,"ok","err")</f>
        <v>ok</v>
      </c>
    </row>
    <row r="841" spans="1:28" s="60" customFormat="1"/>
    <row r="842" spans="1:28" s="60" customFormat="1">
      <c r="A842" s="60" t="s">
        <v>1116</v>
      </c>
      <c r="F842" s="80">
        <f t="shared" ref="F842:Z842" si="381">F774+F775+F777+F780+F781+F782+F784+F785+F819</f>
        <v>851931689.12269807</v>
      </c>
      <c r="G842" s="80">
        <f t="shared" si="381"/>
        <v>369724009.00515795</v>
      </c>
      <c r="H842" s="80">
        <f t="shared" si="381"/>
        <v>106449345.75028534</v>
      </c>
      <c r="I842" s="80">
        <f t="shared" si="381"/>
        <v>0</v>
      </c>
      <c r="J842" s="80">
        <f t="shared" si="381"/>
        <v>9938697.9575469736</v>
      </c>
      <c r="K842" s="80">
        <f t="shared" si="381"/>
        <v>118562578.49721855</v>
      </c>
      <c r="L842" s="80">
        <f t="shared" si="381"/>
        <v>0</v>
      </c>
      <c r="M842" s="80">
        <f t="shared" si="381"/>
        <v>0</v>
      </c>
      <c r="N842" s="80">
        <f t="shared" si="381"/>
        <v>108566629.27723613</v>
      </c>
      <c r="O842" s="80">
        <f t="shared" si="381"/>
        <v>52891565.361392587</v>
      </c>
      <c r="P842" s="80">
        <f t="shared" si="381"/>
        <v>62816879.517643869</v>
      </c>
      <c r="Q842" s="80">
        <f t="shared" si="381"/>
        <v>6580064.7733946219</v>
      </c>
      <c r="R842" s="80">
        <f t="shared" si="381"/>
        <v>3330888.7821850129</v>
      </c>
      <c r="S842" s="80">
        <f t="shared" si="381"/>
        <v>12662374.200218074</v>
      </c>
      <c r="T842" s="80">
        <f t="shared" si="381"/>
        <v>183279.1854039887</v>
      </c>
      <c r="U842" s="80">
        <f t="shared" si="381"/>
        <v>225376.81501500341</v>
      </c>
      <c r="V842" s="80">
        <f t="shared" si="381"/>
        <v>0</v>
      </c>
      <c r="W842" s="80">
        <f t="shared" si="381"/>
        <v>0</v>
      </c>
      <c r="X842" s="80">
        <f t="shared" si="381"/>
        <v>0</v>
      </c>
      <c r="Y842" s="80">
        <f t="shared" si="381"/>
        <v>0</v>
      </c>
      <c r="Z842" s="80">
        <f t="shared" si="381"/>
        <v>0</v>
      </c>
      <c r="AA842" s="80">
        <f>SUM(G842:Z842)</f>
        <v>851931689.12269783</v>
      </c>
      <c r="AB842" s="93" t="str">
        <f>IF(ABS(F842-AA842)&lt;0.01,"ok","err")</f>
        <v>ok</v>
      </c>
    </row>
    <row r="843" spans="1:28" s="60" customFormat="1"/>
    <row r="844" spans="1:28" s="60" customFormat="1">
      <c r="A844" s="60" t="s">
        <v>838</v>
      </c>
      <c r="D844" s="60" t="s">
        <v>843</v>
      </c>
      <c r="F844" s="153">
        <f t="shared" ref="F844:Z844" si="382">F691</f>
        <v>62185554.183806494</v>
      </c>
      <c r="G844" s="153">
        <f t="shared" si="382"/>
        <v>30245175.128357016</v>
      </c>
      <c r="H844" s="153">
        <f t="shared" si="382"/>
        <v>7893136.8616490923</v>
      </c>
      <c r="I844" s="153">
        <f t="shared" si="382"/>
        <v>0</v>
      </c>
      <c r="J844" s="153">
        <f t="shared" si="382"/>
        <v>583898.26375443523</v>
      </c>
      <c r="K844" s="153">
        <f t="shared" si="382"/>
        <v>7528723.6289021643</v>
      </c>
      <c r="L844" s="153">
        <f t="shared" si="382"/>
        <v>0</v>
      </c>
      <c r="M844" s="153">
        <f t="shared" si="382"/>
        <v>0</v>
      </c>
      <c r="N844" s="153">
        <f t="shared" si="382"/>
        <v>6252840.9339411771</v>
      </c>
      <c r="O844" s="153">
        <f t="shared" si="382"/>
        <v>3737964.8383186734</v>
      </c>
      <c r="P844" s="153">
        <f t="shared" si="382"/>
        <v>3264548.9141497239</v>
      </c>
      <c r="Q844" s="153">
        <f t="shared" si="382"/>
        <v>393295.0592991946</v>
      </c>
      <c r="R844" s="153">
        <f t="shared" si="382"/>
        <v>182377.02075575007</v>
      </c>
      <c r="S844" s="153">
        <f t="shared" si="382"/>
        <v>2083547.4240824259</v>
      </c>
      <c r="T844" s="153">
        <f t="shared" si="382"/>
        <v>7827.6899862554428</v>
      </c>
      <c r="U844" s="153">
        <f t="shared" si="382"/>
        <v>12218.420610588899</v>
      </c>
      <c r="V844" s="153">
        <f t="shared" si="382"/>
        <v>0</v>
      </c>
      <c r="W844" s="153">
        <f t="shared" si="382"/>
        <v>0</v>
      </c>
      <c r="X844" s="153">
        <f t="shared" si="382"/>
        <v>0</v>
      </c>
      <c r="Y844" s="153">
        <f t="shared" si="382"/>
        <v>0</v>
      </c>
      <c r="Z844" s="153">
        <f t="shared" si="382"/>
        <v>0</v>
      </c>
      <c r="AA844" s="153">
        <f>SUM(G844:Z844)</f>
        <v>62185554.183806509</v>
      </c>
      <c r="AB844" s="93" t="str">
        <f>IF(ABS(F844-AA844)&lt;0.01,"ok","err")</f>
        <v>ok</v>
      </c>
    </row>
    <row r="845" spans="1:28" s="60" customFormat="1">
      <c r="F845" s="153"/>
      <c r="G845" s="153"/>
      <c r="H845" s="153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  <c r="AA845" s="153"/>
      <c r="AB845" s="93"/>
    </row>
    <row r="846" spans="1:28" s="60" customFormat="1">
      <c r="A846" s="60" t="s">
        <v>844</v>
      </c>
      <c r="E846" s="60" t="s">
        <v>843</v>
      </c>
      <c r="F846" s="136">
        <f>6252540+1101472</f>
        <v>7354012</v>
      </c>
      <c r="G846" s="135">
        <f t="shared" ref="G846:Z846" si="383">IF(VLOOKUP($E846,$D$6:$AN$1131,3,)=0,0,(VLOOKUP($E846,$D$6:$AN$1131,G$2,)/VLOOKUP($E846,$D$6:$AN$1131,3,))*$F846)</f>
        <v>3576769.2956246012</v>
      </c>
      <c r="H846" s="135">
        <f t="shared" si="383"/>
        <v>933435.81093831209</v>
      </c>
      <c r="I846" s="135">
        <f t="shared" si="383"/>
        <v>0</v>
      </c>
      <c r="J846" s="135">
        <f t="shared" si="383"/>
        <v>69051.323812877832</v>
      </c>
      <c r="K846" s="135">
        <f t="shared" si="383"/>
        <v>890340.60463592038</v>
      </c>
      <c r="L846" s="135">
        <f t="shared" si="383"/>
        <v>0</v>
      </c>
      <c r="M846" s="135">
        <f t="shared" si="383"/>
        <v>0</v>
      </c>
      <c r="N846" s="135">
        <f t="shared" si="383"/>
        <v>739455.77660010639</v>
      </c>
      <c r="O846" s="135">
        <f t="shared" si="383"/>
        <v>442048.61784012051</v>
      </c>
      <c r="P846" s="135">
        <f t="shared" si="383"/>
        <v>386062.84376405459</v>
      </c>
      <c r="Q846" s="135">
        <f t="shared" si="383"/>
        <v>46510.747127508286</v>
      </c>
      <c r="R846" s="135">
        <f t="shared" si="383"/>
        <v>21567.75503194426</v>
      </c>
      <c r="S846" s="135">
        <f t="shared" si="383"/>
        <v>246398.58823130513</v>
      </c>
      <c r="T846" s="135">
        <f t="shared" si="383"/>
        <v>925.69611780017931</v>
      </c>
      <c r="U846" s="135">
        <f t="shared" si="383"/>
        <v>1444.9402754493219</v>
      </c>
      <c r="V846" s="135">
        <f t="shared" si="383"/>
        <v>0</v>
      </c>
      <c r="W846" s="135">
        <f t="shared" si="383"/>
        <v>0</v>
      </c>
      <c r="X846" s="79">
        <f t="shared" si="383"/>
        <v>0</v>
      </c>
      <c r="Y846" s="79">
        <f t="shared" si="383"/>
        <v>0</v>
      </c>
      <c r="Z846" s="79">
        <f t="shared" si="383"/>
        <v>0</v>
      </c>
      <c r="AA846" s="136">
        <f>SUM(G846:Z846)</f>
        <v>7354012</v>
      </c>
      <c r="AB846" s="93" t="str">
        <f>IF(ABS(F846-AA846)&lt;0.01,"ok","err")</f>
        <v>ok</v>
      </c>
    </row>
    <row r="847" spans="1:28" s="60" customFormat="1"/>
    <row r="848" spans="1:28" s="60" customFormat="1">
      <c r="A848" s="60" t="s">
        <v>836</v>
      </c>
      <c r="D848" s="60" t="s">
        <v>845</v>
      </c>
      <c r="F848" s="80">
        <f>F840-F842-F844-F846</f>
        <v>95730397.154744312</v>
      </c>
      <c r="G848" s="80">
        <f t="shared" ref="G848:Z848" si="384">G840-G842-G844-G846</f>
        <v>-854795.83052063966</v>
      </c>
      <c r="H848" s="80">
        <f t="shared" si="384"/>
        <v>25699098.848914567</v>
      </c>
      <c r="I848" s="80">
        <f t="shared" si="384"/>
        <v>0</v>
      </c>
      <c r="J848" s="80">
        <f t="shared" si="384"/>
        <v>1550356.5493421699</v>
      </c>
      <c r="K848" s="80">
        <f t="shared" si="384"/>
        <v>31881348.931765147</v>
      </c>
      <c r="L848" s="80">
        <f t="shared" si="384"/>
        <v>0</v>
      </c>
      <c r="M848" s="80">
        <f t="shared" si="384"/>
        <v>0</v>
      </c>
      <c r="N848" s="80">
        <f t="shared" si="384"/>
        <v>8329576.474300527</v>
      </c>
      <c r="O848" s="80">
        <f>O840-O842-O844-O846</f>
        <v>23607514.90765008</v>
      </c>
      <c r="P848" s="80">
        <f t="shared" si="384"/>
        <v>1979113.9348638104</v>
      </c>
      <c r="Q848" s="80">
        <f t="shared" si="384"/>
        <v>-256985.04825094889</v>
      </c>
      <c r="R848" s="80">
        <f t="shared" si="384"/>
        <v>-21558.440174446856</v>
      </c>
      <c r="S848" s="80">
        <f t="shared" si="384"/>
        <v>3743425.820740521</v>
      </c>
      <c r="T848" s="80">
        <f t="shared" si="384"/>
        <v>30719.901768584969</v>
      </c>
      <c r="U848" s="80">
        <f t="shared" si="384"/>
        <v>42581.104345010623</v>
      </c>
      <c r="V848" s="80">
        <f t="shared" si="384"/>
        <v>0</v>
      </c>
      <c r="W848" s="80">
        <f t="shared" si="384"/>
        <v>0</v>
      </c>
      <c r="X848" s="80">
        <f t="shared" si="384"/>
        <v>0</v>
      </c>
      <c r="Y848" s="80">
        <f t="shared" si="384"/>
        <v>0</v>
      </c>
      <c r="Z848" s="80">
        <f t="shared" si="384"/>
        <v>0</v>
      </c>
      <c r="AA848" s="80">
        <f>SUM(G848:Z848)</f>
        <v>95730397.154744372</v>
      </c>
      <c r="AB848" s="93" t="str">
        <f>IF(ABS(F848-AA848)&lt;0.01,"ok","err")</f>
        <v>ok</v>
      </c>
    </row>
    <row r="849" spans="1:28" s="60" customFormat="1"/>
    <row r="850" spans="1:28" s="60" customFormat="1" hidden="1"/>
    <row r="851" spans="1:28" s="60" customFormat="1" ht="15" hidden="1">
      <c r="A851" s="65" t="s">
        <v>1314</v>
      </c>
    </row>
    <row r="852" spans="1:28" s="60" customFormat="1" hidden="1"/>
    <row r="853" spans="1:28" s="60" customFormat="1" ht="15" hidden="1">
      <c r="A853" s="65" t="s">
        <v>1112</v>
      </c>
    </row>
    <row r="854" spans="1:28" s="60" customFormat="1" hidden="1"/>
    <row r="855" spans="1:28" s="60" customFormat="1" hidden="1">
      <c r="A855" s="60" t="s">
        <v>134</v>
      </c>
      <c r="F855" s="80">
        <f t="shared" ref="F855:Z855" si="385">F770</f>
        <v>1017201652.4612489</v>
      </c>
      <c r="G855" s="80">
        <f t="shared" si="385"/>
        <v>402691157.59861892</v>
      </c>
      <c r="H855" s="80">
        <f t="shared" si="385"/>
        <v>140975017.27178732</v>
      </c>
      <c r="I855" s="80">
        <f t="shared" si="385"/>
        <v>0</v>
      </c>
      <c r="J855" s="80">
        <f t="shared" si="385"/>
        <v>12142004.094456457</v>
      </c>
      <c r="K855" s="80">
        <f t="shared" si="385"/>
        <v>158862991.66252178</v>
      </c>
      <c r="L855" s="80">
        <f t="shared" si="385"/>
        <v>0</v>
      </c>
      <c r="M855" s="80">
        <f t="shared" si="385"/>
        <v>0</v>
      </c>
      <c r="N855" s="80">
        <f t="shared" si="385"/>
        <v>123888502.46207795</v>
      </c>
      <c r="O855" s="80">
        <f t="shared" si="385"/>
        <v>80679093.725201458</v>
      </c>
      <c r="P855" s="80">
        <f t="shared" si="385"/>
        <v>68446605.210421458</v>
      </c>
      <c r="Q855" s="80">
        <f t="shared" si="385"/>
        <v>6762885.5315703759</v>
      </c>
      <c r="R855" s="80">
        <f t="shared" si="385"/>
        <v>3513275.1177982604</v>
      </c>
      <c r="S855" s="80">
        <f t="shared" si="385"/>
        <v>18735746.033272326</v>
      </c>
      <c r="T855" s="80">
        <f t="shared" si="385"/>
        <v>222752.47327662929</v>
      </c>
      <c r="U855" s="80">
        <f t="shared" si="385"/>
        <v>281621.28024605225</v>
      </c>
      <c r="V855" s="80">
        <f t="shared" si="385"/>
        <v>0</v>
      </c>
      <c r="W855" s="80">
        <f t="shared" si="385"/>
        <v>0</v>
      </c>
      <c r="X855" s="80">
        <f t="shared" si="385"/>
        <v>0</v>
      </c>
      <c r="Y855" s="80">
        <f t="shared" si="385"/>
        <v>0</v>
      </c>
      <c r="Z855" s="80">
        <f t="shared" si="385"/>
        <v>0</v>
      </c>
      <c r="AA855" s="80">
        <f>ROUND(SUM(G855:Z855),2)</f>
        <v>1017201652.46</v>
      </c>
      <c r="AB855" s="93" t="str">
        <f>IF(ABS(F855-AA855)&lt;0.01,"ok","err")</f>
        <v>ok</v>
      </c>
    </row>
    <row r="856" spans="1:28" s="60" customFormat="1" hidden="1"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93"/>
    </row>
    <row r="857" spans="1:28" s="60" customFormat="1" hidden="1">
      <c r="A857" s="60" t="s">
        <v>135</v>
      </c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93"/>
    </row>
    <row r="858" spans="1:28" s="60" customFormat="1" hidden="1">
      <c r="A858" s="60" t="s">
        <v>900</v>
      </c>
      <c r="F858" s="76">
        <f t="shared" ref="F858:Z858" si="386">($F$836*F834-F828)/(1-$E$868)</f>
        <v>0</v>
      </c>
      <c r="G858" s="76">
        <f t="shared" si="386"/>
        <v>42598837.38413965</v>
      </c>
      <c r="H858" s="76">
        <f t="shared" si="386"/>
        <v>-11926226.271943035</v>
      </c>
      <c r="I858" s="76">
        <f t="shared" si="386"/>
        <v>0</v>
      </c>
      <c r="J858" s="76">
        <f t="shared" si="386"/>
        <v>-580347.27934711077</v>
      </c>
      <c r="K858" s="76">
        <f t="shared" si="386"/>
        <v>-18531967.952549819</v>
      </c>
      <c r="L858" s="76">
        <f t="shared" si="386"/>
        <v>0</v>
      </c>
      <c r="M858" s="76">
        <f t="shared" si="386"/>
        <v>0</v>
      </c>
      <c r="N858" s="76">
        <f t="shared" si="386"/>
        <v>1391385.0613274591</v>
      </c>
      <c r="O858" s="76">
        <f t="shared" si="386"/>
        <v>-16377159.51833838</v>
      </c>
      <c r="P858" s="76">
        <f t="shared" si="386"/>
        <v>2985516.250891163</v>
      </c>
      <c r="Q858" s="76">
        <f t="shared" si="386"/>
        <v>797055.26687945914</v>
      </c>
      <c r="R858" s="76">
        <f t="shared" si="386"/>
        <v>284558.93622522976</v>
      </c>
      <c r="S858" s="76">
        <f t="shared" si="386"/>
        <v>-605193.27619977354</v>
      </c>
      <c r="T858" s="76">
        <f t="shared" si="386"/>
        <v>-15559.106295719872</v>
      </c>
      <c r="U858" s="76">
        <f t="shared" si="386"/>
        <v>-20899.494789238433</v>
      </c>
      <c r="V858" s="76">
        <f t="shared" si="386"/>
        <v>0</v>
      </c>
      <c r="W858" s="76">
        <f t="shared" si="386"/>
        <v>0</v>
      </c>
      <c r="X858" s="76">
        <f t="shared" si="386"/>
        <v>0</v>
      </c>
      <c r="Y858" s="76">
        <f t="shared" si="386"/>
        <v>0</v>
      </c>
      <c r="Z858" s="76">
        <f t="shared" si="386"/>
        <v>0</v>
      </c>
      <c r="AA858" s="80">
        <f>SUM(G858:Z858)</f>
        <v>-1.1363226803950965E-7</v>
      </c>
      <c r="AB858" s="93" t="str">
        <f>IF(ABS(F858-AA858)&lt;0.01,"ok","err")</f>
        <v>ok</v>
      </c>
    </row>
    <row r="859" spans="1:28" s="60" customFormat="1" hidden="1"/>
    <row r="860" spans="1:28" s="60" customFormat="1" hidden="1">
      <c r="A860" s="60" t="s">
        <v>136</v>
      </c>
      <c r="F860" s="80">
        <f t="shared" ref="F860:Z860" si="387">SUM(F855:F858)</f>
        <v>1017201652.4612489</v>
      </c>
      <c r="G860" s="80">
        <f t="shared" si="387"/>
        <v>445289994.98275858</v>
      </c>
      <c r="H860" s="80">
        <f t="shared" si="387"/>
        <v>129048790.99984428</v>
      </c>
      <c r="I860" s="80">
        <f t="shared" si="387"/>
        <v>0</v>
      </c>
      <c r="J860" s="80">
        <f t="shared" si="387"/>
        <v>11561656.815109346</v>
      </c>
      <c r="K860" s="80">
        <f t="shared" si="387"/>
        <v>140331023.70997196</v>
      </c>
      <c r="L860" s="80">
        <f t="shared" si="387"/>
        <v>0</v>
      </c>
      <c r="M860" s="80">
        <f t="shared" si="387"/>
        <v>0</v>
      </c>
      <c r="N860" s="80">
        <f t="shared" si="387"/>
        <v>125279887.5234054</v>
      </c>
      <c r="O860" s="80">
        <f t="shared" si="387"/>
        <v>64301934.206863075</v>
      </c>
      <c r="P860" s="80">
        <f t="shared" si="387"/>
        <v>71432121.461312622</v>
      </c>
      <c r="Q860" s="80">
        <f t="shared" si="387"/>
        <v>7559940.7984498348</v>
      </c>
      <c r="R860" s="80">
        <f t="shared" si="387"/>
        <v>3797834.0540234903</v>
      </c>
      <c r="S860" s="80">
        <f t="shared" si="387"/>
        <v>18130552.757072553</v>
      </c>
      <c r="T860" s="80">
        <f t="shared" si="387"/>
        <v>207193.36698090943</v>
      </c>
      <c r="U860" s="80">
        <f t="shared" si="387"/>
        <v>260721.78545681381</v>
      </c>
      <c r="V860" s="80">
        <f t="shared" si="387"/>
        <v>0</v>
      </c>
      <c r="W860" s="80">
        <f t="shared" si="387"/>
        <v>0</v>
      </c>
      <c r="X860" s="80">
        <f t="shared" si="387"/>
        <v>0</v>
      </c>
      <c r="Y860" s="80">
        <f t="shared" si="387"/>
        <v>0</v>
      </c>
      <c r="Z860" s="80">
        <f t="shared" si="387"/>
        <v>0</v>
      </c>
      <c r="AA860" s="80">
        <f>ROUND(SUM(G860:Z860),2)</f>
        <v>1017201652.46</v>
      </c>
      <c r="AB860" s="93" t="str">
        <f>IF(ABS(F860-AA860)&lt;0.01,"ok","err")</f>
        <v>ok</v>
      </c>
    </row>
    <row r="861" spans="1:28" s="60" customFormat="1" hidden="1"/>
    <row r="862" spans="1:28" s="60" customFormat="1" ht="15" hidden="1">
      <c r="A862" s="65" t="s">
        <v>1116</v>
      </c>
    </row>
    <row r="863" spans="1:28" s="60" customFormat="1" hidden="1"/>
    <row r="864" spans="1:28" s="60" customFormat="1" hidden="1">
      <c r="A864" s="60" t="s">
        <v>1119</v>
      </c>
      <c r="F864" s="80">
        <f>F821</f>
        <v>900088775.12269807</v>
      </c>
      <c r="G864" s="80">
        <f t="shared" ref="G864:Z864" si="388">G821</f>
        <v>372178374.85302812</v>
      </c>
      <c r="H864" s="80">
        <f t="shared" si="388"/>
        <v>118798755.85954961</v>
      </c>
      <c r="I864" s="80">
        <f t="shared" si="388"/>
        <v>0</v>
      </c>
      <c r="J864" s="80">
        <f t="shared" si="388"/>
        <v>10674314.055227157</v>
      </c>
      <c r="K864" s="80">
        <f t="shared" si="388"/>
        <v>133211477.61188452</v>
      </c>
      <c r="L864" s="80">
        <f t="shared" si="388"/>
        <v>0</v>
      </c>
      <c r="M864" s="80">
        <f t="shared" si="388"/>
        <v>0</v>
      </c>
      <c r="N864" s="80">
        <f t="shared" si="388"/>
        <v>112829253.62369046</v>
      </c>
      <c r="O864" s="80">
        <f t="shared" si="388"/>
        <v>63570257.386154547</v>
      </c>
      <c r="P864" s="80">
        <f t="shared" si="388"/>
        <v>64020027.56778039</v>
      </c>
      <c r="Q864" s="80">
        <f t="shared" si="388"/>
        <v>6504147.9048345136</v>
      </c>
      <c r="R864" s="80">
        <f t="shared" si="388"/>
        <v>3339501.4298508833</v>
      </c>
      <c r="S864" s="80">
        <f t="shared" si="388"/>
        <v>14519175.249503555</v>
      </c>
      <c r="T864" s="80">
        <f t="shared" si="388"/>
        <v>198019.37477549116</v>
      </c>
      <c r="U864" s="80">
        <f t="shared" si="388"/>
        <v>245470.20641885977</v>
      </c>
      <c r="V864" s="80">
        <f t="shared" si="388"/>
        <v>0</v>
      </c>
      <c r="W864" s="80">
        <f t="shared" si="388"/>
        <v>0</v>
      </c>
      <c r="X864" s="80">
        <f t="shared" si="388"/>
        <v>0</v>
      </c>
      <c r="Y864" s="80">
        <f t="shared" si="388"/>
        <v>0</v>
      </c>
      <c r="Z864" s="80">
        <f t="shared" si="388"/>
        <v>0</v>
      </c>
      <c r="AA864" s="80">
        <f>ROUND(SUM(G864:Z864),2)</f>
        <v>900088775.12</v>
      </c>
      <c r="AB864" s="93" t="str">
        <f>IF(ABS(F864-AA864)&lt;0.01,"ok","err")</f>
        <v>ok</v>
      </c>
    </row>
    <row r="865" spans="1:28" s="60" customFormat="1" hidden="1"/>
    <row r="866" spans="1:28" s="60" customFormat="1" hidden="1">
      <c r="A866" s="60" t="s">
        <v>710</v>
      </c>
      <c r="F866" s="112">
        <f t="shared" ref="F866:Z866" si="389">F838</f>
        <v>0</v>
      </c>
      <c r="G866" s="112">
        <f t="shared" si="389"/>
        <v>0</v>
      </c>
      <c r="H866" s="112">
        <f t="shared" si="389"/>
        <v>0</v>
      </c>
      <c r="I866" s="112">
        <f t="shared" si="389"/>
        <v>0</v>
      </c>
      <c r="J866" s="112">
        <f t="shared" si="389"/>
        <v>0</v>
      </c>
      <c r="K866" s="112">
        <f t="shared" si="389"/>
        <v>0</v>
      </c>
      <c r="L866" s="112">
        <f t="shared" si="389"/>
        <v>0</v>
      </c>
      <c r="M866" s="112">
        <f t="shared" si="389"/>
        <v>0</v>
      </c>
      <c r="N866" s="112">
        <f t="shared" si="389"/>
        <v>0</v>
      </c>
      <c r="O866" s="112">
        <f t="shared" si="389"/>
        <v>0</v>
      </c>
      <c r="P866" s="112">
        <f t="shared" si="389"/>
        <v>0</v>
      </c>
      <c r="Q866" s="112">
        <f t="shared" si="389"/>
        <v>0</v>
      </c>
      <c r="R866" s="112">
        <f t="shared" si="389"/>
        <v>0</v>
      </c>
      <c r="S866" s="112">
        <f t="shared" si="389"/>
        <v>0</v>
      </c>
      <c r="T866" s="112">
        <f t="shared" si="389"/>
        <v>0</v>
      </c>
      <c r="U866" s="112">
        <f t="shared" si="389"/>
        <v>0</v>
      </c>
      <c r="V866" s="112">
        <f t="shared" si="389"/>
        <v>0</v>
      </c>
      <c r="W866" s="112">
        <f t="shared" si="389"/>
        <v>0</v>
      </c>
      <c r="X866" s="112">
        <f t="shared" si="389"/>
        <v>0</v>
      </c>
      <c r="Y866" s="112">
        <f t="shared" si="389"/>
        <v>0</v>
      </c>
      <c r="Z866" s="112">
        <f t="shared" si="389"/>
        <v>0</v>
      </c>
      <c r="AA866" s="80">
        <f>ROUND(SUM(G866:Z866),2)</f>
        <v>0</v>
      </c>
      <c r="AB866" s="93" t="str">
        <f>IF(ABS(F866-AA866)&lt;0.01,"ok","err")</f>
        <v>ok</v>
      </c>
    </row>
    <row r="867" spans="1:28" s="60" customFormat="1" hidden="1"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80"/>
      <c r="AB867" s="93"/>
    </row>
    <row r="868" spans="1:28" s="60" customFormat="1" hidden="1">
      <c r="A868" s="60" t="s">
        <v>711</v>
      </c>
      <c r="E868" s="60">
        <f>0.0582471+0.32814317</f>
        <v>0.38639026999999998</v>
      </c>
      <c r="F868" s="112">
        <f>F858*$E$868</f>
        <v>0</v>
      </c>
      <c r="G868" s="112">
        <f>G858*$E$868</f>
        <v>16459776.278543811</v>
      </c>
      <c r="H868" s="112">
        <f>H858*$E$868</f>
        <v>-4608177.7892971626</v>
      </c>
      <c r="I868" s="112">
        <f t="shared" ref="I868:Z868" si="390">I858*$E$868</f>
        <v>0</v>
      </c>
      <c r="J868" s="112">
        <f t="shared" si="390"/>
        <v>-224240.54196069555</v>
      </c>
      <c r="K868" s="112">
        <f t="shared" si="390"/>
        <v>-7160572.1008170713</v>
      </c>
      <c r="L868" s="112">
        <f t="shared" si="390"/>
        <v>0</v>
      </c>
      <c r="M868" s="112">
        <f t="shared" si="390"/>
        <v>0</v>
      </c>
      <c r="N868" s="112">
        <f t="shared" si="390"/>
        <v>537617.64952028345</v>
      </c>
      <c r="O868" s="112">
        <f t="shared" si="390"/>
        <v>-6327975.0881238366</v>
      </c>
      <c r="P868" s="112">
        <f t="shared" si="390"/>
        <v>1153574.4302712241</v>
      </c>
      <c r="Q868" s="112">
        <f t="shared" si="390"/>
        <v>307974.39977447625</v>
      </c>
      <c r="R868" s="112">
        <f t="shared" si="390"/>
        <v>109950.8041989793</v>
      </c>
      <c r="S868" s="112">
        <f t="shared" si="390"/>
        <v>-233840.79339301505</v>
      </c>
      <c r="T868" s="112">
        <f t="shared" si="390"/>
        <v>-6011.887282561901</v>
      </c>
      <c r="U868" s="112">
        <f t="shared" si="390"/>
        <v>-8075.3614344774314</v>
      </c>
      <c r="V868" s="112">
        <f t="shared" si="390"/>
        <v>0</v>
      </c>
      <c r="W868" s="112">
        <f t="shared" si="390"/>
        <v>0</v>
      </c>
      <c r="X868" s="112">
        <f t="shared" si="390"/>
        <v>0</v>
      </c>
      <c r="Y868" s="112">
        <f t="shared" si="390"/>
        <v>0</v>
      </c>
      <c r="Z868" s="112">
        <f t="shared" si="390"/>
        <v>0</v>
      </c>
      <c r="AA868" s="80">
        <f>ROUND(SUM(G868:Z868),2)</f>
        <v>0</v>
      </c>
      <c r="AB868" s="93" t="str">
        <f>IF(ABS(F868-AA868)&lt;0.01,"ok","err")</f>
        <v>ok</v>
      </c>
    </row>
    <row r="869" spans="1:28" s="60" customFormat="1" hidden="1">
      <c r="A869" s="68"/>
      <c r="F869" s="79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80"/>
      <c r="AB869" s="93"/>
    </row>
    <row r="870" spans="1:28" s="60" customFormat="1" hidden="1">
      <c r="A870" s="60" t="s">
        <v>137</v>
      </c>
      <c r="F870" s="80">
        <f t="shared" ref="F870:N870" si="391">SUM(F864:F869)</f>
        <v>900088775.12269807</v>
      </c>
      <c r="G870" s="80">
        <f t="shared" si="391"/>
        <v>388638151.13157195</v>
      </c>
      <c r="H870" s="80">
        <f t="shared" si="391"/>
        <v>114190578.07025245</v>
      </c>
      <c r="I870" s="80">
        <f t="shared" si="391"/>
        <v>0</v>
      </c>
      <c r="J870" s="80">
        <f t="shared" si="391"/>
        <v>10450073.513266461</v>
      </c>
      <c r="K870" s="80">
        <f t="shared" si="391"/>
        <v>126050905.51106745</v>
      </c>
      <c r="L870" s="80">
        <f t="shared" si="391"/>
        <v>0</v>
      </c>
      <c r="M870" s="80">
        <f t="shared" si="391"/>
        <v>0</v>
      </c>
      <c r="N870" s="80">
        <f t="shared" si="391"/>
        <v>113366871.27321073</v>
      </c>
      <c r="O870" s="80">
        <f>SUM(O864:O869)</f>
        <v>57242282.298030712</v>
      </c>
      <c r="P870" s="80">
        <f t="shared" ref="P870:Z870" si="392">SUM(P864:P869)</f>
        <v>65173601.998051614</v>
      </c>
      <c r="Q870" s="80">
        <f t="shared" si="392"/>
        <v>6812122.3046089895</v>
      </c>
      <c r="R870" s="80">
        <f t="shared" si="392"/>
        <v>3449452.2340498627</v>
      </c>
      <c r="S870" s="80">
        <f t="shared" si="392"/>
        <v>14285334.456110539</v>
      </c>
      <c r="T870" s="80">
        <f t="shared" si="392"/>
        <v>192007.48749292927</v>
      </c>
      <c r="U870" s="80">
        <f t="shared" si="392"/>
        <v>237394.84498438233</v>
      </c>
      <c r="V870" s="80">
        <f t="shared" si="392"/>
        <v>0</v>
      </c>
      <c r="W870" s="80">
        <f t="shared" si="392"/>
        <v>0</v>
      </c>
      <c r="X870" s="80">
        <f t="shared" si="392"/>
        <v>0</v>
      </c>
      <c r="Y870" s="80">
        <f t="shared" si="392"/>
        <v>0</v>
      </c>
      <c r="Z870" s="80">
        <f t="shared" si="392"/>
        <v>0</v>
      </c>
      <c r="AA870" s="80">
        <f>ROUND(SUM(G870:Z870),2)</f>
        <v>900088775.12</v>
      </c>
      <c r="AB870" s="93" t="str">
        <f>IF(ABS(F870-AA870)&lt;0.01,"ok","err")</f>
        <v>ok</v>
      </c>
    </row>
    <row r="871" spans="1:28" s="60" customFormat="1" hidden="1"/>
    <row r="872" spans="1:28" s="60" customFormat="1" hidden="1"/>
    <row r="873" spans="1:28" s="60" customFormat="1" ht="15" hidden="1">
      <c r="A873" s="65" t="s">
        <v>894</v>
      </c>
      <c r="F873" s="80">
        <f t="shared" ref="F873:Z873" si="393">F860-F870</f>
        <v>117112877.33855081</v>
      </c>
      <c r="G873" s="80">
        <f t="shared" si="393"/>
        <v>56651843.851186633</v>
      </c>
      <c r="H873" s="80">
        <f t="shared" si="393"/>
        <v>14858212.929591835</v>
      </c>
      <c r="I873" s="80">
        <f t="shared" si="393"/>
        <v>0</v>
      </c>
      <c r="J873" s="80">
        <f t="shared" si="393"/>
        <v>1111583.3018428851</v>
      </c>
      <c r="K873" s="80">
        <f t="shared" si="393"/>
        <v>14280118.198904514</v>
      </c>
      <c r="L873" s="80">
        <f t="shared" si="393"/>
        <v>0</v>
      </c>
      <c r="M873" s="80">
        <f t="shared" si="393"/>
        <v>0</v>
      </c>
      <c r="N873" s="80">
        <f t="shared" si="393"/>
        <v>11913016.250194669</v>
      </c>
      <c r="O873" s="80">
        <f t="shared" si="393"/>
        <v>7059651.9088323638</v>
      </c>
      <c r="P873" s="80">
        <f t="shared" si="393"/>
        <v>6258519.4632610083</v>
      </c>
      <c r="Q873" s="80">
        <f t="shared" si="393"/>
        <v>747818.4938408453</v>
      </c>
      <c r="R873" s="80">
        <f t="shared" si="393"/>
        <v>348381.81997362757</v>
      </c>
      <c r="S873" s="80">
        <f t="shared" si="393"/>
        <v>3845218.3009620141</v>
      </c>
      <c r="T873" s="80">
        <f t="shared" si="393"/>
        <v>15185.879487980157</v>
      </c>
      <c r="U873" s="80">
        <f t="shared" si="393"/>
        <v>23326.940472431481</v>
      </c>
      <c r="V873" s="80">
        <f t="shared" si="393"/>
        <v>0</v>
      </c>
      <c r="W873" s="80">
        <f t="shared" si="393"/>
        <v>0</v>
      </c>
      <c r="X873" s="80">
        <f t="shared" si="393"/>
        <v>0</v>
      </c>
      <c r="Y873" s="80">
        <f t="shared" si="393"/>
        <v>0</v>
      </c>
      <c r="Z873" s="80">
        <f t="shared" si="393"/>
        <v>0</v>
      </c>
      <c r="AA873" s="80">
        <f>ROUND(SUM(G873:Z873),2)</f>
        <v>117112877.34</v>
      </c>
      <c r="AB873" s="93" t="str">
        <f>IF(ABS(F873-AA873)&lt;0.01,"ok","err")</f>
        <v>ok</v>
      </c>
    </row>
    <row r="874" spans="1:28" s="60" customFormat="1" hidden="1"/>
    <row r="875" spans="1:28" s="60" customFormat="1" ht="15" hidden="1">
      <c r="A875" s="65" t="s">
        <v>1102</v>
      </c>
      <c r="F875" s="80">
        <f>F834</f>
        <v>2380933927.241509</v>
      </c>
      <c r="G875" s="80">
        <f t="shared" ref="G875:Z875" si="394">G834</f>
        <v>1151746077.2153518</v>
      </c>
      <c r="H875" s="80">
        <f t="shared" si="394"/>
        <v>302071164.72748941</v>
      </c>
      <c r="I875" s="80">
        <f t="shared" si="394"/>
        <v>0</v>
      </c>
      <c r="J875" s="80">
        <f t="shared" si="394"/>
        <v>22598765.024464671</v>
      </c>
      <c r="K875" s="80">
        <f t="shared" si="394"/>
        <v>290318355.05589318</v>
      </c>
      <c r="L875" s="80">
        <f t="shared" si="394"/>
        <v>0</v>
      </c>
      <c r="M875" s="80">
        <f t="shared" si="394"/>
        <v>0</v>
      </c>
      <c r="N875" s="80">
        <f t="shared" si="394"/>
        <v>242194583.63978818</v>
      </c>
      <c r="O875" s="80">
        <f t="shared" si="394"/>
        <v>143524479.34195939</v>
      </c>
      <c r="P875" s="80">
        <f t="shared" si="394"/>
        <v>127237257.44781397</v>
      </c>
      <c r="Q875" s="80">
        <f t="shared" si="394"/>
        <v>15203335.994018935</v>
      </c>
      <c r="R875" s="80">
        <f t="shared" si="394"/>
        <v>7082689.0574253704</v>
      </c>
      <c r="S875" s="80">
        <f t="shared" si="394"/>
        <v>78174244.52773416</v>
      </c>
      <c r="T875" s="80">
        <f t="shared" si="394"/>
        <v>308732.70736411982</v>
      </c>
      <c r="U875" s="80">
        <f t="shared" si="394"/>
        <v>474242.50220579916</v>
      </c>
      <c r="V875" s="80">
        <f t="shared" si="394"/>
        <v>0</v>
      </c>
      <c r="W875" s="80">
        <f t="shared" si="394"/>
        <v>0</v>
      </c>
      <c r="X875" s="80">
        <f t="shared" si="394"/>
        <v>0</v>
      </c>
      <c r="Y875" s="80">
        <f t="shared" si="394"/>
        <v>0</v>
      </c>
      <c r="Z875" s="80">
        <f t="shared" si="394"/>
        <v>0</v>
      </c>
      <c r="AA875" s="80">
        <f>ROUND(SUM(G875:Z875),2)</f>
        <v>2380933927.2399998</v>
      </c>
      <c r="AB875" s="93" t="str">
        <f>IF(ABS(F875-AA875)&lt;0.01,"ok","err")</f>
        <v>ok</v>
      </c>
    </row>
    <row r="876" spans="1:28" s="60" customFormat="1" ht="15" hidden="1" thickBot="1"/>
    <row r="877" spans="1:28" s="60" customFormat="1" ht="15.75" hidden="1" thickBot="1">
      <c r="A877" s="282" t="s">
        <v>1120</v>
      </c>
      <c r="B877" s="150"/>
      <c r="C877" s="150"/>
      <c r="D877" s="150"/>
      <c r="E877" s="150"/>
      <c r="F877" s="151">
        <f t="shared" ref="F877:N877" si="395">F873/F875</f>
        <v>4.9187789715036269E-2</v>
      </c>
      <c r="G877" s="151">
        <f t="shared" si="395"/>
        <v>4.9187789715036255E-2</v>
      </c>
      <c r="H877" s="151">
        <f t="shared" si="395"/>
        <v>4.9187789715036283E-2</v>
      </c>
      <c r="I877" s="151" t="e">
        <f t="shared" si="395"/>
        <v>#DIV/0!</v>
      </c>
      <c r="J877" s="151">
        <f t="shared" si="395"/>
        <v>4.918778971503629E-2</v>
      </c>
      <c r="K877" s="151">
        <f t="shared" si="395"/>
        <v>4.9187789715036283E-2</v>
      </c>
      <c r="L877" s="151" t="e">
        <f t="shared" si="395"/>
        <v>#DIV/0!</v>
      </c>
      <c r="M877" s="151" t="e">
        <f t="shared" si="395"/>
        <v>#DIV/0!</v>
      </c>
      <c r="N877" s="151">
        <f t="shared" si="395"/>
        <v>4.918778971503629E-2</v>
      </c>
      <c r="O877" s="151">
        <f>O873/O875</f>
        <v>4.9187789715036255E-2</v>
      </c>
      <c r="P877" s="151">
        <f>P873/P875</f>
        <v>4.918778971503629E-2</v>
      </c>
      <c r="Q877" s="151">
        <f>Q873/Q875</f>
        <v>4.9187789715036269E-2</v>
      </c>
      <c r="R877" s="151">
        <f t="shared" ref="R877:Z877" si="396">R873/R875</f>
        <v>4.9187789715036269E-2</v>
      </c>
      <c r="S877" s="151">
        <f t="shared" si="396"/>
        <v>4.918778971503629E-2</v>
      </c>
      <c r="T877" s="151">
        <f t="shared" si="396"/>
        <v>4.9187789715036276E-2</v>
      </c>
      <c r="U877" s="151">
        <f t="shared" si="396"/>
        <v>4.9187789715036283E-2</v>
      </c>
      <c r="V877" s="151" t="e">
        <f t="shared" si="396"/>
        <v>#DIV/0!</v>
      </c>
      <c r="W877" s="151" t="e">
        <f t="shared" si="396"/>
        <v>#DIV/0!</v>
      </c>
      <c r="X877" s="151" t="e">
        <f t="shared" si="396"/>
        <v>#DIV/0!</v>
      </c>
      <c r="Y877" s="151" t="e">
        <f t="shared" si="396"/>
        <v>#DIV/0!</v>
      </c>
      <c r="Z877" s="151" t="e">
        <f t="shared" si="396"/>
        <v>#DIV/0!</v>
      </c>
      <c r="AA877" s="139"/>
      <c r="AB877" s="139"/>
    </row>
    <row r="878" spans="1:28" s="60" customFormat="1" hidden="1"/>
    <row r="879" spans="1:28" s="60" customFormat="1" hidden="1"/>
    <row r="880" spans="1:28" s="60" customFormat="1" ht="15" hidden="1">
      <c r="A880" s="65" t="s">
        <v>898</v>
      </c>
      <c r="B880" s="65"/>
      <c r="F880" s="80">
        <f t="shared" ref="F880:Z880" si="397">F858</f>
        <v>0</v>
      </c>
      <c r="G880" s="80">
        <f t="shared" si="397"/>
        <v>42598837.38413965</v>
      </c>
      <c r="H880" s="80">
        <f t="shared" si="397"/>
        <v>-11926226.271943035</v>
      </c>
      <c r="I880" s="80">
        <f t="shared" si="397"/>
        <v>0</v>
      </c>
      <c r="J880" s="80">
        <f t="shared" si="397"/>
        <v>-580347.27934711077</v>
      </c>
      <c r="K880" s="80">
        <f t="shared" si="397"/>
        <v>-18531967.952549819</v>
      </c>
      <c r="L880" s="80">
        <f t="shared" si="397"/>
        <v>0</v>
      </c>
      <c r="M880" s="80">
        <f t="shared" si="397"/>
        <v>0</v>
      </c>
      <c r="N880" s="80">
        <f t="shared" si="397"/>
        <v>1391385.0613274591</v>
      </c>
      <c r="O880" s="80">
        <f t="shared" si="397"/>
        <v>-16377159.51833838</v>
      </c>
      <c r="P880" s="80">
        <f t="shared" si="397"/>
        <v>2985516.250891163</v>
      </c>
      <c r="Q880" s="80">
        <f t="shared" si="397"/>
        <v>797055.26687945914</v>
      </c>
      <c r="R880" s="80">
        <f t="shared" si="397"/>
        <v>284558.93622522976</v>
      </c>
      <c r="S880" s="80">
        <f t="shared" si="397"/>
        <v>-605193.27619977354</v>
      </c>
      <c r="T880" s="80">
        <f t="shared" si="397"/>
        <v>-15559.106295719872</v>
      </c>
      <c r="U880" s="80">
        <f t="shared" si="397"/>
        <v>-20899.494789238433</v>
      </c>
      <c r="V880" s="80">
        <f t="shared" si="397"/>
        <v>0</v>
      </c>
      <c r="W880" s="80">
        <f t="shared" si="397"/>
        <v>0</v>
      </c>
      <c r="X880" s="80">
        <f t="shared" si="397"/>
        <v>0</v>
      </c>
      <c r="Y880" s="80">
        <f t="shared" si="397"/>
        <v>0</v>
      </c>
      <c r="Z880" s="80">
        <f t="shared" si="397"/>
        <v>0</v>
      </c>
      <c r="AA880" s="80">
        <f>ROUND(SUM(G880:Z880),2)</f>
        <v>0</v>
      </c>
      <c r="AB880" s="93" t="str">
        <f>IF(ABS(F880-AA880)&lt;0.01,"ok","err")</f>
        <v>ok</v>
      </c>
    </row>
    <row r="881" spans="1:36" s="60" customFormat="1" ht="15" hidden="1">
      <c r="A881" s="65"/>
      <c r="B881" s="65"/>
    </row>
    <row r="882" spans="1:36" s="60" customFormat="1" ht="15" hidden="1">
      <c r="A882" s="65" t="s">
        <v>899</v>
      </c>
      <c r="B882" s="65"/>
      <c r="F882" s="152">
        <f t="shared" ref="F882:Z882" si="398">F880/F855</f>
        <v>0</v>
      </c>
      <c r="G882" s="152">
        <f t="shared" si="398"/>
        <v>0.10578538063306545</v>
      </c>
      <c r="H882" s="152">
        <f t="shared" si="398"/>
        <v>-8.4598154359153785E-2</v>
      </c>
      <c r="I882" s="152" t="e">
        <f t="shared" si="398"/>
        <v>#DIV/0!</v>
      </c>
      <c r="J882" s="152">
        <f t="shared" si="398"/>
        <v>-4.7796663123517942E-2</v>
      </c>
      <c r="K882" s="152">
        <f t="shared" si="398"/>
        <v>-0.11665377668272751</v>
      </c>
      <c r="L882" s="152" t="e">
        <f t="shared" si="398"/>
        <v>#DIV/0!</v>
      </c>
      <c r="M882" s="152" t="e">
        <f t="shared" si="398"/>
        <v>#DIV/0!</v>
      </c>
      <c r="N882" s="152">
        <f t="shared" si="398"/>
        <v>1.12309458398156E-2</v>
      </c>
      <c r="O882" s="152">
        <f t="shared" si="398"/>
        <v>-0.20299136693478625</v>
      </c>
      <c r="P882" s="152">
        <f t="shared" si="398"/>
        <v>4.3618178603788492E-2</v>
      </c>
      <c r="Q882" s="152">
        <f t="shared" si="398"/>
        <v>0.11785727603382619</v>
      </c>
      <c r="R882" s="152">
        <f t="shared" si="398"/>
        <v>8.0995346701900311E-2</v>
      </c>
      <c r="S882" s="152">
        <f t="shared" si="398"/>
        <v>-3.2301530727681008E-2</v>
      </c>
      <c r="T882" s="152">
        <f t="shared" si="398"/>
        <v>-6.9849308817314493E-2</v>
      </c>
      <c r="U882" s="152">
        <f t="shared" si="398"/>
        <v>-7.4211347846223005E-2</v>
      </c>
      <c r="V882" s="152" t="e">
        <f t="shared" si="398"/>
        <v>#DIV/0!</v>
      </c>
      <c r="W882" s="152" t="e">
        <f t="shared" si="398"/>
        <v>#DIV/0!</v>
      </c>
      <c r="X882" s="152" t="e">
        <f t="shared" si="398"/>
        <v>#DIV/0!</v>
      </c>
      <c r="Y882" s="152" t="e">
        <f t="shared" si="398"/>
        <v>#DIV/0!</v>
      </c>
      <c r="Z882" s="152" t="e">
        <f t="shared" si="398"/>
        <v>#DIV/0!</v>
      </c>
    </row>
    <row r="883" spans="1:36" s="60" customFormat="1" ht="15" hidden="1">
      <c r="A883" s="65"/>
      <c r="B883" s="65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</row>
    <row r="884" spans="1:36" s="60" customFormat="1" ht="15" hidden="1">
      <c r="A884" s="65" t="s">
        <v>1300</v>
      </c>
    </row>
    <row r="885" spans="1:36" s="60" customFormat="1" hidden="1"/>
    <row r="886" spans="1:36" s="60" customFormat="1" ht="15" hidden="1">
      <c r="A886" s="65" t="s">
        <v>1112</v>
      </c>
      <c r="AH886" s="254"/>
      <c r="AI886" s="254"/>
      <c r="AJ886" s="254"/>
    </row>
    <row r="887" spans="1:36" s="60" customFormat="1" hidden="1"/>
    <row r="888" spans="1:36" s="60" customFormat="1" hidden="1">
      <c r="A888" s="60" t="s">
        <v>1</v>
      </c>
      <c r="F888" s="80">
        <f t="shared" ref="F888:Z888" si="399">F770</f>
        <v>1017201652.4612489</v>
      </c>
      <c r="G888" s="80">
        <f t="shared" si="399"/>
        <v>402691157.59861892</v>
      </c>
      <c r="H888" s="80">
        <f t="shared" si="399"/>
        <v>140975017.27178732</v>
      </c>
      <c r="I888" s="80">
        <f t="shared" si="399"/>
        <v>0</v>
      </c>
      <c r="J888" s="80">
        <f t="shared" si="399"/>
        <v>12142004.094456457</v>
      </c>
      <c r="K888" s="80">
        <f t="shared" si="399"/>
        <v>158862991.66252178</v>
      </c>
      <c r="L888" s="80">
        <f t="shared" si="399"/>
        <v>0</v>
      </c>
      <c r="M888" s="80">
        <f t="shared" si="399"/>
        <v>0</v>
      </c>
      <c r="N888" s="80">
        <f t="shared" si="399"/>
        <v>123888502.46207795</v>
      </c>
      <c r="O888" s="80">
        <f t="shared" si="399"/>
        <v>80679093.725201458</v>
      </c>
      <c r="P888" s="80">
        <f t="shared" si="399"/>
        <v>68446605.210421458</v>
      </c>
      <c r="Q888" s="80">
        <f t="shared" si="399"/>
        <v>6762885.5315703759</v>
      </c>
      <c r="R888" s="80">
        <f t="shared" si="399"/>
        <v>3513275.1177982604</v>
      </c>
      <c r="S888" s="80">
        <f t="shared" si="399"/>
        <v>18735746.033272326</v>
      </c>
      <c r="T888" s="80">
        <f t="shared" si="399"/>
        <v>222752.47327662929</v>
      </c>
      <c r="U888" s="80">
        <f t="shared" si="399"/>
        <v>281621.28024605225</v>
      </c>
      <c r="V888" s="80">
        <f t="shared" si="399"/>
        <v>0</v>
      </c>
      <c r="W888" s="80">
        <f t="shared" si="399"/>
        <v>0</v>
      </c>
      <c r="X888" s="80">
        <f t="shared" si="399"/>
        <v>0</v>
      </c>
      <c r="Y888" s="80">
        <f t="shared" si="399"/>
        <v>0</v>
      </c>
      <c r="Z888" s="80">
        <f t="shared" si="399"/>
        <v>0</v>
      </c>
      <c r="AA888" s="80">
        <f>ROUND(SUM(G888:Z888),2)</f>
        <v>1017201652.46</v>
      </c>
      <c r="AB888" s="93" t="str">
        <f>IF(ABS(F888-AA888)&lt;0.01,"ok","err")</f>
        <v>ok</v>
      </c>
      <c r="AH888" s="76"/>
      <c r="AI888" s="76"/>
      <c r="AJ888" s="152"/>
    </row>
    <row r="889" spans="1:36" s="60" customFormat="1" hidden="1"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93"/>
      <c r="AH889" s="79"/>
      <c r="AI889" s="79"/>
      <c r="AJ889" s="152"/>
    </row>
    <row r="890" spans="1:36" s="60" customFormat="1" hidden="1">
      <c r="A890" s="60" t="s">
        <v>135</v>
      </c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93"/>
      <c r="AH890" s="79"/>
      <c r="AI890" s="79"/>
      <c r="AJ890" s="152"/>
    </row>
    <row r="891" spans="1:36" s="60" customFormat="1" hidden="1">
      <c r="A891" s="60" t="s">
        <v>895</v>
      </c>
      <c r="F891" s="80"/>
      <c r="G891" s="80">
        <v>0</v>
      </c>
      <c r="H891" s="80">
        <v>0</v>
      </c>
      <c r="I891" s="80">
        <v>0</v>
      </c>
      <c r="J891" s="80">
        <v>0</v>
      </c>
      <c r="K891" s="80">
        <v>0</v>
      </c>
      <c r="L891" s="80">
        <v>0</v>
      </c>
      <c r="M891" s="80">
        <v>0</v>
      </c>
      <c r="N891" s="80">
        <v>0</v>
      </c>
      <c r="O891" s="80">
        <v>0</v>
      </c>
      <c r="P891" s="80">
        <v>0</v>
      </c>
      <c r="Q891" s="80">
        <v>0</v>
      </c>
      <c r="R891" s="80">
        <v>0</v>
      </c>
      <c r="S891" s="80">
        <v>0</v>
      </c>
      <c r="T891" s="80">
        <v>0</v>
      </c>
      <c r="U891" s="80">
        <v>0</v>
      </c>
      <c r="V891" s="76">
        <v>0</v>
      </c>
      <c r="W891" s="76">
        <v>0</v>
      </c>
      <c r="X891" s="76">
        <v>0</v>
      </c>
      <c r="Y891" s="76">
        <v>0</v>
      </c>
      <c r="Z891" s="76">
        <v>0</v>
      </c>
      <c r="AA891" s="80">
        <f>SUM(G891:Z891)</f>
        <v>0</v>
      </c>
      <c r="AB891" s="93" t="str">
        <f>IF(ABS(F891-AA891)&lt;0.01,"ok","err")</f>
        <v>ok</v>
      </c>
      <c r="AH891" s="79"/>
      <c r="AI891" s="79"/>
      <c r="AJ891" s="152"/>
    </row>
    <row r="892" spans="1:36" s="60" customFormat="1" hidden="1">
      <c r="A892" s="60" t="s">
        <v>1377</v>
      </c>
      <c r="E892" s="60" t="str">
        <f>E965</f>
        <v>INTCRE</v>
      </c>
      <c r="F892" s="76"/>
      <c r="G892" s="76">
        <f t="shared" ref="G892:P893" si="400">IF(VLOOKUP($E892,$D$6:$AN$1131,3,)=0,0,(VLOOKUP($E892,$D$6:$AN$1131,G$2,)/VLOOKUP($E892,$D$6:$AN$1131,3,))*$F892)</f>
        <v>0</v>
      </c>
      <c r="H892" s="76">
        <f t="shared" si="400"/>
        <v>0</v>
      </c>
      <c r="I892" s="76">
        <f t="shared" si="400"/>
        <v>0</v>
      </c>
      <c r="J892" s="76">
        <f t="shared" si="400"/>
        <v>0</v>
      </c>
      <c r="K892" s="76">
        <f t="shared" si="400"/>
        <v>0</v>
      </c>
      <c r="L892" s="76">
        <f t="shared" si="400"/>
        <v>0</v>
      </c>
      <c r="M892" s="76">
        <f t="shared" si="400"/>
        <v>0</v>
      </c>
      <c r="N892" s="76">
        <f t="shared" si="400"/>
        <v>0</v>
      </c>
      <c r="O892" s="76">
        <f t="shared" si="400"/>
        <v>0</v>
      </c>
      <c r="P892" s="76">
        <f t="shared" si="400"/>
        <v>0</v>
      </c>
      <c r="Q892" s="76">
        <f t="shared" ref="Q892:Z893" si="401">IF(VLOOKUP($E892,$D$6:$AN$1131,3,)=0,0,(VLOOKUP($E892,$D$6:$AN$1131,Q$2,)/VLOOKUP($E892,$D$6:$AN$1131,3,))*$F892)</f>
        <v>0</v>
      </c>
      <c r="R892" s="76">
        <f t="shared" si="401"/>
        <v>0</v>
      </c>
      <c r="S892" s="76">
        <f t="shared" si="401"/>
        <v>0</v>
      </c>
      <c r="T892" s="76">
        <f t="shared" si="401"/>
        <v>0</v>
      </c>
      <c r="U892" s="76">
        <f t="shared" si="401"/>
        <v>0</v>
      </c>
      <c r="V892" s="76">
        <f t="shared" si="401"/>
        <v>0</v>
      </c>
      <c r="W892" s="76">
        <f t="shared" si="401"/>
        <v>0</v>
      </c>
      <c r="X892" s="79">
        <f t="shared" si="401"/>
        <v>0</v>
      </c>
      <c r="Y892" s="79">
        <f t="shared" si="401"/>
        <v>0</v>
      </c>
      <c r="Z892" s="79">
        <f t="shared" si="401"/>
        <v>0</v>
      </c>
      <c r="AA892" s="80">
        <f>SUM(G892:Z892)</f>
        <v>0</v>
      </c>
      <c r="AB892" s="93" t="str">
        <f>IF(ABS(F892-AA892)&lt;0.01,"ok","err")</f>
        <v>ok</v>
      </c>
    </row>
    <row r="893" spans="1:36" s="60" customFormat="1" hidden="1">
      <c r="A893" s="60" t="s">
        <v>896</v>
      </c>
      <c r="E893" s="60" t="str">
        <f>E966</f>
        <v>MISCR</v>
      </c>
      <c r="F893" s="79">
        <f>F966</f>
        <v>-22391</v>
      </c>
      <c r="G893" s="76">
        <f t="shared" si="400"/>
        <v>-20834.355219506127</v>
      </c>
      <c r="H893" s="76">
        <f t="shared" si="400"/>
        <v>-1347.7923692579229</v>
      </c>
      <c r="I893" s="76">
        <f t="shared" si="400"/>
        <v>0</v>
      </c>
      <c r="J893" s="76">
        <f t="shared" si="400"/>
        <v>-5.0261070647315949</v>
      </c>
      <c r="K893" s="76">
        <f t="shared" si="400"/>
        <v>-197.14672271267796</v>
      </c>
      <c r="L893" s="76">
        <f t="shared" si="400"/>
        <v>0</v>
      </c>
      <c r="M893" s="76">
        <f t="shared" si="400"/>
        <v>0</v>
      </c>
      <c r="N893" s="76">
        <f t="shared" si="400"/>
        <v>-0.59476066757413615</v>
      </c>
      <c r="O893" s="76">
        <f t="shared" si="400"/>
        <v>-1.5559615568764129</v>
      </c>
      <c r="P893" s="76">
        <f t="shared" si="400"/>
        <v>-7.3288044345628148E-2</v>
      </c>
      <c r="Q893" s="76">
        <f t="shared" si="401"/>
        <v>0</v>
      </c>
      <c r="R893" s="76">
        <f t="shared" si="401"/>
        <v>0</v>
      </c>
      <c r="S893" s="76">
        <f t="shared" si="401"/>
        <v>-4.4555711897395023</v>
      </c>
      <c r="T893" s="76">
        <f t="shared" si="401"/>
        <v>0</v>
      </c>
      <c r="U893" s="76">
        <f t="shared" si="401"/>
        <v>0</v>
      </c>
      <c r="V893" s="76">
        <f t="shared" si="401"/>
        <v>0</v>
      </c>
      <c r="W893" s="76">
        <f t="shared" si="401"/>
        <v>0</v>
      </c>
      <c r="X893" s="79">
        <f t="shared" si="401"/>
        <v>0</v>
      </c>
      <c r="Y893" s="79">
        <f t="shared" si="401"/>
        <v>0</v>
      </c>
      <c r="Z893" s="79">
        <f t="shared" si="401"/>
        <v>0</v>
      </c>
      <c r="AA893" s="80">
        <f>SUM(G893:Z893)</f>
        <v>-22391</v>
      </c>
      <c r="AB893" s="93" t="str">
        <f>IF(ABS(F893-AA893)&lt;0.01,"ok","err")</f>
        <v>ok</v>
      </c>
      <c r="AH893" s="79"/>
      <c r="AI893" s="79"/>
      <c r="AJ893" s="152"/>
    </row>
    <row r="894" spans="1:36" s="60" customFormat="1" hidden="1">
      <c r="AH894" s="79"/>
      <c r="AI894" s="79"/>
      <c r="AJ894" s="152"/>
    </row>
    <row r="895" spans="1:36" s="60" customFormat="1" hidden="1">
      <c r="A895" s="60" t="s">
        <v>136</v>
      </c>
      <c r="F895" s="80">
        <f>SUM(F888:F893)</f>
        <v>1017179261.4612489</v>
      </c>
      <c r="G895" s="80">
        <f t="shared" ref="G895:P895" si="402">SUM(G888:G893)</f>
        <v>402670323.24339944</v>
      </c>
      <c r="H895" s="80">
        <f t="shared" si="402"/>
        <v>140973669.47941807</v>
      </c>
      <c r="I895" s="80">
        <f t="shared" si="402"/>
        <v>0</v>
      </c>
      <c r="J895" s="80">
        <f t="shared" si="402"/>
        <v>12141999.068349391</v>
      </c>
      <c r="K895" s="80">
        <f t="shared" si="402"/>
        <v>158862794.51579908</v>
      </c>
      <c r="L895" s="80">
        <f t="shared" si="402"/>
        <v>0</v>
      </c>
      <c r="M895" s="80">
        <f t="shared" si="402"/>
        <v>0</v>
      </c>
      <c r="N895" s="80">
        <f t="shared" si="402"/>
        <v>123888501.86731727</v>
      </c>
      <c r="O895" s="80">
        <f>SUM(O888:O893)</f>
        <v>80679092.169239894</v>
      </c>
      <c r="P895" s="80">
        <f t="shared" si="402"/>
        <v>68446605.13713342</v>
      </c>
      <c r="Q895" s="80">
        <f>SUM(Q888:Q893)</f>
        <v>6762885.5315703759</v>
      </c>
      <c r="R895" s="80">
        <f t="shared" ref="R895:Z895" si="403">SUM(R888:R893)</f>
        <v>3513275.1177982604</v>
      </c>
      <c r="S895" s="80">
        <f t="shared" si="403"/>
        <v>18735741.577701136</v>
      </c>
      <c r="T895" s="80">
        <f t="shared" si="403"/>
        <v>222752.47327662929</v>
      </c>
      <c r="U895" s="80">
        <f t="shared" si="403"/>
        <v>281621.28024605225</v>
      </c>
      <c r="V895" s="80">
        <f t="shared" si="403"/>
        <v>0</v>
      </c>
      <c r="W895" s="80">
        <f t="shared" si="403"/>
        <v>0</v>
      </c>
      <c r="X895" s="80">
        <f t="shared" si="403"/>
        <v>0</v>
      </c>
      <c r="Y895" s="80">
        <f t="shared" si="403"/>
        <v>0</v>
      </c>
      <c r="Z895" s="80">
        <f t="shared" si="403"/>
        <v>0</v>
      </c>
      <c r="AA895" s="80">
        <f>ROUND(SUM(G895:Z895),2)</f>
        <v>1017179261.46</v>
      </c>
      <c r="AB895" s="93" t="str">
        <f>IF(ABS(F895-AA895)&lt;0.01,"ok","err")</f>
        <v>ok</v>
      </c>
    </row>
    <row r="896" spans="1:36" s="60" customFormat="1" hidden="1">
      <c r="AH896" s="76"/>
      <c r="AI896" s="76"/>
      <c r="AJ896" s="152"/>
    </row>
    <row r="897" spans="1:28" s="60" customFormat="1" hidden="1"/>
    <row r="898" spans="1:28" s="60" customFormat="1" ht="15" hidden="1">
      <c r="A898" s="65" t="s">
        <v>1116</v>
      </c>
      <c r="F898" s="80"/>
    </row>
    <row r="899" spans="1:28" s="60" customFormat="1" hidden="1"/>
    <row r="900" spans="1:28" s="60" customFormat="1" hidden="1">
      <c r="A900" s="60" t="s">
        <v>1119</v>
      </c>
      <c r="F900" s="80">
        <f t="shared" ref="F900:Z900" si="404">F726</f>
        <v>904148189.24269807</v>
      </c>
      <c r="G900" s="80">
        <f t="shared" si="404"/>
        <v>372721995.42893672</v>
      </c>
      <c r="H900" s="80">
        <f t="shared" si="404"/>
        <v>119725786.46773888</v>
      </c>
      <c r="I900" s="80">
        <f t="shared" si="404"/>
        <v>0</v>
      </c>
      <c r="J900" s="80">
        <f t="shared" si="404"/>
        <v>10733031.328126846</v>
      </c>
      <c r="K900" s="80">
        <f t="shared" si="404"/>
        <v>134301383.34892192</v>
      </c>
      <c r="L900" s="80">
        <f t="shared" si="404"/>
        <v>0</v>
      </c>
      <c r="M900" s="80">
        <f t="shared" si="404"/>
        <v>0</v>
      </c>
      <c r="N900" s="80">
        <f t="shared" si="404"/>
        <v>113220697.46382819</v>
      </c>
      <c r="O900" s="80">
        <f t="shared" si="404"/>
        <v>64331240.389036208</v>
      </c>
      <c r="P900" s="80">
        <f t="shared" si="404"/>
        <v>64162435.572467119</v>
      </c>
      <c r="Q900" s="80">
        <f t="shared" si="404"/>
        <v>6505771.9677781062</v>
      </c>
      <c r="R900" s="80">
        <f t="shared" si="404"/>
        <v>3343411.1257372517</v>
      </c>
      <c r="S900" s="80">
        <f t="shared" si="404"/>
        <v>14656231.903749093</v>
      </c>
      <c r="T900" s="80">
        <f t="shared" si="404"/>
        <v>199175.56339998255</v>
      </c>
      <c r="U900" s="80">
        <f t="shared" si="404"/>
        <v>247028.68297776376</v>
      </c>
      <c r="V900" s="80">
        <f t="shared" si="404"/>
        <v>0</v>
      </c>
      <c r="W900" s="80">
        <f t="shared" si="404"/>
        <v>0</v>
      </c>
      <c r="X900" s="80">
        <f t="shared" si="404"/>
        <v>0</v>
      </c>
      <c r="Y900" s="80">
        <f t="shared" si="404"/>
        <v>0</v>
      </c>
      <c r="Z900" s="80">
        <f t="shared" si="404"/>
        <v>0</v>
      </c>
      <c r="AA900" s="80">
        <f>ROUND(SUM(G900:Z900),2)</f>
        <v>904148189.24000001</v>
      </c>
      <c r="AB900" s="93" t="str">
        <f>IF(ABS(F900-AA900)&lt;0.01,"ok","err")</f>
        <v>ok</v>
      </c>
    </row>
    <row r="901" spans="1:28" s="60" customFormat="1" hidden="1"/>
    <row r="902" spans="1:28" s="60" customFormat="1" hidden="1">
      <c r="A902" s="60" t="s">
        <v>710</v>
      </c>
      <c r="F902" s="112">
        <f t="shared" ref="F902:Z902" si="405">F819</f>
        <v>-4059414.1199999996</v>
      </c>
      <c r="G902" s="112">
        <f t="shared" si="405"/>
        <v>-543620.57590859686</v>
      </c>
      <c r="H902" s="112">
        <f t="shared" si="405"/>
        <v>-927030.60818927304</v>
      </c>
      <c r="I902" s="112">
        <f t="shared" si="405"/>
        <v>0</v>
      </c>
      <c r="J902" s="112">
        <f t="shared" si="405"/>
        <v>-58717.272899689371</v>
      </c>
      <c r="K902" s="112">
        <f t="shared" si="405"/>
        <v>-1089905.737037403</v>
      </c>
      <c r="L902" s="112">
        <f t="shared" si="405"/>
        <v>0</v>
      </c>
      <c r="M902" s="112">
        <f t="shared" si="405"/>
        <v>0</v>
      </c>
      <c r="N902" s="112">
        <f t="shared" si="405"/>
        <v>-391443.84013774648</v>
      </c>
      <c r="O902" s="112">
        <f t="shared" si="405"/>
        <v>-760983.00288166222</v>
      </c>
      <c r="P902" s="112">
        <f t="shared" si="405"/>
        <v>-142408.00468673278</v>
      </c>
      <c r="Q902" s="112">
        <f t="shared" si="405"/>
        <v>-1624.0629435925593</v>
      </c>
      <c r="R902" s="112">
        <f t="shared" si="405"/>
        <v>-3909.695886368535</v>
      </c>
      <c r="S902" s="112">
        <f t="shared" si="405"/>
        <v>-137056.65424554003</v>
      </c>
      <c r="T902" s="112">
        <f t="shared" si="405"/>
        <v>-1156.1886244914131</v>
      </c>
      <c r="U902" s="112">
        <f t="shared" si="405"/>
        <v>-1558.4765589040039</v>
      </c>
      <c r="V902" s="112">
        <f t="shared" si="405"/>
        <v>0</v>
      </c>
      <c r="W902" s="112">
        <f t="shared" si="405"/>
        <v>0</v>
      </c>
      <c r="X902" s="112">
        <f t="shared" si="405"/>
        <v>0</v>
      </c>
      <c r="Y902" s="112">
        <f t="shared" si="405"/>
        <v>0</v>
      </c>
      <c r="Z902" s="112">
        <f t="shared" si="405"/>
        <v>0</v>
      </c>
      <c r="AA902" s="80">
        <f>ROUND(SUM(G902:Z902),2)</f>
        <v>-4059414.12</v>
      </c>
      <c r="AB902" s="93" t="str">
        <f>IF(ABS(F902-AA902)&lt;0.01,"ok","err")</f>
        <v>ok</v>
      </c>
    </row>
    <row r="903" spans="1:28" s="60" customFormat="1" hidden="1"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80"/>
      <c r="AB903" s="93"/>
    </row>
    <row r="904" spans="1:28" s="60" customFormat="1" hidden="1">
      <c r="A904" s="60" t="s">
        <v>711</v>
      </c>
      <c r="F904" s="112">
        <f>(F891+F893)*$E$868</f>
        <v>-8651.6645355700002</v>
      </c>
      <c r="G904" s="112">
        <f>(G891+G893)*$E$868</f>
        <v>-8050.1921385408814</v>
      </c>
      <c r="H904" s="112">
        <f t="shared" ref="H904:Z904" si="406">(H891+H893)*$E$868</f>
        <v>-520.77385746150856</v>
      </c>
      <c r="I904" s="112">
        <f t="shared" si="406"/>
        <v>0</v>
      </c>
      <c r="J904" s="112">
        <f t="shared" si="406"/>
        <v>-1.9420388657905483</v>
      </c>
      <c r="K904" s="112">
        <f t="shared" si="406"/>
        <v>-76.175575418566766</v>
      </c>
      <c r="L904" s="112">
        <f t="shared" si="406"/>
        <v>0</v>
      </c>
      <c r="M904" s="112">
        <f t="shared" si="406"/>
        <v>0</v>
      </c>
      <c r="N904" s="112">
        <f t="shared" si="406"/>
        <v>-0.2298097349293507</v>
      </c>
      <c r="O904" s="112">
        <f t="shared" si="406"/>
        <v>-0.60120840607109749</v>
      </c>
      <c r="P904" s="112">
        <f t="shared" si="406"/>
        <v>-2.8317787242479232E-2</v>
      </c>
      <c r="Q904" s="112">
        <f t="shared" si="406"/>
        <v>0</v>
      </c>
      <c r="R904" s="112">
        <f t="shared" si="406"/>
        <v>0</v>
      </c>
      <c r="S904" s="112">
        <f t="shared" si="406"/>
        <v>-1.7215893550076675</v>
      </c>
      <c r="T904" s="112">
        <f t="shared" si="406"/>
        <v>0</v>
      </c>
      <c r="U904" s="112">
        <f t="shared" si="406"/>
        <v>0</v>
      </c>
      <c r="V904" s="112">
        <f t="shared" si="406"/>
        <v>0</v>
      </c>
      <c r="W904" s="112">
        <f t="shared" si="406"/>
        <v>0</v>
      </c>
      <c r="X904" s="112">
        <f t="shared" si="406"/>
        <v>0</v>
      </c>
      <c r="Y904" s="112">
        <f t="shared" si="406"/>
        <v>0</v>
      </c>
      <c r="Z904" s="112">
        <f t="shared" si="406"/>
        <v>0</v>
      </c>
      <c r="AA904" s="80">
        <f>ROUND(SUM(G904:Z904),2)</f>
        <v>-8651.66</v>
      </c>
      <c r="AB904" s="93" t="str">
        <f>IF(ABS(F904-AA904)&lt;0.01,"ok","err")</f>
        <v>ok</v>
      </c>
    </row>
    <row r="905" spans="1:28" s="60" customFormat="1" hidden="1">
      <c r="A905" s="68"/>
      <c r="F905" s="79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80"/>
      <c r="AB905" s="93"/>
    </row>
    <row r="906" spans="1:28" s="60" customFormat="1" hidden="1">
      <c r="A906" s="60" t="s">
        <v>137</v>
      </c>
      <c r="F906" s="80">
        <f t="shared" ref="F906:Z906" si="407">SUM(F900:F905)</f>
        <v>900080123.45816255</v>
      </c>
      <c r="G906" s="80">
        <f>SUM(G900:G905)</f>
        <v>372170324.66088957</v>
      </c>
      <c r="H906" s="80">
        <f t="shared" si="407"/>
        <v>118798235.08569215</v>
      </c>
      <c r="I906" s="80">
        <f t="shared" si="407"/>
        <v>0</v>
      </c>
      <c r="J906" s="80">
        <f t="shared" si="407"/>
        <v>10674312.113188291</v>
      </c>
      <c r="K906" s="80">
        <f t="shared" si="407"/>
        <v>133211401.4363091</v>
      </c>
      <c r="L906" s="80">
        <f t="shared" si="407"/>
        <v>0</v>
      </c>
      <c r="M906" s="80">
        <f t="shared" si="407"/>
        <v>0</v>
      </c>
      <c r="N906" s="80">
        <f t="shared" si="407"/>
        <v>112829253.39388071</v>
      </c>
      <c r="O906" s="80">
        <f>SUM(O900:O905)</f>
        <v>63570256.784946144</v>
      </c>
      <c r="P906" s="80">
        <f t="shared" si="407"/>
        <v>64020027.539462596</v>
      </c>
      <c r="Q906" s="80">
        <f t="shared" si="407"/>
        <v>6504147.9048345136</v>
      </c>
      <c r="R906" s="80">
        <f t="shared" si="407"/>
        <v>3339501.4298508833</v>
      </c>
      <c r="S906" s="80">
        <f t="shared" si="407"/>
        <v>14519173.527914198</v>
      </c>
      <c r="T906" s="80">
        <f t="shared" si="407"/>
        <v>198019.37477549113</v>
      </c>
      <c r="U906" s="80">
        <f t="shared" si="407"/>
        <v>245470.20641885974</v>
      </c>
      <c r="V906" s="80">
        <f t="shared" si="407"/>
        <v>0</v>
      </c>
      <c r="W906" s="80">
        <f t="shared" si="407"/>
        <v>0</v>
      </c>
      <c r="X906" s="80">
        <f t="shared" si="407"/>
        <v>0</v>
      </c>
      <c r="Y906" s="80">
        <f t="shared" si="407"/>
        <v>0</v>
      </c>
      <c r="Z906" s="80">
        <f t="shared" si="407"/>
        <v>0</v>
      </c>
      <c r="AA906" s="80">
        <f>ROUND(SUM(G906:Z906),2)</f>
        <v>900080123.46000004</v>
      </c>
      <c r="AB906" s="93" t="str">
        <f>IF(ABS(F906-AA906)&lt;0.01,"ok","err")</f>
        <v>ok</v>
      </c>
    </row>
    <row r="907" spans="1:28" s="60" customFormat="1" hidden="1"/>
    <row r="908" spans="1:28" s="60" customFormat="1" hidden="1">
      <c r="G908" s="80"/>
      <c r="H908" s="80"/>
      <c r="I908" s="80"/>
    </row>
    <row r="909" spans="1:28" s="60" customFormat="1" ht="15" hidden="1">
      <c r="A909" s="65" t="s">
        <v>894</v>
      </c>
      <c r="F909" s="80">
        <f t="shared" ref="F909:Z909" si="408">F895-F906</f>
        <v>117099138.00308633</v>
      </c>
      <c r="G909" s="80">
        <f>G895-G906</f>
        <v>30499998.582509875</v>
      </c>
      <c r="H909" s="80">
        <f t="shared" si="408"/>
        <v>22175434.393725917</v>
      </c>
      <c r="I909" s="80">
        <f t="shared" si="408"/>
        <v>0</v>
      </c>
      <c r="J909" s="80">
        <f t="shared" si="408"/>
        <v>1467686.9551611003</v>
      </c>
      <c r="K909" s="80">
        <f t="shared" si="408"/>
        <v>25651393.079489976</v>
      </c>
      <c r="L909" s="80">
        <f t="shared" si="408"/>
        <v>0</v>
      </c>
      <c r="M909" s="80">
        <f t="shared" si="408"/>
        <v>0</v>
      </c>
      <c r="N909" s="80">
        <f t="shared" si="408"/>
        <v>11059248.473436564</v>
      </c>
      <c r="O909" s="80">
        <f>O895-O906</f>
        <v>17108835.38429375</v>
      </c>
      <c r="P909" s="80">
        <f t="shared" si="408"/>
        <v>4426577.5976708233</v>
      </c>
      <c r="Q909" s="80">
        <f t="shared" si="408"/>
        <v>258737.62673586234</v>
      </c>
      <c r="R909" s="80">
        <f t="shared" si="408"/>
        <v>173773.6879473771</v>
      </c>
      <c r="S909" s="80">
        <f t="shared" si="408"/>
        <v>4216568.0497869384</v>
      </c>
      <c r="T909" s="80">
        <f t="shared" si="408"/>
        <v>24733.098501138156</v>
      </c>
      <c r="U909" s="80">
        <f t="shared" si="408"/>
        <v>36151.073827192507</v>
      </c>
      <c r="V909" s="80">
        <f t="shared" si="408"/>
        <v>0</v>
      </c>
      <c r="W909" s="80">
        <f t="shared" si="408"/>
        <v>0</v>
      </c>
      <c r="X909" s="80">
        <f t="shared" si="408"/>
        <v>0</v>
      </c>
      <c r="Y909" s="80">
        <f t="shared" si="408"/>
        <v>0</v>
      </c>
      <c r="Z909" s="80">
        <f t="shared" si="408"/>
        <v>0</v>
      </c>
      <c r="AA909" s="80">
        <f>ROUND(SUM(G909:Z909),2)</f>
        <v>117099138</v>
      </c>
      <c r="AB909" s="93" t="str">
        <f>IF(ABS(F909-AA909)&lt;0.01,"ok","err")</f>
        <v>ok</v>
      </c>
    </row>
    <row r="910" spans="1:28" s="60" customFormat="1" hidden="1"/>
    <row r="911" spans="1:28" s="60" customFormat="1" ht="15" hidden="1">
      <c r="A911" s="65" t="s">
        <v>1102</v>
      </c>
      <c r="F911" s="80">
        <f t="shared" ref="F911:Z911" si="409">F834</f>
        <v>2380933927.241509</v>
      </c>
      <c r="G911" s="80">
        <f t="shared" si="409"/>
        <v>1151746077.2153518</v>
      </c>
      <c r="H911" s="80">
        <f t="shared" si="409"/>
        <v>302071164.72748941</v>
      </c>
      <c r="I911" s="80">
        <f t="shared" si="409"/>
        <v>0</v>
      </c>
      <c r="J911" s="80">
        <f t="shared" si="409"/>
        <v>22598765.024464671</v>
      </c>
      <c r="K911" s="80">
        <f t="shared" si="409"/>
        <v>290318355.05589318</v>
      </c>
      <c r="L911" s="80">
        <f t="shared" si="409"/>
        <v>0</v>
      </c>
      <c r="M911" s="80">
        <f t="shared" si="409"/>
        <v>0</v>
      </c>
      <c r="N911" s="80">
        <f t="shared" si="409"/>
        <v>242194583.63978818</v>
      </c>
      <c r="O911" s="80">
        <f t="shared" si="409"/>
        <v>143524479.34195939</v>
      </c>
      <c r="P911" s="80">
        <f t="shared" si="409"/>
        <v>127237257.44781397</v>
      </c>
      <c r="Q911" s="80">
        <f t="shared" si="409"/>
        <v>15203335.994018935</v>
      </c>
      <c r="R911" s="80">
        <f t="shared" si="409"/>
        <v>7082689.0574253704</v>
      </c>
      <c r="S911" s="80">
        <f t="shared" si="409"/>
        <v>78174244.52773416</v>
      </c>
      <c r="T911" s="80">
        <f t="shared" si="409"/>
        <v>308732.70736411982</v>
      </c>
      <c r="U911" s="80">
        <f t="shared" si="409"/>
        <v>474242.50220579916</v>
      </c>
      <c r="V911" s="80">
        <f t="shared" si="409"/>
        <v>0</v>
      </c>
      <c r="W911" s="80">
        <f t="shared" si="409"/>
        <v>0</v>
      </c>
      <c r="X911" s="80">
        <f t="shared" si="409"/>
        <v>0</v>
      </c>
      <c r="Y911" s="80">
        <f t="shared" si="409"/>
        <v>0</v>
      </c>
      <c r="Z911" s="80">
        <f t="shared" si="409"/>
        <v>0</v>
      </c>
      <c r="AA911" s="80">
        <f>ROUND(SUM(G911:Z911),2)</f>
        <v>2380933927.2399998</v>
      </c>
      <c r="AB911" s="93" t="str">
        <f>IF(ABS(F911-AA911)&lt;0.01,"ok","err")</f>
        <v>ok</v>
      </c>
    </row>
    <row r="912" spans="1:28" s="60" customFormat="1" ht="15" hidden="1" thickBot="1"/>
    <row r="913" spans="1:28" s="60" customFormat="1" ht="15.75" hidden="1" thickBot="1">
      <c r="A913" s="282" t="s">
        <v>1120</v>
      </c>
      <c r="B913" s="150"/>
      <c r="C913" s="150"/>
      <c r="D913" s="150"/>
      <c r="E913" s="150"/>
      <c r="F913" s="151">
        <f t="shared" ref="F913:P913" si="410">F909/F911</f>
        <v>4.9182019149416084E-2</v>
      </c>
      <c r="G913" s="151">
        <f t="shared" si="410"/>
        <v>2.6481530248621831E-2</v>
      </c>
      <c r="H913" s="151">
        <f t="shared" si="410"/>
        <v>7.3411291719059885E-2</v>
      </c>
      <c r="I913" s="151" t="e">
        <f t="shared" si="410"/>
        <v>#DIV/0!</v>
      </c>
      <c r="J913" s="151">
        <f t="shared" si="410"/>
        <v>6.4945449610730108E-2</v>
      </c>
      <c r="K913" s="151">
        <f t="shared" si="410"/>
        <v>8.8356084390707829E-2</v>
      </c>
      <c r="L913" s="151" t="e">
        <f t="shared" si="410"/>
        <v>#DIV/0!</v>
      </c>
      <c r="M913" s="151" t="e">
        <f t="shared" si="410"/>
        <v>#DIV/0!</v>
      </c>
      <c r="N913" s="151">
        <f t="shared" si="410"/>
        <v>4.5662658128989349E-2</v>
      </c>
      <c r="O913" s="151">
        <f>O909/O911</f>
        <v>0.1192049987760658</v>
      </c>
      <c r="P913" s="151">
        <f t="shared" si="410"/>
        <v>3.4789948215336E-2</v>
      </c>
      <c r="Q913" s="151">
        <f>Q909/Q911</f>
        <v>1.7018477184063484E-2</v>
      </c>
      <c r="R913" s="151">
        <f t="shared" ref="R913:Z913" si="411">R909/R911</f>
        <v>2.4534987564531825E-2</v>
      </c>
      <c r="S913" s="151">
        <f t="shared" si="411"/>
        <v>5.3938072254615922E-2</v>
      </c>
      <c r="T913" s="151">
        <f t="shared" si="411"/>
        <v>8.0111688561613603E-2</v>
      </c>
      <c r="U913" s="151">
        <f t="shared" si="411"/>
        <v>7.6229088829125283E-2</v>
      </c>
      <c r="V913" s="151" t="e">
        <f t="shared" si="411"/>
        <v>#DIV/0!</v>
      </c>
      <c r="W913" s="151" t="e">
        <f t="shared" si="411"/>
        <v>#DIV/0!</v>
      </c>
      <c r="X913" s="151" t="e">
        <f t="shared" si="411"/>
        <v>#DIV/0!</v>
      </c>
      <c r="Y913" s="151" t="e">
        <f t="shared" si="411"/>
        <v>#DIV/0!</v>
      </c>
      <c r="Z913" s="151" t="e">
        <f t="shared" si="411"/>
        <v>#DIV/0!</v>
      </c>
      <c r="AA913" s="139"/>
      <c r="AB913" s="139"/>
    </row>
    <row r="914" spans="1:28" s="60" customFormat="1" hidden="1"/>
    <row r="915" spans="1:28" s="60" customFormat="1" hidden="1"/>
    <row r="916" spans="1:28" s="60" customFormat="1" ht="15" hidden="1">
      <c r="A916" s="65" t="s">
        <v>1315</v>
      </c>
    </row>
    <row r="917" spans="1:28" s="60" customFormat="1" hidden="1"/>
    <row r="918" spans="1:28" s="60" customFormat="1" ht="15" hidden="1">
      <c r="A918" s="65" t="s">
        <v>1112</v>
      </c>
    </row>
    <row r="919" spans="1:28" s="60" customFormat="1" hidden="1"/>
    <row r="920" spans="1:28" s="60" customFormat="1" hidden="1">
      <c r="A920" s="111" t="s">
        <v>1318</v>
      </c>
      <c r="F920" s="80">
        <f>F895</f>
        <v>1017179261.4612489</v>
      </c>
      <c r="G920" s="80">
        <f t="shared" ref="G920:Z920" si="412">G895</f>
        <v>402670323.24339944</v>
      </c>
      <c r="H920" s="80">
        <f t="shared" si="412"/>
        <v>140973669.47941807</v>
      </c>
      <c r="I920" s="80">
        <f t="shared" si="412"/>
        <v>0</v>
      </c>
      <c r="J920" s="80">
        <f t="shared" si="412"/>
        <v>12141999.068349391</v>
      </c>
      <c r="K920" s="80">
        <f t="shared" si="412"/>
        <v>158862794.51579908</v>
      </c>
      <c r="L920" s="80">
        <f t="shared" si="412"/>
        <v>0</v>
      </c>
      <c r="M920" s="80">
        <f t="shared" si="412"/>
        <v>0</v>
      </c>
      <c r="N920" s="80">
        <f t="shared" si="412"/>
        <v>123888501.86731727</v>
      </c>
      <c r="O920" s="80">
        <f t="shared" si="412"/>
        <v>80679092.169239894</v>
      </c>
      <c r="P920" s="80">
        <f t="shared" si="412"/>
        <v>68446605.13713342</v>
      </c>
      <c r="Q920" s="80">
        <f t="shared" si="412"/>
        <v>6762885.5315703759</v>
      </c>
      <c r="R920" s="80">
        <f t="shared" si="412"/>
        <v>3513275.1177982604</v>
      </c>
      <c r="S920" s="80">
        <f t="shared" si="412"/>
        <v>18735741.577701136</v>
      </c>
      <c r="T920" s="80">
        <f t="shared" si="412"/>
        <v>222752.47327662929</v>
      </c>
      <c r="U920" s="80">
        <f t="shared" si="412"/>
        <v>281621.28024605225</v>
      </c>
      <c r="V920" s="80">
        <f t="shared" si="412"/>
        <v>0</v>
      </c>
      <c r="W920" s="80">
        <f t="shared" si="412"/>
        <v>0</v>
      </c>
      <c r="X920" s="80">
        <f t="shared" si="412"/>
        <v>0</v>
      </c>
      <c r="Y920" s="80">
        <f t="shared" si="412"/>
        <v>0</v>
      </c>
      <c r="Z920" s="80">
        <f t="shared" si="412"/>
        <v>0</v>
      </c>
      <c r="AA920" s="80">
        <f>ROUND(SUM(G920:Z920),2)</f>
        <v>1017179261.46</v>
      </c>
      <c r="AB920" s="93" t="str">
        <f>IF(ABS(F920-AA920)&lt;0.01,"ok","err")</f>
        <v>ok</v>
      </c>
    </row>
    <row r="921" spans="1:28" s="60" customFormat="1" hidden="1"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93"/>
    </row>
    <row r="922" spans="1:28" s="60" customFormat="1" hidden="1">
      <c r="A922" s="60" t="s">
        <v>135</v>
      </c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93"/>
    </row>
    <row r="923" spans="1:28" s="60" customFormat="1" hidden="1">
      <c r="A923" s="60" t="s">
        <v>900</v>
      </c>
      <c r="F923" s="76">
        <f>($F$913*F911-F909)/(1-$E$935)-SUM(F893:F894)</f>
        <v>22391</v>
      </c>
      <c r="G923" s="255">
        <f>($F$913*G911-G909)/(1-$E$935)-SUM(G893:G894)</f>
        <v>42629674.737135231</v>
      </c>
      <c r="H923" s="255">
        <f t="shared" ref="H923:Z923" si="413">($F$913*H911-H909)/(1-$E$935)-SUM(H893:H894)</f>
        <v>-11926371.45291082</v>
      </c>
      <c r="I923" s="255">
        <f t="shared" si="413"/>
        <v>0</v>
      </c>
      <c r="J923" s="255">
        <f t="shared" si="413"/>
        <v>-580549.75253818976</v>
      </c>
      <c r="K923" s="255">
        <f t="shared" si="413"/>
        <v>-18534303.897946279</v>
      </c>
      <c r="L923" s="255">
        <f t="shared" si="413"/>
        <v>0</v>
      </c>
      <c r="M923" s="255">
        <f t="shared" si="413"/>
        <v>0</v>
      </c>
      <c r="N923" s="255">
        <f t="shared" si="413"/>
        <v>1389108.5820482129</v>
      </c>
      <c r="O923" s="255">
        <f t="shared" si="413"/>
        <v>-16378506.152655659</v>
      </c>
      <c r="P923" s="255">
        <f t="shared" si="413"/>
        <v>2984319.8210318554</v>
      </c>
      <c r="Q923" s="255">
        <f t="shared" si="413"/>
        <v>796912.29025488824</v>
      </c>
      <c r="R923" s="255">
        <f t="shared" si="413"/>
        <v>284492.32854289515</v>
      </c>
      <c r="S923" s="255">
        <f t="shared" si="413"/>
        <v>-605919.53854927723</v>
      </c>
      <c r="T923" s="255">
        <f t="shared" si="413"/>
        <v>-15562.009708524245</v>
      </c>
      <c r="U923" s="255">
        <f t="shared" si="413"/>
        <v>-20903.954704629428</v>
      </c>
      <c r="V923" s="255">
        <f t="shared" si="413"/>
        <v>0</v>
      </c>
      <c r="W923" s="255">
        <f t="shared" si="413"/>
        <v>0</v>
      </c>
      <c r="X923" s="255">
        <f t="shared" si="413"/>
        <v>0</v>
      </c>
      <c r="Y923" s="255">
        <f t="shared" si="413"/>
        <v>0</v>
      </c>
      <c r="Z923" s="255">
        <f t="shared" si="413"/>
        <v>0</v>
      </c>
      <c r="AA923" s="80">
        <f>SUM(G923:Z923)</f>
        <v>22390.999999706317</v>
      </c>
      <c r="AB923" s="93" t="str">
        <f>IF(ABS(F923-AA923)&lt;0.01,"ok","err")</f>
        <v>ok</v>
      </c>
    </row>
    <row r="924" spans="1:28" s="60" customFormat="1" hidden="1">
      <c r="A924" s="60" t="s">
        <v>896</v>
      </c>
      <c r="E924" s="60" t="s">
        <v>182</v>
      </c>
      <c r="F924" s="76">
        <f>F893</f>
        <v>-22391</v>
      </c>
      <c r="G924" s="76">
        <f>G893</f>
        <v>-20834.355219506127</v>
      </c>
      <c r="H924" s="76">
        <f t="shared" ref="H924:U924" si="414">H893</f>
        <v>-1347.7923692579229</v>
      </c>
      <c r="I924" s="76">
        <f t="shared" si="414"/>
        <v>0</v>
      </c>
      <c r="J924" s="76">
        <f t="shared" si="414"/>
        <v>-5.0261070647315949</v>
      </c>
      <c r="K924" s="76">
        <f t="shared" si="414"/>
        <v>-197.14672271267796</v>
      </c>
      <c r="L924" s="76">
        <f t="shared" si="414"/>
        <v>0</v>
      </c>
      <c r="M924" s="76">
        <f t="shared" si="414"/>
        <v>0</v>
      </c>
      <c r="N924" s="76">
        <f t="shared" si="414"/>
        <v>-0.59476066757413615</v>
      </c>
      <c r="O924" s="76">
        <f>O893</f>
        <v>-1.5559615568764129</v>
      </c>
      <c r="P924" s="76">
        <f t="shared" si="414"/>
        <v>-7.3288044345628148E-2</v>
      </c>
      <c r="Q924" s="76">
        <f t="shared" si="414"/>
        <v>0</v>
      </c>
      <c r="R924" s="76">
        <f t="shared" si="414"/>
        <v>0</v>
      </c>
      <c r="S924" s="76">
        <f t="shared" si="414"/>
        <v>-4.4555711897395023</v>
      </c>
      <c r="T924" s="76">
        <f t="shared" si="414"/>
        <v>0</v>
      </c>
      <c r="U924" s="76">
        <f t="shared" si="414"/>
        <v>0</v>
      </c>
      <c r="V924" s="76">
        <f>IF(VLOOKUP($E924,$D$6:$AN$1131,3,)=0,0,(VLOOKUP($E924,$D$6:$AN$1131,V$2,)/VLOOKUP($E924,$D$6:$AN$1131,3,))*$F924)</f>
        <v>0</v>
      </c>
      <c r="W924" s="76">
        <f>IF(VLOOKUP($E924,$D$6:$AN$1131,3,)=0,0,(VLOOKUP($E924,$D$6:$AN$1131,W$2,)/VLOOKUP($E924,$D$6:$AN$1131,3,))*$F924)</f>
        <v>0</v>
      </c>
      <c r="X924" s="79">
        <f>IF(VLOOKUP($E924,$D$6:$AN$1131,3,)=0,0,(VLOOKUP($E924,$D$6:$AN$1131,X$2,)/VLOOKUP($E924,$D$6:$AN$1131,3,))*$F924)</f>
        <v>0</v>
      </c>
      <c r="Y924" s="79">
        <f>IF(VLOOKUP($E924,$D$6:$AN$1131,3,)=0,0,(VLOOKUP($E924,$D$6:$AN$1131,Y$2,)/VLOOKUP($E924,$D$6:$AN$1131,3,))*$F924)</f>
        <v>0</v>
      </c>
      <c r="Z924" s="79">
        <f>IF(VLOOKUP($E924,$D$6:$AN$1131,3,)=0,0,(VLOOKUP($E924,$D$6:$AN$1131,Z$2,)/VLOOKUP($E924,$D$6:$AN$1131,3,))*$F924)</f>
        <v>0</v>
      </c>
      <c r="AA924" s="80">
        <f>SUM(G924:Z924)</f>
        <v>-22391</v>
      </c>
      <c r="AB924" s="93" t="str">
        <f>IF(ABS(F924-AA924)&lt;0.01,"ok","err")</f>
        <v>ok</v>
      </c>
    </row>
    <row r="925" spans="1:28" s="60" customFormat="1" hidden="1"/>
    <row r="926" spans="1:28" s="60" customFormat="1" hidden="1">
      <c r="A926" s="60" t="s">
        <v>136</v>
      </c>
      <c r="F926" s="80">
        <f>SUM(F920:F924)</f>
        <v>1017179261.4612489</v>
      </c>
      <c r="G926" s="80">
        <f t="shared" ref="G926:P926" si="415">SUM(G920:G924)</f>
        <v>445279163.62531519</v>
      </c>
      <c r="H926" s="80">
        <f t="shared" si="415"/>
        <v>129045950.23413798</v>
      </c>
      <c r="I926" s="80">
        <f t="shared" si="415"/>
        <v>0</v>
      </c>
      <c r="J926" s="80">
        <f t="shared" si="415"/>
        <v>11561444.289704137</v>
      </c>
      <c r="K926" s="80">
        <f t="shared" si="415"/>
        <v>140328293.4711301</v>
      </c>
      <c r="L926" s="80">
        <f t="shared" si="415"/>
        <v>0</v>
      </c>
      <c r="M926" s="80">
        <f t="shared" si="415"/>
        <v>0</v>
      </c>
      <c r="N926" s="80">
        <f t="shared" si="415"/>
        <v>125277609.85460481</v>
      </c>
      <c r="O926" s="80">
        <f>SUM(O920:O924)</f>
        <v>64300584.460622676</v>
      </c>
      <c r="P926" s="80">
        <f t="shared" si="415"/>
        <v>71430924.884877235</v>
      </c>
      <c r="Q926" s="80">
        <f>SUM(Q920:Q924)</f>
        <v>7559797.821825264</v>
      </c>
      <c r="R926" s="80">
        <f t="shared" ref="R926:Z926" si="416">SUM(R920:R924)</f>
        <v>3797767.4463411556</v>
      </c>
      <c r="S926" s="80">
        <f t="shared" si="416"/>
        <v>18129817.583580669</v>
      </c>
      <c r="T926" s="80">
        <f t="shared" si="416"/>
        <v>207190.46356810504</v>
      </c>
      <c r="U926" s="80">
        <f t="shared" si="416"/>
        <v>260717.32554142282</v>
      </c>
      <c r="V926" s="80">
        <f t="shared" si="416"/>
        <v>0</v>
      </c>
      <c r="W926" s="80">
        <f t="shared" si="416"/>
        <v>0</v>
      </c>
      <c r="X926" s="80">
        <f t="shared" si="416"/>
        <v>0</v>
      </c>
      <c r="Y926" s="80">
        <f t="shared" si="416"/>
        <v>0</v>
      </c>
      <c r="Z926" s="80">
        <f t="shared" si="416"/>
        <v>0</v>
      </c>
      <c r="AA926" s="80">
        <f>ROUND(SUM(G926:Z926),2)</f>
        <v>1017179261.46</v>
      </c>
      <c r="AB926" s="93" t="str">
        <f>IF(ABS(F926-AA926)&lt;0.01,"ok","err")</f>
        <v>ok</v>
      </c>
    </row>
    <row r="927" spans="1:28" s="60" customFormat="1" hidden="1"/>
    <row r="928" spans="1:28" s="60" customFormat="1" hidden="1"/>
    <row r="929" spans="1:28" s="60" customFormat="1" ht="15" hidden="1">
      <c r="A929" s="65" t="s">
        <v>1116</v>
      </c>
    </row>
    <row r="930" spans="1:28" s="60" customFormat="1" hidden="1"/>
    <row r="931" spans="1:28" s="60" customFormat="1" hidden="1">
      <c r="A931" s="60" t="s">
        <v>1119</v>
      </c>
      <c r="F931" s="80">
        <f>F900+F904</f>
        <v>904139537.57816255</v>
      </c>
      <c r="G931" s="80">
        <f t="shared" ref="G931:Z931" si="417">G900+G904</f>
        <v>372713945.23679817</v>
      </c>
      <c r="H931" s="80">
        <f t="shared" si="417"/>
        <v>119725265.69388142</v>
      </c>
      <c r="I931" s="80">
        <f t="shared" si="417"/>
        <v>0</v>
      </c>
      <c r="J931" s="80">
        <f t="shared" si="417"/>
        <v>10733029.38608798</v>
      </c>
      <c r="K931" s="80">
        <f t="shared" si="417"/>
        <v>134301307.17334652</v>
      </c>
      <c r="L931" s="80">
        <f t="shared" si="417"/>
        <v>0</v>
      </c>
      <c r="M931" s="80">
        <f t="shared" si="417"/>
        <v>0</v>
      </c>
      <c r="N931" s="80">
        <f t="shared" si="417"/>
        <v>113220697.23401846</v>
      </c>
      <c r="O931" s="80">
        <f t="shared" si="417"/>
        <v>64331239.787827805</v>
      </c>
      <c r="P931" s="80">
        <f t="shared" si="417"/>
        <v>64162435.544149332</v>
      </c>
      <c r="Q931" s="80">
        <f t="shared" si="417"/>
        <v>6505771.9677781062</v>
      </c>
      <c r="R931" s="80">
        <f t="shared" si="417"/>
        <v>3343411.1257372517</v>
      </c>
      <c r="S931" s="80">
        <f t="shared" si="417"/>
        <v>14656230.182159739</v>
      </c>
      <c r="T931" s="80">
        <f t="shared" si="417"/>
        <v>199175.56339998255</v>
      </c>
      <c r="U931" s="80">
        <f t="shared" si="417"/>
        <v>247028.68297776376</v>
      </c>
      <c r="V931" s="80">
        <f t="shared" si="417"/>
        <v>0</v>
      </c>
      <c r="W931" s="80">
        <f t="shared" si="417"/>
        <v>0</v>
      </c>
      <c r="X931" s="80">
        <f t="shared" si="417"/>
        <v>0</v>
      </c>
      <c r="Y931" s="80">
        <f t="shared" si="417"/>
        <v>0</v>
      </c>
      <c r="Z931" s="80">
        <f t="shared" si="417"/>
        <v>0</v>
      </c>
      <c r="AA931" s="80">
        <f>ROUND(SUM(G931:Z931),2)</f>
        <v>904139537.58000004</v>
      </c>
      <c r="AB931" s="93" t="str">
        <f>IF(ABS(F931-AA931)&lt;0.01,"ok","err")</f>
        <v>ok</v>
      </c>
    </row>
    <row r="932" spans="1:28" s="60" customFormat="1" hidden="1"/>
    <row r="933" spans="1:28" s="60" customFormat="1" hidden="1">
      <c r="A933" s="60" t="s">
        <v>710</v>
      </c>
      <c r="F933" s="112">
        <f>F902</f>
        <v>-4059414.1199999996</v>
      </c>
      <c r="G933" s="112">
        <f t="shared" ref="G933:Z933" si="418">G902</f>
        <v>-543620.57590859686</v>
      </c>
      <c r="H933" s="112">
        <f t="shared" si="418"/>
        <v>-927030.60818927304</v>
      </c>
      <c r="I933" s="112">
        <f t="shared" si="418"/>
        <v>0</v>
      </c>
      <c r="J933" s="112">
        <f t="shared" si="418"/>
        <v>-58717.272899689371</v>
      </c>
      <c r="K933" s="112">
        <f t="shared" si="418"/>
        <v>-1089905.737037403</v>
      </c>
      <c r="L933" s="112">
        <f t="shared" si="418"/>
        <v>0</v>
      </c>
      <c r="M933" s="112">
        <f t="shared" si="418"/>
        <v>0</v>
      </c>
      <c r="N933" s="112">
        <f t="shared" si="418"/>
        <v>-391443.84013774648</v>
      </c>
      <c r="O933" s="112">
        <f t="shared" si="418"/>
        <v>-760983.00288166222</v>
      </c>
      <c r="P933" s="112">
        <f t="shared" si="418"/>
        <v>-142408.00468673278</v>
      </c>
      <c r="Q933" s="112">
        <f t="shared" si="418"/>
        <v>-1624.0629435925593</v>
      </c>
      <c r="R933" s="112">
        <f t="shared" si="418"/>
        <v>-3909.695886368535</v>
      </c>
      <c r="S933" s="112">
        <f t="shared" si="418"/>
        <v>-137056.65424554003</v>
      </c>
      <c r="T933" s="112">
        <f t="shared" si="418"/>
        <v>-1156.1886244914131</v>
      </c>
      <c r="U933" s="112">
        <f t="shared" si="418"/>
        <v>-1558.4765589040039</v>
      </c>
      <c r="V933" s="112">
        <f t="shared" si="418"/>
        <v>0</v>
      </c>
      <c r="W933" s="112">
        <f t="shared" si="418"/>
        <v>0</v>
      </c>
      <c r="X933" s="112">
        <f t="shared" si="418"/>
        <v>0</v>
      </c>
      <c r="Y933" s="112">
        <f t="shared" si="418"/>
        <v>0</v>
      </c>
      <c r="Z933" s="112">
        <f t="shared" si="418"/>
        <v>0</v>
      </c>
      <c r="AA933" s="80">
        <f>ROUND(SUM(G933:Z933),2)</f>
        <v>-4059414.12</v>
      </c>
      <c r="AB933" s="93" t="str">
        <f>IF(ABS(F933-AA933)&lt;0.01,"ok","err")</f>
        <v>ok</v>
      </c>
    </row>
    <row r="934" spans="1:28" s="60" customFormat="1" hidden="1"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80"/>
      <c r="AB934" s="93"/>
    </row>
    <row r="935" spans="1:28" s="60" customFormat="1" hidden="1">
      <c r="A935" s="60" t="s">
        <v>711</v>
      </c>
      <c r="E935" s="60">
        <f>E868</f>
        <v>0.38639026999999998</v>
      </c>
      <c r="F935" s="112">
        <f>(F923+F924)*$E$935</f>
        <v>0</v>
      </c>
      <c r="G935" s="112">
        <f>(G923+G924)*$E$935</f>
        <v>16463641.339555319</v>
      </c>
      <c r="H935" s="112">
        <f t="shared" ref="H935:Y935" si="419">(H923+H924)*$E$935</f>
        <v>-4608754.659667965</v>
      </c>
      <c r="I935" s="112">
        <f t="shared" si="419"/>
        <v>0</v>
      </c>
      <c r="J935" s="112">
        <f t="shared" si="419"/>
        <v>-224320.71767053008</v>
      </c>
      <c r="K935" s="112">
        <f t="shared" si="419"/>
        <v>-7161550.8629649328</v>
      </c>
      <c r="L935" s="112">
        <f t="shared" si="419"/>
        <v>0</v>
      </c>
      <c r="M935" s="112">
        <f t="shared" si="419"/>
        <v>0</v>
      </c>
      <c r="N935" s="112">
        <f t="shared" si="419"/>
        <v>536737.81026719115</v>
      </c>
      <c r="O935" s="112">
        <f t="shared" si="419"/>
        <v>-6328496.0157296872</v>
      </c>
      <c r="P935" s="112">
        <f t="shared" si="419"/>
        <v>1153112.113097063</v>
      </c>
      <c r="Q935" s="112">
        <f t="shared" si="419"/>
        <v>307919.15499790461</v>
      </c>
      <c r="R935" s="112">
        <f t="shared" si="419"/>
        <v>109925.06763861795</v>
      </c>
      <c r="S935" s="112">
        <f t="shared" si="419"/>
        <v>-234123.13568768563</v>
      </c>
      <c r="T935" s="112">
        <f t="shared" si="419"/>
        <v>-6013.0091330193045</v>
      </c>
      <c r="U935" s="112">
        <f t="shared" si="419"/>
        <v>-8077.0847023895349</v>
      </c>
      <c r="V935" s="112">
        <f t="shared" si="419"/>
        <v>0</v>
      </c>
      <c r="W935" s="112">
        <f t="shared" si="419"/>
        <v>0</v>
      </c>
      <c r="X935" s="112">
        <f t="shared" si="419"/>
        <v>0</v>
      </c>
      <c r="Y935" s="112">
        <f t="shared" si="419"/>
        <v>0</v>
      </c>
      <c r="Z935" s="112">
        <f>(Z923+Z924)*$E$935</f>
        <v>0</v>
      </c>
      <c r="AA935" s="80">
        <f>ROUND(SUM(G935:Z935),2)</f>
        <v>0</v>
      </c>
      <c r="AB935" s="93" t="str">
        <f>IF(ABS(F935-AA935)&lt;0.01,"ok","err")</f>
        <v>ok</v>
      </c>
    </row>
    <row r="936" spans="1:28" s="60" customFormat="1" hidden="1">
      <c r="A936" s="68"/>
      <c r="F936" s="79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80"/>
      <c r="AB936" s="93"/>
    </row>
    <row r="937" spans="1:28" s="60" customFormat="1" hidden="1">
      <c r="A937" s="60" t="s">
        <v>137</v>
      </c>
      <c r="F937" s="80">
        <f t="shared" ref="F937:Z937" si="420">SUM(F931:F936)</f>
        <v>900080123.45816255</v>
      </c>
      <c r="G937" s="80">
        <f t="shared" si="420"/>
        <v>388633966.00044489</v>
      </c>
      <c r="H937" s="80">
        <f t="shared" si="420"/>
        <v>114189480.42602418</v>
      </c>
      <c r="I937" s="80">
        <f t="shared" si="420"/>
        <v>0</v>
      </c>
      <c r="J937" s="80">
        <f t="shared" si="420"/>
        <v>10449991.395517761</v>
      </c>
      <c r="K937" s="80">
        <f t="shared" si="420"/>
        <v>126049850.57334419</v>
      </c>
      <c r="L937" s="80">
        <f t="shared" si="420"/>
        <v>0</v>
      </c>
      <c r="M937" s="80">
        <f t="shared" si="420"/>
        <v>0</v>
      </c>
      <c r="N937" s="80">
        <f t="shared" si="420"/>
        <v>113365991.20414791</v>
      </c>
      <c r="O937" s="80">
        <f>SUM(O931:O936)</f>
        <v>57241760.769216456</v>
      </c>
      <c r="P937" s="80">
        <f t="shared" si="420"/>
        <v>65173139.65255966</v>
      </c>
      <c r="Q937" s="80">
        <f t="shared" si="420"/>
        <v>6812067.0598324183</v>
      </c>
      <c r="R937" s="80">
        <f t="shared" si="420"/>
        <v>3449426.4974895013</v>
      </c>
      <c r="S937" s="80">
        <f t="shared" si="420"/>
        <v>14285050.392226512</v>
      </c>
      <c r="T937" s="80">
        <f t="shared" si="420"/>
        <v>192006.36564247182</v>
      </c>
      <c r="U937" s="80">
        <f t="shared" si="420"/>
        <v>237393.1217164702</v>
      </c>
      <c r="V937" s="80">
        <f t="shared" si="420"/>
        <v>0</v>
      </c>
      <c r="W937" s="80">
        <f t="shared" si="420"/>
        <v>0</v>
      </c>
      <c r="X937" s="80">
        <f t="shared" si="420"/>
        <v>0</v>
      </c>
      <c r="Y937" s="80">
        <f t="shared" si="420"/>
        <v>0</v>
      </c>
      <c r="Z937" s="80">
        <f t="shared" si="420"/>
        <v>0</v>
      </c>
      <c r="AA937" s="80">
        <f>ROUND(SUM(G937:Z937),2)</f>
        <v>900080123.46000004</v>
      </c>
      <c r="AB937" s="93" t="str">
        <f>IF(ABS(F937-AA937)&lt;0.01,"ok","err")</f>
        <v>ok</v>
      </c>
    </row>
    <row r="938" spans="1:28" s="60" customFormat="1" hidden="1"/>
    <row r="939" spans="1:28" s="60" customFormat="1" hidden="1"/>
    <row r="940" spans="1:28" s="60" customFormat="1" ht="15" hidden="1">
      <c r="A940" s="65" t="s">
        <v>894</v>
      </c>
      <c r="F940" s="80">
        <f t="shared" ref="F940:Z940" si="421">F926-F937</f>
        <v>117099138.00308633</v>
      </c>
      <c r="G940" s="80">
        <f t="shared" si="421"/>
        <v>56645197.6248703</v>
      </c>
      <c r="H940" s="80">
        <f t="shared" si="421"/>
        <v>14856469.808113798</v>
      </c>
      <c r="I940" s="80">
        <f t="shared" si="421"/>
        <v>0</v>
      </c>
      <c r="J940" s="80">
        <f t="shared" si="421"/>
        <v>1111452.8941863757</v>
      </c>
      <c r="K940" s="80">
        <f t="shared" si="421"/>
        <v>14278442.897785917</v>
      </c>
      <c r="L940" s="80">
        <f t="shared" si="421"/>
        <v>0</v>
      </c>
      <c r="M940" s="80">
        <f t="shared" si="421"/>
        <v>0</v>
      </c>
      <c r="N940" s="80">
        <f t="shared" si="421"/>
        <v>11911618.650456905</v>
      </c>
      <c r="O940" s="80">
        <f>O926-O937</f>
        <v>7058823.6914062202</v>
      </c>
      <c r="P940" s="80">
        <f t="shared" si="421"/>
        <v>6257785.2323175743</v>
      </c>
      <c r="Q940" s="80">
        <f t="shared" si="421"/>
        <v>747730.76199284568</v>
      </c>
      <c r="R940" s="80">
        <f t="shared" si="421"/>
        <v>348340.94885165431</v>
      </c>
      <c r="S940" s="80">
        <f t="shared" si="421"/>
        <v>3844767.1913541574</v>
      </c>
      <c r="T940" s="80">
        <f t="shared" si="421"/>
        <v>15184.097925633221</v>
      </c>
      <c r="U940" s="80">
        <f t="shared" si="421"/>
        <v>23324.203824952623</v>
      </c>
      <c r="V940" s="80">
        <f t="shared" si="421"/>
        <v>0</v>
      </c>
      <c r="W940" s="80">
        <f t="shared" si="421"/>
        <v>0</v>
      </c>
      <c r="X940" s="80">
        <f t="shared" si="421"/>
        <v>0</v>
      </c>
      <c r="Y940" s="80">
        <f t="shared" si="421"/>
        <v>0</v>
      </c>
      <c r="Z940" s="80">
        <f t="shared" si="421"/>
        <v>0</v>
      </c>
      <c r="AA940" s="80">
        <f>ROUND(SUM(G940:Z940),2)</f>
        <v>117099138</v>
      </c>
      <c r="AB940" s="93" t="str">
        <f>IF(ABS(F940-AA940)&lt;0.01,"ok","err")</f>
        <v>ok</v>
      </c>
    </row>
    <row r="941" spans="1:28" s="60" customFormat="1" hidden="1"/>
    <row r="942" spans="1:28" s="60" customFormat="1" ht="15" hidden="1">
      <c r="A942" s="65" t="s">
        <v>1102</v>
      </c>
      <c r="F942" s="80">
        <f>F911</f>
        <v>2380933927.241509</v>
      </c>
      <c r="G942" s="80">
        <f t="shared" ref="G942:W942" si="422">G911</f>
        <v>1151746077.2153518</v>
      </c>
      <c r="H942" s="80">
        <f t="shared" si="422"/>
        <v>302071164.72748941</v>
      </c>
      <c r="I942" s="80">
        <f t="shared" si="422"/>
        <v>0</v>
      </c>
      <c r="J942" s="80">
        <f t="shared" si="422"/>
        <v>22598765.024464671</v>
      </c>
      <c r="K942" s="80">
        <f t="shared" si="422"/>
        <v>290318355.05589318</v>
      </c>
      <c r="L942" s="80">
        <f t="shared" si="422"/>
        <v>0</v>
      </c>
      <c r="M942" s="80">
        <f t="shared" si="422"/>
        <v>0</v>
      </c>
      <c r="N942" s="80">
        <f t="shared" si="422"/>
        <v>242194583.63978818</v>
      </c>
      <c r="O942" s="80">
        <f>O911</f>
        <v>143524479.34195939</v>
      </c>
      <c r="P942" s="80">
        <f t="shared" si="422"/>
        <v>127237257.44781397</v>
      </c>
      <c r="Q942" s="80">
        <f t="shared" si="422"/>
        <v>15203335.994018935</v>
      </c>
      <c r="R942" s="80">
        <f t="shared" si="422"/>
        <v>7082689.0574253704</v>
      </c>
      <c r="S942" s="80">
        <f t="shared" si="422"/>
        <v>78174244.52773416</v>
      </c>
      <c r="T942" s="80">
        <f t="shared" si="422"/>
        <v>308732.70736411982</v>
      </c>
      <c r="U942" s="80">
        <f t="shared" si="422"/>
        <v>474242.50220579916</v>
      </c>
      <c r="V942" s="80">
        <f t="shared" si="422"/>
        <v>0</v>
      </c>
      <c r="W942" s="80">
        <f t="shared" si="422"/>
        <v>0</v>
      </c>
      <c r="X942" s="80">
        <f>X788</f>
        <v>0</v>
      </c>
      <c r="Y942" s="80">
        <f>Y788</f>
        <v>0</v>
      </c>
      <c r="Z942" s="80">
        <f>Z788</f>
        <v>0</v>
      </c>
      <c r="AA942" s="80">
        <f>ROUND(SUM(G942:Z942),2)</f>
        <v>2380933927.2399998</v>
      </c>
      <c r="AB942" s="93" t="str">
        <f>IF(ABS(F942-AA942)&lt;0.01,"ok","err")</f>
        <v>ok</v>
      </c>
    </row>
    <row r="943" spans="1:28" s="60" customFormat="1" ht="15" hidden="1" thickBot="1"/>
    <row r="944" spans="1:28" s="60" customFormat="1" ht="15.75" hidden="1" thickBot="1">
      <c r="A944" s="282" t="s">
        <v>1120</v>
      </c>
      <c r="B944" s="150"/>
      <c r="C944" s="150"/>
      <c r="D944" s="150"/>
      <c r="E944" s="150"/>
      <c r="F944" s="151">
        <f t="shared" ref="F944:P944" si="423">F940/F942</f>
        <v>4.9182019149416084E-2</v>
      </c>
      <c r="G944" s="151">
        <f t="shared" si="423"/>
        <v>4.9182019149416091E-2</v>
      </c>
      <c r="H944" s="151">
        <f t="shared" si="423"/>
        <v>4.9182019149416063E-2</v>
      </c>
      <c r="I944" s="151" t="e">
        <f t="shared" si="423"/>
        <v>#DIV/0!</v>
      </c>
      <c r="J944" s="151">
        <f t="shared" si="423"/>
        <v>4.9182019149416077E-2</v>
      </c>
      <c r="K944" s="151">
        <f t="shared" si="423"/>
        <v>4.9182019149416084E-2</v>
      </c>
      <c r="L944" s="151" t="e">
        <f t="shared" si="423"/>
        <v>#DIV/0!</v>
      </c>
      <c r="M944" s="151" t="e">
        <f t="shared" si="423"/>
        <v>#DIV/0!</v>
      </c>
      <c r="N944" s="151">
        <f t="shared" si="423"/>
        <v>4.9182019149416036E-2</v>
      </c>
      <c r="O944" s="151">
        <f>O940/O942</f>
        <v>4.9182019149416084E-2</v>
      </c>
      <c r="P944" s="151">
        <f t="shared" si="423"/>
        <v>4.9182019149416112E-2</v>
      </c>
      <c r="Q944" s="151">
        <f>Q940/Q942</f>
        <v>4.9182019149416056E-2</v>
      </c>
      <c r="R944" s="151">
        <f t="shared" ref="R944:Z944" si="424">R940/R942</f>
        <v>4.9182019149416084E-2</v>
      </c>
      <c r="S944" s="151">
        <f t="shared" si="424"/>
        <v>4.9182019149416091E-2</v>
      </c>
      <c r="T944" s="151">
        <f t="shared" si="424"/>
        <v>4.9182019149416112E-2</v>
      </c>
      <c r="U944" s="151">
        <f t="shared" si="424"/>
        <v>4.9182019149416105E-2</v>
      </c>
      <c r="V944" s="151" t="e">
        <f t="shared" si="424"/>
        <v>#DIV/0!</v>
      </c>
      <c r="W944" s="151" t="e">
        <f t="shared" si="424"/>
        <v>#DIV/0!</v>
      </c>
      <c r="X944" s="151" t="e">
        <f t="shared" si="424"/>
        <v>#DIV/0!</v>
      </c>
      <c r="Y944" s="151" t="e">
        <f t="shared" si="424"/>
        <v>#DIV/0!</v>
      </c>
      <c r="Z944" s="151" t="e">
        <f t="shared" si="424"/>
        <v>#DIV/0!</v>
      </c>
      <c r="AA944" s="139"/>
      <c r="AB944" s="139"/>
    </row>
    <row r="945" spans="1:28" s="60" customFormat="1" hidden="1"/>
    <row r="946" spans="1:28" s="60" customFormat="1" hidden="1"/>
    <row r="947" spans="1:28" s="60" customFormat="1" hidden="1"/>
    <row r="948" spans="1:28" s="60" customFormat="1" ht="15" hidden="1">
      <c r="A948" s="65" t="s">
        <v>897</v>
      </c>
      <c r="B948" s="65"/>
      <c r="F948" s="76">
        <f>F926</f>
        <v>1017179261.4612489</v>
      </c>
      <c r="G948" s="76">
        <f t="shared" ref="G948:U948" si="425">G926</f>
        <v>445279163.62531519</v>
      </c>
      <c r="H948" s="76">
        <f t="shared" si="425"/>
        <v>129045950.23413798</v>
      </c>
      <c r="I948" s="76">
        <f t="shared" si="425"/>
        <v>0</v>
      </c>
      <c r="J948" s="76">
        <f t="shared" si="425"/>
        <v>11561444.289704137</v>
      </c>
      <c r="K948" s="76">
        <f t="shared" si="425"/>
        <v>140328293.4711301</v>
      </c>
      <c r="L948" s="76">
        <f t="shared" si="425"/>
        <v>0</v>
      </c>
      <c r="M948" s="76">
        <f t="shared" si="425"/>
        <v>0</v>
      </c>
      <c r="N948" s="76">
        <f t="shared" si="425"/>
        <v>125277609.85460481</v>
      </c>
      <c r="O948" s="76">
        <f t="shared" si="425"/>
        <v>64300584.460622676</v>
      </c>
      <c r="P948" s="76">
        <f t="shared" si="425"/>
        <v>71430924.884877235</v>
      </c>
      <c r="Q948" s="76">
        <f t="shared" si="425"/>
        <v>7559797.821825264</v>
      </c>
      <c r="R948" s="76">
        <f t="shared" si="425"/>
        <v>3797767.4463411556</v>
      </c>
      <c r="S948" s="76">
        <f t="shared" si="425"/>
        <v>18129817.583580669</v>
      </c>
      <c r="T948" s="76">
        <f t="shared" si="425"/>
        <v>207190.46356810504</v>
      </c>
      <c r="U948" s="76">
        <f t="shared" si="425"/>
        <v>260717.32554142282</v>
      </c>
      <c r="V948" s="60">
        <v>1</v>
      </c>
      <c r="W948" s="60">
        <v>1</v>
      </c>
      <c r="Z948" s="80">
        <f>ROUND(SUM(G949:Z949),2)</f>
        <v>0</v>
      </c>
      <c r="AA948" s="80"/>
      <c r="AB948" s="93"/>
    </row>
    <row r="949" spans="1:28" s="60" customFormat="1" ht="15" hidden="1">
      <c r="A949" s="65"/>
      <c r="B949" s="65"/>
    </row>
    <row r="950" spans="1:28" s="60" customFormat="1" ht="15" hidden="1">
      <c r="A950" s="65" t="s">
        <v>898</v>
      </c>
      <c r="B950" s="65"/>
      <c r="F950" s="80">
        <f>F923</f>
        <v>22391</v>
      </c>
      <c r="G950" s="80">
        <f>G923</f>
        <v>42629674.737135231</v>
      </c>
      <c r="H950" s="80">
        <f t="shared" ref="H950:Z950" si="426">H923</f>
        <v>-11926371.45291082</v>
      </c>
      <c r="I950" s="80">
        <f t="shared" si="426"/>
        <v>0</v>
      </c>
      <c r="J950" s="80">
        <f t="shared" si="426"/>
        <v>-580549.75253818976</v>
      </c>
      <c r="K950" s="80">
        <f t="shared" si="426"/>
        <v>-18534303.897946279</v>
      </c>
      <c r="L950" s="80">
        <f t="shared" si="426"/>
        <v>0</v>
      </c>
      <c r="M950" s="80">
        <f t="shared" si="426"/>
        <v>0</v>
      </c>
      <c r="N950" s="80">
        <f t="shared" si="426"/>
        <v>1389108.5820482129</v>
      </c>
      <c r="O950" s="80">
        <f>O923</f>
        <v>-16378506.152655659</v>
      </c>
      <c r="P950" s="80">
        <f t="shared" si="426"/>
        <v>2984319.8210318554</v>
      </c>
      <c r="Q950" s="80">
        <f t="shared" si="426"/>
        <v>796912.29025488824</v>
      </c>
      <c r="R950" s="80">
        <f t="shared" si="426"/>
        <v>284492.32854289515</v>
      </c>
      <c r="S950" s="80">
        <f t="shared" si="426"/>
        <v>-605919.53854927723</v>
      </c>
      <c r="T950" s="80">
        <f t="shared" si="426"/>
        <v>-15562.009708524245</v>
      </c>
      <c r="U950" s="80">
        <f t="shared" si="426"/>
        <v>-20903.954704629428</v>
      </c>
      <c r="V950" s="80">
        <f t="shared" si="426"/>
        <v>0</v>
      </c>
      <c r="W950" s="80">
        <f t="shared" si="426"/>
        <v>0</v>
      </c>
      <c r="X950" s="80">
        <f t="shared" si="426"/>
        <v>0</v>
      </c>
      <c r="Y950" s="80">
        <f t="shared" si="426"/>
        <v>0</v>
      </c>
      <c r="Z950" s="80">
        <f t="shared" si="426"/>
        <v>0</v>
      </c>
      <c r="AA950" s="80"/>
      <c r="AB950" s="93"/>
    </row>
    <row r="951" spans="1:28" s="60" customFormat="1" ht="15" hidden="1">
      <c r="A951" s="65"/>
      <c r="B951" s="65"/>
    </row>
    <row r="952" spans="1:28" s="60" customFormat="1" ht="15" hidden="1">
      <c r="A952" s="65" t="s">
        <v>899</v>
      </c>
      <c r="B952" s="65"/>
      <c r="F952" s="152">
        <f>F950/F948</f>
        <v>2.2012835739330519E-5</v>
      </c>
      <c r="G952" s="152">
        <f>G950/G926</f>
        <v>9.573696283037042E-2</v>
      </c>
      <c r="H952" s="152">
        <f t="shared" ref="H952:Z952" si="427">H950/H948</f>
        <v>-9.2419571720552929E-2</v>
      </c>
      <c r="I952" s="152" t="e">
        <f t="shared" si="427"/>
        <v>#DIV/0!</v>
      </c>
      <c r="J952" s="152">
        <f t="shared" si="427"/>
        <v>-5.0214293127303244E-2</v>
      </c>
      <c r="K952" s="152">
        <f t="shared" si="427"/>
        <v>-0.13207816784117996</v>
      </c>
      <c r="L952" s="152" t="e">
        <f t="shared" si="427"/>
        <v>#DIV/0!</v>
      </c>
      <c r="M952" s="152" t="e">
        <f t="shared" si="427"/>
        <v>#DIV/0!</v>
      </c>
      <c r="N952" s="152">
        <f t="shared" si="427"/>
        <v>1.1088243012142314E-2</v>
      </c>
      <c r="O952" s="152">
        <f>O950/O948</f>
        <v>-0.25471784261441305</v>
      </c>
      <c r="P952" s="152">
        <f t="shared" si="427"/>
        <v>4.1779100940406148E-2</v>
      </c>
      <c r="Q952" s="152">
        <f t="shared" si="427"/>
        <v>0.10541449772032117</v>
      </c>
      <c r="R952" s="152">
        <f t="shared" si="427"/>
        <v>7.4910413173660942E-2</v>
      </c>
      <c r="S952" s="152">
        <f t="shared" si="427"/>
        <v>-3.3421160238149901E-2</v>
      </c>
      <c r="T952" s="152">
        <f t="shared" si="427"/>
        <v>-7.5109681403888059E-2</v>
      </c>
      <c r="U952" s="152">
        <f t="shared" si="427"/>
        <v>-8.0178617440244501E-2</v>
      </c>
      <c r="V952" s="152">
        <f>V950/V948</f>
        <v>0</v>
      </c>
      <c r="W952" s="152">
        <f t="shared" si="427"/>
        <v>0</v>
      </c>
      <c r="X952" s="152" t="e">
        <f t="shared" si="427"/>
        <v>#DIV/0!</v>
      </c>
      <c r="Y952" s="152" t="e">
        <f t="shared" si="427"/>
        <v>#DIV/0!</v>
      </c>
      <c r="Z952" s="152" t="e">
        <f t="shared" si="427"/>
        <v>#DIV/0!</v>
      </c>
    </row>
    <row r="953" spans="1:28" s="60" customFormat="1" ht="15" hidden="1">
      <c r="A953" s="65"/>
      <c r="B953" s="65"/>
      <c r="F953" s="152"/>
      <c r="G953" s="152"/>
      <c r="H953" s="152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</row>
    <row r="954" spans="1:28" s="60" customFormat="1" hidden="1">
      <c r="A954" s="32" t="s">
        <v>1316</v>
      </c>
      <c r="B954" s="248"/>
      <c r="C954" s="248"/>
      <c r="D954" s="248"/>
      <c r="E954" s="248"/>
      <c r="F954" s="250">
        <f>F923-F891</f>
        <v>22391</v>
      </c>
      <c r="G954" s="250">
        <f>G923-G891</f>
        <v>42629674.737135231</v>
      </c>
      <c r="H954" s="250">
        <f t="shared" ref="H954:U954" si="428">H923-H891</f>
        <v>-11926371.45291082</v>
      </c>
      <c r="I954" s="250">
        <f t="shared" si="428"/>
        <v>0</v>
      </c>
      <c r="J954" s="250">
        <f t="shared" si="428"/>
        <v>-580549.75253818976</v>
      </c>
      <c r="K954" s="250">
        <f t="shared" si="428"/>
        <v>-18534303.897946279</v>
      </c>
      <c r="L954" s="250">
        <f t="shared" si="428"/>
        <v>0</v>
      </c>
      <c r="M954" s="250">
        <f t="shared" si="428"/>
        <v>0</v>
      </c>
      <c r="N954" s="250">
        <f t="shared" si="428"/>
        <v>1389108.5820482129</v>
      </c>
      <c r="O954" s="250">
        <f t="shared" si="428"/>
        <v>-16378506.152655659</v>
      </c>
      <c r="P954" s="250">
        <f t="shared" si="428"/>
        <v>2984319.8210318554</v>
      </c>
      <c r="Q954" s="250">
        <f t="shared" si="428"/>
        <v>796912.29025488824</v>
      </c>
      <c r="R954" s="250">
        <f t="shared" si="428"/>
        <v>284492.32854289515</v>
      </c>
      <c r="S954" s="250">
        <f t="shared" si="428"/>
        <v>-605919.53854927723</v>
      </c>
      <c r="T954" s="250">
        <f t="shared" si="428"/>
        <v>-15562.009708524245</v>
      </c>
      <c r="U954" s="250">
        <f t="shared" si="428"/>
        <v>-20903.954704629428</v>
      </c>
      <c r="V954" s="250">
        <f>V922-V889</f>
        <v>0</v>
      </c>
      <c r="W954" s="249" t="str">
        <f>IF(ABS(F954-V954)&lt;0.01,"ok","err")</f>
        <v>err</v>
      </c>
      <c r="X954" s="152"/>
      <c r="Y954" s="152"/>
      <c r="Z954" s="152"/>
    </row>
    <row r="955" spans="1:28" s="60" customFormat="1" ht="15" hidden="1">
      <c r="A955" s="65"/>
      <c r="B955" s="65"/>
      <c r="F955" s="152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</row>
    <row r="956" spans="1:28" s="154" customFormat="1" ht="15">
      <c r="A956" s="65"/>
      <c r="B956" s="65"/>
      <c r="C956" s="60"/>
      <c r="D956" s="60"/>
      <c r="E956" s="60"/>
      <c r="F956" s="152"/>
      <c r="G956" s="152"/>
      <c r="H956" s="152"/>
      <c r="I956" s="152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8"/>
      <c r="Y956" s="158"/>
      <c r="Z956" s="158"/>
    </row>
    <row r="957" spans="1:28" s="232" customFormat="1" ht="15">
      <c r="A957" s="65" t="s">
        <v>1248</v>
      </c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</row>
    <row r="958" spans="1:28" s="154" customFormat="1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</row>
    <row r="959" spans="1:28" s="154" customFormat="1" ht="15">
      <c r="A959" s="65" t="s">
        <v>1112</v>
      </c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</row>
    <row r="960" spans="1:28" s="154" customFormat="1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</row>
    <row r="961" spans="1:28" s="154" customFormat="1">
      <c r="A961" s="60" t="s">
        <v>134</v>
      </c>
      <c r="B961" s="60"/>
      <c r="C961" s="60"/>
      <c r="D961" s="60"/>
      <c r="E961" s="60"/>
      <c r="F961" s="80">
        <f>F888</f>
        <v>1017201652.4612489</v>
      </c>
      <c r="G961" s="80">
        <f t="shared" ref="G961:Z961" si="429">G888</f>
        <v>402691157.59861892</v>
      </c>
      <c r="H961" s="80">
        <f t="shared" si="429"/>
        <v>140975017.27178732</v>
      </c>
      <c r="I961" s="80">
        <f t="shared" si="429"/>
        <v>0</v>
      </c>
      <c r="J961" s="80">
        <f t="shared" si="429"/>
        <v>12142004.094456457</v>
      </c>
      <c r="K961" s="80">
        <f t="shared" si="429"/>
        <v>158862991.66252178</v>
      </c>
      <c r="L961" s="80">
        <f t="shared" si="429"/>
        <v>0</v>
      </c>
      <c r="M961" s="80">
        <f t="shared" si="429"/>
        <v>0</v>
      </c>
      <c r="N961" s="80">
        <f t="shared" si="429"/>
        <v>123888502.46207795</v>
      </c>
      <c r="O961" s="80">
        <f>O888</f>
        <v>80679093.725201458</v>
      </c>
      <c r="P961" s="80">
        <f t="shared" si="429"/>
        <v>68446605.210421458</v>
      </c>
      <c r="Q961" s="80">
        <f t="shared" si="429"/>
        <v>6762885.5315703759</v>
      </c>
      <c r="R961" s="80">
        <f t="shared" si="429"/>
        <v>3513275.1177982604</v>
      </c>
      <c r="S961" s="80">
        <f t="shared" si="429"/>
        <v>18735746.033272326</v>
      </c>
      <c r="T961" s="80">
        <f t="shared" si="429"/>
        <v>222752.47327662929</v>
      </c>
      <c r="U961" s="80">
        <f t="shared" si="429"/>
        <v>281621.28024605225</v>
      </c>
      <c r="V961" s="80">
        <f t="shared" si="429"/>
        <v>0</v>
      </c>
      <c r="W961" s="80">
        <f t="shared" si="429"/>
        <v>0</v>
      </c>
      <c r="X961" s="80">
        <f t="shared" si="429"/>
        <v>0</v>
      </c>
      <c r="Y961" s="80">
        <f t="shared" si="429"/>
        <v>0</v>
      </c>
      <c r="Z961" s="80">
        <f t="shared" si="429"/>
        <v>0</v>
      </c>
      <c r="AA961" s="155">
        <f>ROUND(SUM(G961:Z961),2)</f>
        <v>1017201652.46</v>
      </c>
      <c r="AB961" s="156" t="str">
        <f>IF(ABS(F961-AA961)&lt;0.01,"ok","err")</f>
        <v>ok</v>
      </c>
    </row>
    <row r="962" spans="1:28" s="154" customFormat="1">
      <c r="A962" s="60"/>
      <c r="B962" s="60"/>
      <c r="C962" s="60"/>
      <c r="D962" s="60"/>
      <c r="E962" s="6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155"/>
      <c r="Y962" s="155"/>
      <c r="Z962" s="155"/>
      <c r="AA962" s="155"/>
      <c r="AB962" s="156"/>
    </row>
    <row r="963" spans="1:28" s="154" customFormat="1">
      <c r="A963" s="60" t="s">
        <v>135</v>
      </c>
      <c r="B963" s="60"/>
      <c r="C963" s="60"/>
      <c r="D963" s="60"/>
      <c r="E963" s="6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155"/>
      <c r="Y963" s="155"/>
      <c r="Z963" s="155"/>
      <c r="AA963" s="155"/>
      <c r="AB963" s="156"/>
    </row>
    <row r="964" spans="1:28" s="60" customFormat="1">
      <c r="A964" s="60" t="s">
        <v>1251</v>
      </c>
      <c r="F964" s="76">
        <v>91719847</v>
      </c>
      <c r="G964" s="76">
        <f>42126429+5306</f>
        <v>42131735</v>
      </c>
      <c r="H964" s="76">
        <v>12180705</v>
      </c>
      <c r="I964" s="76">
        <v>0</v>
      </c>
      <c r="J964" s="76">
        <v>1034517</v>
      </c>
      <c r="K964" s="76">
        <v>11631167</v>
      </c>
      <c r="L964" s="76">
        <v>0</v>
      </c>
      <c r="M964" s="76">
        <v>0</v>
      </c>
      <c r="N964" s="76">
        <v>10385231</v>
      </c>
      <c r="O964" s="76">
        <v>5698088</v>
      </c>
      <c r="P964" s="76">
        <v>5824465</v>
      </c>
      <c r="Q964" s="76">
        <v>604641</v>
      </c>
      <c r="R964" s="76">
        <v>288490</v>
      </c>
      <c r="S964" s="76">
        <v>1920228</v>
      </c>
      <c r="T964" s="76">
        <v>0</v>
      </c>
      <c r="U964" s="76">
        <v>20580</v>
      </c>
      <c r="V964" s="76"/>
      <c r="W964" s="76"/>
      <c r="X964" s="76"/>
      <c r="Y964" s="76"/>
      <c r="Z964" s="76"/>
      <c r="AA964" s="80">
        <f>SUM(G964:Z964)</f>
        <v>91719847</v>
      </c>
      <c r="AB964" s="93" t="str">
        <f>IF(ABS(F964-AA964)&lt;0.01,"ok","err")</f>
        <v>ok</v>
      </c>
    </row>
    <row r="965" spans="1:28" s="60" customFormat="1">
      <c r="A965" s="60" t="s">
        <v>1377</v>
      </c>
      <c r="E965" s="60" t="s">
        <v>701</v>
      </c>
      <c r="F965" s="76">
        <v>1920271</v>
      </c>
      <c r="G965" s="76">
        <f t="shared" ref="G965:Z965" si="430">IF(VLOOKUP($E965,$D$6:$AN$1131,3,)=0,0,(VLOOKUP($E965,$D$6:$AN$1131,G$2,)/VLOOKUP($E965,$D$6:$AN$1131,3,))*$F965)</f>
        <v>789146.3936782059</v>
      </c>
      <c r="H965" s="76">
        <f t="shared" si="430"/>
        <v>269796.6830387786</v>
      </c>
      <c r="I965" s="76">
        <f t="shared" si="430"/>
        <v>0</v>
      </c>
      <c r="J965" s="76">
        <f t="shared" si="430"/>
        <v>21556.8453974285</v>
      </c>
      <c r="K965" s="76">
        <f t="shared" si="430"/>
        <v>296726.73308636172</v>
      </c>
      <c r="L965" s="76">
        <f t="shared" si="430"/>
        <v>0</v>
      </c>
      <c r="M965" s="76">
        <f t="shared" si="430"/>
        <v>0</v>
      </c>
      <c r="N965" s="76">
        <f t="shared" si="430"/>
        <v>230593.40648593067</v>
      </c>
      <c r="O965" s="76">
        <f t="shared" si="430"/>
        <v>155157.19457053195</v>
      </c>
      <c r="P965" s="76">
        <f t="shared" si="430"/>
        <v>135793.31333566597</v>
      </c>
      <c r="Q965" s="76">
        <f t="shared" si="430"/>
        <v>15211.924961456916</v>
      </c>
      <c r="R965" s="76">
        <f t="shared" si="430"/>
        <v>5948.3930182986414</v>
      </c>
      <c r="S965" s="76">
        <f t="shared" si="430"/>
        <v>0</v>
      </c>
      <c r="T965" s="76">
        <f t="shared" si="430"/>
        <v>0</v>
      </c>
      <c r="U965" s="76">
        <f t="shared" si="430"/>
        <v>340.11242734114813</v>
      </c>
      <c r="V965" s="76">
        <f t="shared" si="430"/>
        <v>0</v>
      </c>
      <c r="W965" s="76">
        <f t="shared" si="430"/>
        <v>0</v>
      </c>
      <c r="X965" s="79">
        <f t="shared" si="430"/>
        <v>0</v>
      </c>
      <c r="Y965" s="79">
        <f t="shared" si="430"/>
        <v>0</v>
      </c>
      <c r="Z965" s="79">
        <f t="shared" si="430"/>
        <v>0</v>
      </c>
      <c r="AA965" s="80">
        <f>SUM(G965:Z965)</f>
        <v>1920271.0000000005</v>
      </c>
      <c r="AB965" s="93" t="str">
        <f>IF(ABS(F965-AA965)&lt;0.01,"ok","err")</f>
        <v>ok</v>
      </c>
    </row>
    <row r="966" spans="1:28" s="60" customFormat="1">
      <c r="A966" s="60" t="s">
        <v>1380</v>
      </c>
      <c r="E966" s="60" t="s">
        <v>182</v>
      </c>
      <c r="F966" s="76">
        <v>-22391</v>
      </c>
      <c r="G966" s="76">
        <f t="shared" ref="G966:U966" si="431">G893</f>
        <v>-20834.355219506127</v>
      </c>
      <c r="H966" s="76">
        <f t="shared" si="431"/>
        <v>-1347.7923692579229</v>
      </c>
      <c r="I966" s="76">
        <f t="shared" si="431"/>
        <v>0</v>
      </c>
      <c r="J966" s="76">
        <f t="shared" si="431"/>
        <v>-5.0261070647315949</v>
      </c>
      <c r="K966" s="76">
        <f t="shared" si="431"/>
        <v>-197.14672271267796</v>
      </c>
      <c r="L966" s="76">
        <f t="shared" si="431"/>
        <v>0</v>
      </c>
      <c r="M966" s="76">
        <f t="shared" si="431"/>
        <v>0</v>
      </c>
      <c r="N966" s="76">
        <f t="shared" si="431"/>
        <v>-0.59476066757413615</v>
      </c>
      <c r="O966" s="76">
        <f>O893</f>
        <v>-1.5559615568764129</v>
      </c>
      <c r="P966" s="76">
        <f t="shared" si="431"/>
        <v>-7.3288044345628148E-2</v>
      </c>
      <c r="Q966" s="76">
        <f t="shared" si="431"/>
        <v>0</v>
      </c>
      <c r="R966" s="76">
        <f t="shared" si="431"/>
        <v>0</v>
      </c>
      <c r="S966" s="76">
        <f t="shared" si="431"/>
        <v>-4.4555711897395023</v>
      </c>
      <c r="T966" s="76">
        <f t="shared" si="431"/>
        <v>0</v>
      </c>
      <c r="U966" s="76">
        <f t="shared" si="431"/>
        <v>0</v>
      </c>
      <c r="V966" s="76">
        <f>IF(VLOOKUP($E966,$D$6:$AN$1131,3,)=0,0,(VLOOKUP($E966,$D$6:$AN$1131,V$2,)/VLOOKUP($E966,$D$6:$AN$1131,3,))*$F966)</f>
        <v>0</v>
      </c>
      <c r="W966" s="76">
        <f>IF(VLOOKUP($E966,$D$6:$AN$1131,3,)=0,0,(VLOOKUP($E966,$D$6:$AN$1131,W$2,)/VLOOKUP($E966,$D$6:$AN$1131,3,))*$F966)</f>
        <v>0</v>
      </c>
      <c r="X966" s="79">
        <f>IF(VLOOKUP($E966,$D$6:$AN$1131,3,)=0,0,(VLOOKUP($E966,$D$6:$AN$1131,X$2,)/VLOOKUP($E966,$D$6:$AN$1131,3,))*$F966)</f>
        <v>0</v>
      </c>
      <c r="Y966" s="79">
        <f>IF(VLOOKUP($E966,$D$6:$AN$1131,3,)=0,0,(VLOOKUP($E966,$D$6:$AN$1131,Y$2,)/VLOOKUP($E966,$D$6:$AN$1131,3,))*$F966)</f>
        <v>0</v>
      </c>
      <c r="Z966" s="79">
        <f>IF(VLOOKUP($E966,$D$6:$AN$1131,3,)=0,0,(VLOOKUP($E966,$D$6:$AN$1131,Z$2,)/VLOOKUP($E966,$D$6:$AN$1131,3,))*$F966)</f>
        <v>0</v>
      </c>
      <c r="AA966" s="80">
        <f>SUM(G966:Z966)</f>
        <v>-22391</v>
      </c>
      <c r="AB966" s="93" t="str">
        <f>IF(ABS(F966-AA966)&lt;0.01,"ok","err")</f>
        <v>ok</v>
      </c>
    </row>
    <row r="967" spans="1:28" s="154" customFormat="1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</row>
    <row r="968" spans="1:28" s="154" customFormat="1">
      <c r="A968" s="60" t="s">
        <v>136</v>
      </c>
      <c r="B968" s="60"/>
      <c r="C968" s="60"/>
      <c r="D968" s="60"/>
      <c r="E968" s="60"/>
      <c r="F968" s="80">
        <f>SUM(F961:F966)</f>
        <v>1110819379.4612489</v>
      </c>
      <c r="G968" s="80">
        <f t="shared" ref="G968:P968" si="432">SUM(G961:G966)</f>
        <v>445591204.63707763</v>
      </c>
      <c r="H968" s="80">
        <f t="shared" si="432"/>
        <v>153424171.16245684</v>
      </c>
      <c r="I968" s="80">
        <f t="shared" si="432"/>
        <v>0</v>
      </c>
      <c r="J968" s="80">
        <f t="shared" si="432"/>
        <v>13198072.913746819</v>
      </c>
      <c r="K968" s="80">
        <f t="shared" si="432"/>
        <v>170790688.24888542</v>
      </c>
      <c r="L968" s="80">
        <f t="shared" si="432"/>
        <v>0</v>
      </c>
      <c r="M968" s="80">
        <f t="shared" si="432"/>
        <v>0</v>
      </c>
      <c r="N968" s="80">
        <f t="shared" si="432"/>
        <v>134504326.27380323</v>
      </c>
      <c r="O968" s="80">
        <f>SUM(O961:O966)</f>
        <v>86532337.36381042</v>
      </c>
      <c r="P968" s="80">
        <f t="shared" si="432"/>
        <v>74406863.450469092</v>
      </c>
      <c r="Q968" s="80">
        <f>SUM(Q961:Q966)</f>
        <v>7382738.4565318329</v>
      </c>
      <c r="R968" s="80">
        <f t="shared" ref="R968:Z968" si="433">SUM(R961:R966)</f>
        <v>3807713.5108165592</v>
      </c>
      <c r="S968" s="80">
        <f t="shared" si="433"/>
        <v>20655969.577701136</v>
      </c>
      <c r="T968" s="80">
        <f t="shared" si="433"/>
        <v>222752.47327662929</v>
      </c>
      <c r="U968" s="80">
        <f t="shared" si="433"/>
        <v>302541.39267339342</v>
      </c>
      <c r="V968" s="80">
        <f t="shared" si="433"/>
        <v>0</v>
      </c>
      <c r="W968" s="80">
        <f t="shared" si="433"/>
        <v>0</v>
      </c>
      <c r="X968" s="155">
        <f t="shared" si="433"/>
        <v>0</v>
      </c>
      <c r="Y968" s="155">
        <f t="shared" si="433"/>
        <v>0</v>
      </c>
      <c r="Z968" s="155">
        <f t="shared" si="433"/>
        <v>0</v>
      </c>
      <c r="AA968" s="155">
        <f>ROUND(SUM(G968:Z968),2)</f>
        <v>1110819379.46</v>
      </c>
      <c r="AB968" s="156" t="str">
        <f>IF(ABS(F968-AA968)&lt;0.01,"ok","err")</f>
        <v>ok</v>
      </c>
    </row>
    <row r="969" spans="1:28" s="154" customFormat="1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</row>
    <row r="970" spans="1:28" s="154" customFormat="1">
      <c r="A970" s="60"/>
      <c r="B970" s="60"/>
      <c r="C970" s="60"/>
      <c r="D970" s="60"/>
      <c r="E970" s="152">
        <f>(F964+F965+F966)/F961</f>
        <v>9.2034580138048327E-2</v>
      </c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</row>
    <row r="971" spans="1:28" s="154" customFormat="1" ht="15">
      <c r="A971" s="65" t="s">
        <v>1116</v>
      </c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</row>
    <row r="972" spans="1:28" s="154" customFormat="1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</row>
    <row r="973" spans="1:28" s="154" customFormat="1">
      <c r="A973" s="60" t="s">
        <v>1119</v>
      </c>
      <c r="B973" s="60"/>
      <c r="C973" s="60"/>
      <c r="D973" s="60"/>
      <c r="E973" s="60"/>
      <c r="F973" s="80">
        <f>F900</f>
        <v>904148189.24269807</v>
      </c>
      <c r="G973" s="80">
        <f t="shared" ref="G973:Z973" si="434">G900</f>
        <v>372721995.42893672</v>
      </c>
      <c r="H973" s="80">
        <f t="shared" si="434"/>
        <v>119725786.46773888</v>
      </c>
      <c r="I973" s="80">
        <f t="shared" si="434"/>
        <v>0</v>
      </c>
      <c r="J973" s="80">
        <f t="shared" si="434"/>
        <v>10733031.328126846</v>
      </c>
      <c r="K973" s="80">
        <f t="shared" si="434"/>
        <v>134301383.34892192</v>
      </c>
      <c r="L973" s="80">
        <f t="shared" si="434"/>
        <v>0</v>
      </c>
      <c r="M973" s="80">
        <f t="shared" si="434"/>
        <v>0</v>
      </c>
      <c r="N973" s="80">
        <f t="shared" si="434"/>
        <v>113220697.46382819</v>
      </c>
      <c r="O973" s="80">
        <f>O900</f>
        <v>64331240.389036208</v>
      </c>
      <c r="P973" s="80">
        <f t="shared" si="434"/>
        <v>64162435.572467119</v>
      </c>
      <c r="Q973" s="80">
        <f t="shared" si="434"/>
        <v>6505771.9677781062</v>
      </c>
      <c r="R973" s="80">
        <f t="shared" si="434"/>
        <v>3343411.1257372517</v>
      </c>
      <c r="S973" s="80">
        <f t="shared" si="434"/>
        <v>14656231.903749093</v>
      </c>
      <c r="T973" s="80">
        <f t="shared" si="434"/>
        <v>199175.56339998255</v>
      </c>
      <c r="U973" s="80">
        <f t="shared" si="434"/>
        <v>247028.68297776376</v>
      </c>
      <c r="V973" s="80">
        <f t="shared" si="434"/>
        <v>0</v>
      </c>
      <c r="W973" s="80">
        <f t="shared" si="434"/>
        <v>0</v>
      </c>
      <c r="X973" s="80">
        <f t="shared" si="434"/>
        <v>0</v>
      </c>
      <c r="Y973" s="80">
        <f t="shared" si="434"/>
        <v>0</v>
      </c>
      <c r="Z973" s="80">
        <f t="shared" si="434"/>
        <v>0</v>
      </c>
      <c r="AA973" s="155">
        <f>ROUND(SUM(G973:Z973),2)</f>
        <v>904148189.24000001</v>
      </c>
      <c r="AB973" s="156" t="str">
        <f>IF(ABS(F973-AA973)&lt;0.01,"ok","err")</f>
        <v>ok</v>
      </c>
    </row>
    <row r="974" spans="1:28" s="154" customFormat="1">
      <c r="A974" s="60"/>
      <c r="B974" s="60"/>
      <c r="C974" s="60"/>
      <c r="D974" s="60"/>
      <c r="E974" s="6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155"/>
      <c r="AB974" s="156"/>
    </row>
    <row r="975" spans="1:28" s="60" customFormat="1">
      <c r="A975" s="60" t="s">
        <v>710</v>
      </c>
      <c r="F975" s="112">
        <f>F902</f>
        <v>-4059414.1199999996</v>
      </c>
      <c r="G975" s="112">
        <f t="shared" ref="G975:Z975" si="435">G902</f>
        <v>-543620.57590859686</v>
      </c>
      <c r="H975" s="112">
        <f t="shared" si="435"/>
        <v>-927030.60818927304</v>
      </c>
      <c r="I975" s="112">
        <f t="shared" si="435"/>
        <v>0</v>
      </c>
      <c r="J975" s="112">
        <f t="shared" si="435"/>
        <v>-58717.272899689371</v>
      </c>
      <c r="K975" s="112">
        <f t="shared" si="435"/>
        <v>-1089905.737037403</v>
      </c>
      <c r="L975" s="112">
        <f t="shared" si="435"/>
        <v>0</v>
      </c>
      <c r="M975" s="112">
        <f t="shared" si="435"/>
        <v>0</v>
      </c>
      <c r="N975" s="112">
        <f t="shared" si="435"/>
        <v>-391443.84013774648</v>
      </c>
      <c r="O975" s="112">
        <f>O902</f>
        <v>-760983.00288166222</v>
      </c>
      <c r="P975" s="112">
        <f t="shared" si="435"/>
        <v>-142408.00468673278</v>
      </c>
      <c r="Q975" s="112">
        <f t="shared" si="435"/>
        <v>-1624.0629435925593</v>
      </c>
      <c r="R975" s="112">
        <f t="shared" si="435"/>
        <v>-3909.695886368535</v>
      </c>
      <c r="S975" s="112">
        <f t="shared" si="435"/>
        <v>-137056.65424554003</v>
      </c>
      <c r="T975" s="112">
        <f t="shared" si="435"/>
        <v>-1156.1886244914131</v>
      </c>
      <c r="U975" s="112">
        <f t="shared" si="435"/>
        <v>-1558.4765589040039</v>
      </c>
      <c r="V975" s="112">
        <f t="shared" si="435"/>
        <v>0</v>
      </c>
      <c r="W975" s="112">
        <f t="shared" si="435"/>
        <v>0</v>
      </c>
      <c r="X975" s="112">
        <f t="shared" si="435"/>
        <v>0</v>
      </c>
      <c r="Y975" s="112">
        <f t="shared" si="435"/>
        <v>0</v>
      </c>
      <c r="Z975" s="112">
        <f t="shared" si="435"/>
        <v>0</v>
      </c>
      <c r="AA975" s="80">
        <f>ROUND(SUM(G975:Z975),2)</f>
        <v>-4059414.12</v>
      </c>
      <c r="AB975" s="93" t="str">
        <f>IF(ABS(F975-AA975)&lt;0.01,"ok","err")</f>
        <v>ok</v>
      </c>
    </row>
    <row r="976" spans="1:28" s="60" customFormat="1">
      <c r="A976" s="60" t="s">
        <v>1337</v>
      </c>
      <c r="E976" s="60" t="s">
        <v>131</v>
      </c>
      <c r="F976" s="79">
        <v>211582.96518572024</v>
      </c>
      <c r="G976" s="76">
        <f t="shared" ref="G976:P977" si="436">IF(VLOOKUP($E976,$D$6:$AN$1131,3,)=0,0,(VLOOKUP($E976,$D$6:$AN$1131,G$2,)/VLOOKUP($E976,$D$6:$AN$1131,3,))*$F976)</f>
        <v>154044.44775001862</v>
      </c>
      <c r="H976" s="76">
        <f t="shared" si="436"/>
        <v>19138.514821427434</v>
      </c>
      <c r="I976" s="76">
        <f t="shared" si="436"/>
        <v>0</v>
      </c>
      <c r="J976" s="76">
        <f t="shared" si="436"/>
        <v>30.461194755239635</v>
      </c>
      <c r="K976" s="76">
        <f t="shared" si="436"/>
        <v>1194.8262618692952</v>
      </c>
      <c r="L976" s="76">
        <f t="shared" si="436"/>
        <v>0</v>
      </c>
      <c r="M976" s="76">
        <f t="shared" si="436"/>
        <v>0</v>
      </c>
      <c r="N976" s="76">
        <f t="shared" si="436"/>
        <v>44.634111759413628</v>
      </c>
      <c r="O976" s="76">
        <f t="shared" si="436"/>
        <v>116.76791322841859</v>
      </c>
      <c r="P976" s="76">
        <f t="shared" si="436"/>
        <v>5.499937941918267</v>
      </c>
      <c r="Q976" s="76">
        <f t="shared" ref="Q976:Z977" si="437">IF(VLOOKUP($E976,$D$6:$AN$1131,3,)=0,0,(VLOOKUP($E976,$D$6:$AN$1131,Q$2,)/VLOOKUP($E976,$D$6:$AN$1131,3,))*$F976)</f>
        <v>0.42307214937832827</v>
      </c>
      <c r="R976" s="76">
        <f t="shared" si="437"/>
        <v>0.42307214937832827</v>
      </c>
      <c r="S976" s="76">
        <f t="shared" si="437"/>
        <v>36554.279850586317</v>
      </c>
      <c r="T976" s="76">
        <f t="shared" si="437"/>
        <v>69.806904647424162</v>
      </c>
      <c r="U976" s="76">
        <f t="shared" si="437"/>
        <v>382.88029518738705</v>
      </c>
      <c r="V976" s="76">
        <f t="shared" si="437"/>
        <v>0</v>
      </c>
      <c r="W976" s="76">
        <f t="shared" si="437"/>
        <v>0</v>
      </c>
      <c r="X976" s="79">
        <f t="shared" si="437"/>
        <v>0</v>
      </c>
      <c r="Y976" s="79">
        <f t="shared" si="437"/>
        <v>0</v>
      </c>
      <c r="Z976" s="79">
        <f t="shared" si="437"/>
        <v>0</v>
      </c>
      <c r="AA976" s="80">
        <f>SUM(G976:Z976)</f>
        <v>211582.96518572021</v>
      </c>
      <c r="AB976" s="93" t="str">
        <f>IF(ABS(F976-AA976)&lt;0.01,"ok","err")</f>
        <v>ok</v>
      </c>
    </row>
    <row r="977" spans="1:28" s="60" customFormat="1">
      <c r="A977" s="60" t="s">
        <v>1338</v>
      </c>
      <c r="E977" s="60" t="s">
        <v>130</v>
      </c>
      <c r="F977" s="79">
        <v>181717.9360289748</v>
      </c>
      <c r="G977" s="76">
        <f t="shared" si="436"/>
        <v>71391.591773061067</v>
      </c>
      <c r="H977" s="76">
        <f t="shared" si="436"/>
        <v>25571.78454065105</v>
      </c>
      <c r="I977" s="76">
        <f t="shared" si="436"/>
        <v>0</v>
      </c>
      <c r="J977" s="76">
        <f t="shared" si="436"/>
        <v>2168.4538533254099</v>
      </c>
      <c r="K977" s="76">
        <f t="shared" si="436"/>
        <v>28536.149811479849</v>
      </c>
      <c r="L977" s="76">
        <f t="shared" si="436"/>
        <v>0</v>
      </c>
      <c r="M977" s="76">
        <f t="shared" si="436"/>
        <v>0</v>
      </c>
      <c r="N977" s="76">
        <f t="shared" si="436"/>
        <v>22012.138707894865</v>
      </c>
      <c r="O977" s="76">
        <f t="shared" si="436"/>
        <v>14615.17334032319</v>
      </c>
      <c r="P977" s="76">
        <f t="shared" si="436"/>
        <v>12102.799596749619</v>
      </c>
      <c r="Q977" s="76">
        <f t="shared" si="437"/>
        <v>1193.954106500466</v>
      </c>
      <c r="R977" s="76">
        <f t="shared" si="437"/>
        <v>619.92477651724528</v>
      </c>
      <c r="S977" s="76">
        <f t="shared" si="437"/>
        <v>3415.4181456827005</v>
      </c>
      <c r="T977" s="76">
        <f t="shared" si="437"/>
        <v>39.690667427706323</v>
      </c>
      <c r="U977" s="76">
        <f t="shared" si="437"/>
        <v>50.856709361639389</v>
      </c>
      <c r="V977" s="76">
        <f t="shared" si="437"/>
        <v>0</v>
      </c>
      <c r="W977" s="76">
        <f t="shared" si="437"/>
        <v>0</v>
      </c>
      <c r="X977" s="79">
        <f t="shared" si="437"/>
        <v>0</v>
      </c>
      <c r="Y977" s="79">
        <f t="shared" si="437"/>
        <v>0</v>
      </c>
      <c r="Z977" s="79">
        <f t="shared" si="437"/>
        <v>0</v>
      </c>
      <c r="AA977" s="80">
        <f>SUM(G977:Z977)</f>
        <v>181717.93602897474</v>
      </c>
      <c r="AB977" s="93" t="str">
        <f>IF(ABS(F977-AA977)&lt;0.01,"ok","err")</f>
        <v>ok</v>
      </c>
    </row>
    <row r="978" spans="1:28" s="154" customFormat="1">
      <c r="A978" s="60"/>
      <c r="B978" s="60"/>
      <c r="C978" s="60"/>
      <c r="D978" s="60"/>
      <c r="E978" s="60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59"/>
      <c r="Y978" s="159"/>
      <c r="Z978" s="159"/>
      <c r="AA978" s="155"/>
      <c r="AB978" s="156"/>
    </row>
    <row r="979" spans="1:28" s="154" customFormat="1">
      <c r="A979" s="60" t="s">
        <v>711</v>
      </c>
      <c r="B979" s="60"/>
      <c r="C979" s="60"/>
      <c r="D979" s="60"/>
      <c r="E979" s="60"/>
      <c r="F979" s="112">
        <f>(F964+F965+F966)*$E$935</f>
        <v>36172978.812316291</v>
      </c>
      <c r="G979" s="112">
        <f t="shared" ref="G979:U979" si="438">(G964+G965+G966)*$E$935</f>
        <v>16576160.758202756</v>
      </c>
      <c r="H979" s="112">
        <f t="shared" si="438"/>
        <v>4810231.9330873461</v>
      </c>
      <c r="I979" s="112">
        <f t="shared" si="438"/>
        <v>0</v>
      </c>
      <c r="J979" s="112">
        <f t="shared" si="438"/>
        <v>408054.7162241849</v>
      </c>
      <c r="K979" s="112">
        <f t="shared" si="438"/>
        <v>4608745.9044831283</v>
      </c>
      <c r="L979" s="112">
        <f t="shared" si="438"/>
        <v>0</v>
      </c>
      <c r="M979" s="112">
        <f t="shared" si="438"/>
        <v>0</v>
      </c>
      <c r="N979" s="112">
        <f t="shared" si="438"/>
        <v>4101851.0288849534</v>
      </c>
      <c r="O979" s="112">
        <f t="shared" si="438"/>
        <v>2261636.3898979044</v>
      </c>
      <c r="P979" s="112">
        <f t="shared" si="438"/>
        <v>2302985.7906417255</v>
      </c>
      <c r="Q979" s="112">
        <f t="shared" si="438"/>
        <v>239505.13903614707</v>
      </c>
      <c r="R979" s="112">
        <f t="shared" si="438"/>
        <v>113768.13017670653</v>
      </c>
      <c r="S979" s="112">
        <f t="shared" si="438"/>
        <v>741955.69379220495</v>
      </c>
      <c r="T979" s="112">
        <f t="shared" si="438"/>
        <v>0</v>
      </c>
      <c r="U979" s="112">
        <f t="shared" si="438"/>
        <v>8083.3278892307007</v>
      </c>
      <c r="V979" s="112">
        <f>(V964+V966)*0.407634</f>
        <v>0</v>
      </c>
      <c r="W979" s="112">
        <f>(W964+W966)*0.407634</f>
        <v>0</v>
      </c>
      <c r="X979" s="159">
        <f>(X964+X966)*0.407634</f>
        <v>0</v>
      </c>
      <c r="Y979" s="159">
        <f>(Y964+Y966)*0.407634</f>
        <v>0</v>
      </c>
      <c r="Z979" s="159">
        <f>(Z964+Z966)*0.407634</f>
        <v>0</v>
      </c>
      <c r="AA979" s="155">
        <f>ROUND(SUM(G979:Z979),2)</f>
        <v>36172978.810000002</v>
      </c>
      <c r="AB979" s="156" t="str">
        <f>IF(ABS(F979-AA979)&lt;0.01,"ok","err")</f>
        <v>ok</v>
      </c>
    </row>
    <row r="980" spans="1:28" s="154" customFormat="1">
      <c r="A980" s="68"/>
      <c r="B980" s="60"/>
      <c r="C980" s="60"/>
      <c r="D980" s="60"/>
      <c r="E980" s="60"/>
      <c r="F980" s="79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157"/>
      <c r="Y980" s="157"/>
      <c r="Z980" s="157"/>
      <c r="AA980" s="155"/>
      <c r="AB980" s="156"/>
    </row>
    <row r="981" spans="1:28" s="154" customFormat="1">
      <c r="A981" s="60" t="s">
        <v>137</v>
      </c>
      <c r="B981" s="60"/>
      <c r="C981" s="60"/>
      <c r="D981" s="60"/>
      <c r="E981" s="60"/>
      <c r="F981" s="80">
        <f t="shared" ref="F981:Z981" si="439">SUM(F973:F980)</f>
        <v>936655054.83622909</v>
      </c>
      <c r="G981" s="80">
        <f t="shared" si="439"/>
        <v>388979971.65075392</v>
      </c>
      <c r="H981" s="80">
        <f t="shared" si="439"/>
        <v>123653698.09199904</v>
      </c>
      <c r="I981" s="80">
        <f t="shared" si="439"/>
        <v>0</v>
      </c>
      <c r="J981" s="80">
        <f t="shared" si="439"/>
        <v>11084567.686499422</v>
      </c>
      <c r="K981" s="80">
        <f t="shared" si="439"/>
        <v>137849954.492441</v>
      </c>
      <c r="L981" s="80">
        <f t="shared" si="439"/>
        <v>0</v>
      </c>
      <c r="M981" s="80">
        <f t="shared" si="439"/>
        <v>0</v>
      </c>
      <c r="N981" s="80">
        <f t="shared" si="439"/>
        <v>116953161.42539504</v>
      </c>
      <c r="O981" s="80">
        <f>SUM(O973:O980)</f>
        <v>65846625.717306003</v>
      </c>
      <c r="P981" s="80">
        <f t="shared" si="439"/>
        <v>66335121.657956801</v>
      </c>
      <c r="Q981" s="80">
        <f t="shared" si="439"/>
        <v>6744847.4210493099</v>
      </c>
      <c r="R981" s="80">
        <f t="shared" si="439"/>
        <v>3453889.9078762569</v>
      </c>
      <c r="S981" s="80">
        <f t="shared" si="439"/>
        <v>15301100.641292028</v>
      </c>
      <c r="T981" s="80">
        <f t="shared" si="439"/>
        <v>198128.87234756624</v>
      </c>
      <c r="U981" s="80">
        <f t="shared" si="439"/>
        <v>253987.27131263947</v>
      </c>
      <c r="V981" s="80">
        <f t="shared" si="439"/>
        <v>0</v>
      </c>
      <c r="W981" s="80">
        <f t="shared" si="439"/>
        <v>0</v>
      </c>
      <c r="X981" s="155">
        <f t="shared" si="439"/>
        <v>0</v>
      </c>
      <c r="Y981" s="155">
        <f t="shared" si="439"/>
        <v>0</v>
      </c>
      <c r="Z981" s="155">
        <f t="shared" si="439"/>
        <v>0</v>
      </c>
      <c r="AA981" s="155">
        <f>ROUND(SUM(G981:Z981),2)</f>
        <v>936655054.84000003</v>
      </c>
      <c r="AB981" s="156" t="str">
        <f>IF(ABS(F981-AA981)&lt;0.01,"ok","err")</f>
        <v>ok</v>
      </c>
    </row>
    <row r="982" spans="1:28" s="154" customFormat="1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</row>
    <row r="983" spans="1:28" s="154" customFormat="1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</row>
    <row r="984" spans="1:28" s="154" customFormat="1" ht="15">
      <c r="A984" s="65" t="s">
        <v>894</v>
      </c>
      <c r="B984" s="60"/>
      <c r="C984" s="60"/>
      <c r="D984" s="60"/>
      <c r="E984" s="60"/>
      <c r="F984" s="80">
        <f t="shared" ref="F984:Z984" si="440">F968-F981</f>
        <v>174164324.62501979</v>
      </c>
      <c r="G984" s="80">
        <f t="shared" si="440"/>
        <v>56611232.986323714</v>
      </c>
      <c r="H984" s="80">
        <f t="shared" si="440"/>
        <v>29770473.070457801</v>
      </c>
      <c r="I984" s="80">
        <f t="shared" si="440"/>
        <v>0</v>
      </c>
      <c r="J984" s="80">
        <f t="shared" si="440"/>
        <v>2113505.2272473965</v>
      </c>
      <c r="K984" s="80">
        <f t="shared" si="440"/>
        <v>32940733.756444424</v>
      </c>
      <c r="L984" s="80">
        <f t="shared" si="440"/>
        <v>0</v>
      </c>
      <c r="M984" s="80">
        <f t="shared" si="440"/>
        <v>0</v>
      </c>
      <c r="N984" s="80">
        <f t="shared" si="440"/>
        <v>17551164.848408192</v>
      </c>
      <c r="O984" s="80">
        <f t="shared" si="440"/>
        <v>20685711.646504417</v>
      </c>
      <c r="P984" s="80">
        <f t="shared" si="440"/>
        <v>8071741.7925122902</v>
      </c>
      <c r="Q984" s="80">
        <f t="shared" si="440"/>
        <v>637891.03548252303</v>
      </c>
      <c r="R984" s="80">
        <f t="shared" si="440"/>
        <v>353823.60294030234</v>
      </c>
      <c r="S984" s="80">
        <f t="shared" si="440"/>
        <v>5354868.9364091083</v>
      </c>
      <c r="T984" s="80">
        <f t="shared" si="440"/>
        <v>24623.600929063046</v>
      </c>
      <c r="U984" s="80">
        <f t="shared" si="440"/>
        <v>48554.121360753954</v>
      </c>
      <c r="V984" s="80">
        <f t="shared" si="440"/>
        <v>0</v>
      </c>
      <c r="W984" s="80">
        <f t="shared" si="440"/>
        <v>0</v>
      </c>
      <c r="X984" s="155">
        <f t="shared" si="440"/>
        <v>0</v>
      </c>
      <c r="Y984" s="155">
        <f t="shared" si="440"/>
        <v>0</v>
      </c>
      <c r="Z984" s="155">
        <f t="shared" si="440"/>
        <v>0</v>
      </c>
      <c r="AA984" s="155">
        <f>ROUND(SUM(G984:Z984),2)</f>
        <v>174164324.63</v>
      </c>
      <c r="AB984" s="156" t="str">
        <f>IF(ABS(F984-AA984)&lt;0.01,"ok","err")</f>
        <v>ok</v>
      </c>
    </row>
    <row r="985" spans="1:28" s="154" customFormat="1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</row>
    <row r="986" spans="1:28" s="154" customFormat="1" ht="15">
      <c r="A986" s="65" t="s">
        <v>1102</v>
      </c>
      <c r="B986" s="60"/>
      <c r="C986" s="60"/>
      <c r="D986" s="60"/>
      <c r="E986" s="60"/>
      <c r="F986" s="80">
        <f>F911</f>
        <v>2380933927.241509</v>
      </c>
      <c r="G986" s="80">
        <f t="shared" ref="G986:Z986" si="441">G911</f>
        <v>1151746077.2153518</v>
      </c>
      <c r="H986" s="80">
        <f t="shared" si="441"/>
        <v>302071164.72748941</v>
      </c>
      <c r="I986" s="80">
        <f t="shared" si="441"/>
        <v>0</v>
      </c>
      <c r="J986" s="80">
        <f t="shared" si="441"/>
        <v>22598765.024464671</v>
      </c>
      <c r="K986" s="80">
        <f t="shared" si="441"/>
        <v>290318355.05589318</v>
      </c>
      <c r="L986" s="80">
        <f t="shared" si="441"/>
        <v>0</v>
      </c>
      <c r="M986" s="80">
        <f t="shared" si="441"/>
        <v>0</v>
      </c>
      <c r="N986" s="80">
        <f t="shared" si="441"/>
        <v>242194583.63978818</v>
      </c>
      <c r="O986" s="80">
        <f>O911</f>
        <v>143524479.34195939</v>
      </c>
      <c r="P986" s="80">
        <f t="shared" si="441"/>
        <v>127237257.44781397</v>
      </c>
      <c r="Q986" s="80">
        <f t="shared" si="441"/>
        <v>15203335.994018935</v>
      </c>
      <c r="R986" s="80">
        <f t="shared" si="441"/>
        <v>7082689.0574253704</v>
      </c>
      <c r="S986" s="80">
        <f t="shared" si="441"/>
        <v>78174244.52773416</v>
      </c>
      <c r="T986" s="80">
        <f t="shared" si="441"/>
        <v>308732.70736411982</v>
      </c>
      <c r="U986" s="80">
        <f t="shared" si="441"/>
        <v>474242.50220579916</v>
      </c>
      <c r="V986" s="80">
        <f t="shared" si="441"/>
        <v>0</v>
      </c>
      <c r="W986" s="80">
        <f t="shared" si="441"/>
        <v>0</v>
      </c>
      <c r="X986" s="80">
        <f t="shared" si="441"/>
        <v>0</v>
      </c>
      <c r="Y986" s="80">
        <f t="shared" si="441"/>
        <v>0</v>
      </c>
      <c r="Z986" s="80">
        <f t="shared" si="441"/>
        <v>0</v>
      </c>
      <c r="AA986" s="155">
        <f>ROUND(SUM(G986:Z986),2)</f>
        <v>2380933927.2399998</v>
      </c>
      <c r="AB986" s="156" t="str">
        <f>IF(ABS(F986-AA986)&lt;0.01,"ok","err")</f>
        <v>ok</v>
      </c>
    </row>
    <row r="987" spans="1:28" s="154" customFormat="1" ht="15" thickBot="1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</row>
    <row r="988" spans="1:28" s="154" customFormat="1" ht="15.75" thickBot="1">
      <c r="A988" s="282" t="s">
        <v>1120</v>
      </c>
      <c r="B988" s="150"/>
      <c r="C988" s="150"/>
      <c r="D988" s="150"/>
      <c r="E988" s="150"/>
      <c r="F988" s="151">
        <f t="shared" ref="F988:P988" si="442">F984/F986</f>
        <v>7.314958329263771E-2</v>
      </c>
      <c r="G988" s="151">
        <f t="shared" si="442"/>
        <v>4.9152529456142117E-2</v>
      </c>
      <c r="H988" s="151">
        <f t="shared" si="442"/>
        <v>9.8554501543750284E-2</v>
      </c>
      <c r="I988" s="151" t="e">
        <f t="shared" si="442"/>
        <v>#DIV/0!</v>
      </c>
      <c r="J988" s="151">
        <f t="shared" si="442"/>
        <v>9.3523040969689539E-2</v>
      </c>
      <c r="K988" s="151">
        <f t="shared" si="442"/>
        <v>0.11346417883258725</v>
      </c>
      <c r="L988" s="151" t="e">
        <f t="shared" si="442"/>
        <v>#DIV/0!</v>
      </c>
      <c r="M988" s="151" t="e">
        <f t="shared" si="442"/>
        <v>#DIV/0!</v>
      </c>
      <c r="N988" s="151">
        <f t="shared" si="442"/>
        <v>7.2467206263009315E-2</v>
      </c>
      <c r="O988" s="151">
        <f>O984/O986</f>
        <v>0.14412671442074307</v>
      </c>
      <c r="P988" s="151">
        <f t="shared" si="442"/>
        <v>6.3438508141555106E-2</v>
      </c>
      <c r="Q988" s="151">
        <f>Q984/Q986</f>
        <v>4.195730698403774E-2</v>
      </c>
      <c r="R988" s="151">
        <f t="shared" ref="R988:Z988" si="443">R984/R986</f>
        <v>4.9956111311897804E-2</v>
      </c>
      <c r="S988" s="151">
        <f t="shared" si="443"/>
        <v>6.8499145322847885E-2</v>
      </c>
      <c r="T988" s="151">
        <f t="shared" si="443"/>
        <v>7.975702069046392E-2</v>
      </c>
      <c r="U988" s="151">
        <f t="shared" si="443"/>
        <v>0.10238247549496043</v>
      </c>
      <c r="V988" s="151" t="e">
        <f t="shared" si="443"/>
        <v>#DIV/0!</v>
      </c>
      <c r="W988" s="151" t="e">
        <f t="shared" si="443"/>
        <v>#DIV/0!</v>
      </c>
      <c r="X988" s="160" t="e">
        <f t="shared" si="443"/>
        <v>#DIV/0!</v>
      </c>
      <c r="Y988" s="160" t="e">
        <f t="shared" si="443"/>
        <v>#DIV/0!</v>
      </c>
      <c r="Z988" s="160" t="e">
        <f t="shared" si="443"/>
        <v>#DIV/0!</v>
      </c>
      <c r="AA988" s="161"/>
      <c r="AB988" s="161"/>
    </row>
    <row r="989" spans="1:28" s="154" customFormat="1" ht="15">
      <c r="A989" s="65"/>
      <c r="B989" s="65"/>
      <c r="C989" s="60"/>
      <c r="D989" s="60"/>
      <c r="E989" s="60"/>
      <c r="F989" s="152"/>
      <c r="G989" s="152"/>
      <c r="H989" s="152"/>
      <c r="I989" s="152"/>
      <c r="J989" s="152"/>
      <c r="K989" s="152"/>
      <c r="L989" s="152"/>
      <c r="M989" s="152"/>
      <c r="N989" s="152"/>
      <c r="O989" s="152"/>
      <c r="P989" s="152"/>
      <c r="Q989" s="152"/>
      <c r="R989" s="152"/>
      <c r="S989" s="152"/>
      <c r="T989" s="152"/>
      <c r="U989" s="152"/>
      <c r="V989" s="152"/>
      <c r="W989" s="152"/>
      <c r="X989" s="158"/>
      <c r="Y989" s="158"/>
      <c r="Z989" s="158"/>
    </row>
    <row r="991" spans="1:28" s="174" customFormat="1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</row>
    <row r="992" spans="1:28" s="174" customFormat="1" ht="15">
      <c r="A992" s="65" t="s">
        <v>133</v>
      </c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</row>
    <row r="993" spans="1:29" s="174" customFormat="1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</row>
    <row r="994" spans="1:29" s="174" customFormat="1" ht="15">
      <c r="A994" s="65" t="s">
        <v>1121</v>
      </c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</row>
    <row r="995" spans="1:29" s="174" customFormat="1">
      <c r="A995" s="60" t="s">
        <v>1122</v>
      </c>
      <c r="B995" s="60"/>
      <c r="C995" s="60"/>
      <c r="D995" s="60" t="s">
        <v>1091</v>
      </c>
      <c r="E995" s="60" t="s">
        <v>930</v>
      </c>
      <c r="F995" s="110">
        <v>1</v>
      </c>
      <c r="G995" s="110">
        <f t="shared" ref="G995:Z995" si="444">IF(VLOOKUP($E995,$D$6:$AN$1131,3,)=0,0,(VLOOKUP($E995,$D$6:$AN$1131,G$2,)/VLOOKUP($E995,$D$6:$AN$1131,3,))*$F995)</f>
        <v>0.36177803168986861</v>
      </c>
      <c r="H995" s="110">
        <f t="shared" si="444"/>
        <v>0.11756490848167744</v>
      </c>
      <c r="I995" s="110">
        <f t="shared" si="444"/>
        <v>0</v>
      </c>
      <c r="J995" s="110">
        <f t="shared" si="444"/>
        <v>1.4002177535100569E-2</v>
      </c>
      <c r="K995" s="110">
        <f t="shared" si="444"/>
        <v>0.1622334243029889</v>
      </c>
      <c r="L995" s="110">
        <f t="shared" si="444"/>
        <v>0</v>
      </c>
      <c r="M995" s="110">
        <f t="shared" si="444"/>
        <v>0</v>
      </c>
      <c r="N995" s="110">
        <f t="shared" si="444"/>
        <v>0.15660029232902192</v>
      </c>
      <c r="O995" s="110">
        <f t="shared" si="444"/>
        <v>6.8874940193074427E-2</v>
      </c>
      <c r="P995" s="110">
        <f t="shared" si="444"/>
        <v>9.5357587036196872E-2</v>
      </c>
      <c r="Q995" s="110">
        <f t="shared" si="444"/>
        <v>9.3073843413242867E-3</v>
      </c>
      <c r="R995" s="110">
        <f t="shared" si="444"/>
        <v>4.9170564448175174E-3</v>
      </c>
      <c r="S995" s="110">
        <f t="shared" si="444"/>
        <v>8.8080331239970347E-3</v>
      </c>
      <c r="T995" s="110">
        <f t="shared" si="444"/>
        <v>2.8711184968096344E-4</v>
      </c>
      <c r="U995" s="110">
        <f t="shared" si="444"/>
        <v>2.6905267225138226E-4</v>
      </c>
      <c r="V995" s="110">
        <f t="shared" si="444"/>
        <v>0</v>
      </c>
      <c r="W995" s="110">
        <f t="shared" si="444"/>
        <v>0</v>
      </c>
      <c r="X995" s="175">
        <f t="shared" si="444"/>
        <v>0</v>
      </c>
      <c r="Y995" s="175">
        <f t="shared" si="444"/>
        <v>0</v>
      </c>
      <c r="Z995" s="175">
        <f t="shared" si="444"/>
        <v>0</v>
      </c>
      <c r="AA995" s="180">
        <f>SUM(G995:Z995)</f>
        <v>1</v>
      </c>
      <c r="AB995" s="176" t="str">
        <f>IF(ABS(F995-AA995)&lt;0.01,"ok","err")</f>
        <v>ok</v>
      </c>
    </row>
    <row r="996" spans="1:29" s="174" customFormat="1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</row>
    <row r="997" spans="1:29" s="174" customFormat="1" ht="15">
      <c r="A997" s="65" t="s">
        <v>1123</v>
      </c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</row>
    <row r="998" spans="1:29" s="174" customFormat="1">
      <c r="A998" s="60" t="s">
        <v>1124</v>
      </c>
      <c r="B998" s="60"/>
      <c r="C998" s="60"/>
      <c r="D998" s="60" t="s">
        <v>1094</v>
      </c>
      <c r="E998" s="60" t="s">
        <v>698</v>
      </c>
      <c r="F998" s="81">
        <v>1</v>
      </c>
      <c r="G998" s="83">
        <f t="shared" ref="G998:Z998" si="445">IF(VLOOKUP($E998,$D$6:$AN$1131,3,)=0,0,(VLOOKUP($E998,$D$6:$AN$1131,G$2,)/VLOOKUP($E998,$D$6:$AN$1131,3,))*$F998)</f>
        <v>0.86211323577133958</v>
      </c>
      <c r="H998" s="83">
        <f t="shared" si="445"/>
        <v>0.10710913104335856</v>
      </c>
      <c r="I998" s="83">
        <f t="shared" si="445"/>
        <v>0</v>
      </c>
      <c r="J998" s="83">
        <f t="shared" si="445"/>
        <v>1.7047676537174916E-4</v>
      </c>
      <c r="K998" s="83">
        <f t="shared" si="445"/>
        <v>6.6868721972784479E-3</v>
      </c>
      <c r="L998" s="83">
        <f t="shared" si="445"/>
        <v>0</v>
      </c>
      <c r="M998" s="83">
        <f t="shared" si="445"/>
        <v>0</v>
      </c>
      <c r="N998" s="83">
        <f t="shared" si="445"/>
        <v>2.4979581592666025E-4</v>
      </c>
      <c r="O998" s="83">
        <f t="shared" si="445"/>
        <v>6.5349426725837181E-4</v>
      </c>
      <c r="P998" s="83">
        <f t="shared" si="445"/>
        <v>0</v>
      </c>
      <c r="Q998" s="83">
        <f t="shared" si="445"/>
        <v>2.367732852385405E-6</v>
      </c>
      <c r="R998" s="83">
        <f t="shared" si="445"/>
        <v>2.367732852385405E-6</v>
      </c>
      <c r="S998" s="83">
        <f t="shared" si="445"/>
        <v>2.2730761545755974E-2</v>
      </c>
      <c r="T998" s="83">
        <f t="shared" si="445"/>
        <v>4.3408435627065753E-5</v>
      </c>
      <c r="U998" s="83">
        <f t="shared" si="445"/>
        <v>2.3808869237875463E-4</v>
      </c>
      <c r="V998" s="83">
        <f t="shared" si="445"/>
        <v>0</v>
      </c>
      <c r="W998" s="83">
        <f t="shared" si="445"/>
        <v>0</v>
      </c>
      <c r="X998" s="175">
        <f t="shared" si="445"/>
        <v>0</v>
      </c>
      <c r="Y998" s="175">
        <f t="shared" si="445"/>
        <v>0</v>
      </c>
      <c r="Z998" s="175">
        <f t="shared" si="445"/>
        <v>0</v>
      </c>
      <c r="AA998" s="181">
        <f t="shared" ref="AA998:AA1003" si="446">SUM(G998:Z998)</f>
        <v>0.99999999999999989</v>
      </c>
      <c r="AB998" s="176" t="str">
        <f t="shared" ref="AB998:AB1003" si="447">IF(ABS(F998-AA998)&lt;0.01,"ok","err")</f>
        <v>ok</v>
      </c>
    </row>
    <row r="999" spans="1:29" s="174" customFormat="1">
      <c r="A999" s="60" t="s">
        <v>193</v>
      </c>
      <c r="B999" s="60"/>
      <c r="C999" s="60"/>
      <c r="D999" s="60" t="s">
        <v>1095</v>
      </c>
      <c r="E999" s="60"/>
      <c r="F999" s="81">
        <v>1</v>
      </c>
      <c r="G999" s="83">
        <f>Services!F10</f>
        <v>0.76861640064540004</v>
      </c>
      <c r="H999" s="83">
        <f>Services!F12</f>
        <v>0.19343635385547825</v>
      </c>
      <c r="I999" s="83">
        <v>0</v>
      </c>
      <c r="J999" s="83">
        <f>Services!F14</f>
        <v>0</v>
      </c>
      <c r="K999" s="83">
        <f>Services!F16</f>
        <v>3.3746211341601155E-2</v>
      </c>
      <c r="L999" s="83">
        <v>0</v>
      </c>
      <c r="M999" s="83"/>
      <c r="N999" s="83">
        <f>Services!F18</f>
        <v>0</v>
      </c>
      <c r="O999" s="83">
        <f>Services!F20</f>
        <v>4.2010341575204205E-3</v>
      </c>
      <c r="P999" s="83">
        <f>Services!F22</f>
        <v>0</v>
      </c>
      <c r="Q999" s="83">
        <f>Services!F24</f>
        <v>0</v>
      </c>
      <c r="R999" s="83">
        <f>Services!F26</f>
        <v>0</v>
      </c>
      <c r="S999" s="83">
        <f>Services!F28</f>
        <v>0</v>
      </c>
      <c r="T999" s="83">
        <f>Services!F30</f>
        <v>0</v>
      </c>
      <c r="U999" s="83">
        <f>Services!$F$32</f>
        <v>0</v>
      </c>
      <c r="V999" s="83">
        <v>0</v>
      </c>
      <c r="W999" s="83">
        <v>0</v>
      </c>
      <c r="X999" s="83">
        <v>0</v>
      </c>
      <c r="Y999" s="83">
        <v>0</v>
      </c>
      <c r="Z999" s="83">
        <v>0</v>
      </c>
      <c r="AA999" s="181">
        <f t="shared" si="446"/>
        <v>0.99999999999999989</v>
      </c>
      <c r="AB999" s="176" t="str">
        <f t="shared" si="447"/>
        <v>ok</v>
      </c>
    </row>
    <row r="1000" spans="1:29" s="174" customFormat="1">
      <c r="A1000" s="60" t="s">
        <v>1125</v>
      </c>
      <c r="B1000" s="60"/>
      <c r="C1000" s="60"/>
      <c r="D1000" s="60" t="s">
        <v>1096</v>
      </c>
      <c r="E1000" s="60"/>
      <c r="F1000" s="81">
        <v>1</v>
      </c>
      <c r="G1000" s="83">
        <f>Meters!$F$10</f>
        <v>0.69991996222812491</v>
      </c>
      <c r="H1000" s="83">
        <f>Meters!$F$12</f>
        <v>0.20578048643990582</v>
      </c>
      <c r="I1000" s="83">
        <v>0</v>
      </c>
      <c r="J1000" s="83">
        <f>Meters!$F$14</f>
        <v>8.0106991556218293E-3</v>
      </c>
      <c r="K1000" s="83">
        <f>Meters!$F$16</f>
        <v>5.535691265576969E-2</v>
      </c>
      <c r="L1000" s="83">
        <v>0</v>
      </c>
      <c r="M1000" s="83">
        <v>0</v>
      </c>
      <c r="N1000" s="83">
        <f>Meters!$F$18</f>
        <v>1.2543994366524883E-2</v>
      </c>
      <c r="O1000" s="83">
        <f>Meters!$F$20</f>
        <v>5.8318104447573722E-3</v>
      </c>
      <c r="P1000" s="83">
        <f>Meters!$F$22</f>
        <v>1.0261493700094724E-2</v>
      </c>
      <c r="Q1000" s="83">
        <f>Meters!$F$24</f>
        <v>1.1890042053578088E-4</v>
      </c>
      <c r="R1000" s="83">
        <f>Meters!$F$26</f>
        <v>1.1890042053578088E-4</v>
      </c>
      <c r="S1000" s="83">
        <f>Meters!$F$28</f>
        <v>0</v>
      </c>
      <c r="T1000" s="83">
        <f>Meters!$F$30</f>
        <v>3.1717628760872705E-4</v>
      </c>
      <c r="U1000" s="83">
        <f>Meters!$F$32</f>
        <v>1.739663880520594E-3</v>
      </c>
      <c r="V1000" s="83">
        <v>0</v>
      </c>
      <c r="W1000" s="83">
        <v>0</v>
      </c>
      <c r="X1000" s="181">
        <v>0</v>
      </c>
      <c r="Y1000" s="181">
        <v>0</v>
      </c>
      <c r="Z1000" s="181">
        <v>0</v>
      </c>
      <c r="AA1000" s="181">
        <f>SUM(G1000:Z1000)</f>
        <v>1</v>
      </c>
      <c r="AB1000" s="176" t="str">
        <f t="shared" si="447"/>
        <v>ok</v>
      </c>
    </row>
    <row r="1001" spans="1:29" s="174" customFormat="1">
      <c r="A1001" s="60" t="s">
        <v>1126</v>
      </c>
      <c r="B1001" s="60"/>
      <c r="C1001" s="60"/>
      <c r="D1001" s="60" t="s">
        <v>1097</v>
      </c>
      <c r="E1001" s="60" t="s">
        <v>132</v>
      </c>
      <c r="F1001" s="81">
        <v>1</v>
      </c>
      <c r="G1001" s="83">
        <f t="shared" ref="G1001:R1003" si="448">IF(VLOOKUP($E1001,$D$6:$AN$1131,3,)=0,0,(VLOOKUP($E1001,$D$6:$AN$1131,G$2,)/VLOOKUP($E1001,$D$6:$AN$1131,3,))*$F1001)</f>
        <v>0</v>
      </c>
      <c r="H1001" s="83">
        <f t="shared" si="448"/>
        <v>0</v>
      </c>
      <c r="I1001" s="83">
        <f t="shared" si="448"/>
        <v>0</v>
      </c>
      <c r="J1001" s="83">
        <f t="shared" si="448"/>
        <v>0</v>
      </c>
      <c r="K1001" s="83">
        <f t="shared" si="448"/>
        <v>0</v>
      </c>
      <c r="L1001" s="83">
        <f t="shared" si="448"/>
        <v>0</v>
      </c>
      <c r="M1001" s="83">
        <f t="shared" si="448"/>
        <v>0</v>
      </c>
      <c r="N1001" s="83">
        <f t="shared" si="448"/>
        <v>0</v>
      </c>
      <c r="O1001" s="83">
        <f t="shared" si="448"/>
        <v>0</v>
      </c>
      <c r="P1001" s="83">
        <f t="shared" si="448"/>
        <v>0</v>
      </c>
      <c r="Q1001" s="83">
        <f t="shared" si="448"/>
        <v>0</v>
      </c>
      <c r="R1001" s="83">
        <f t="shared" si="448"/>
        <v>0</v>
      </c>
      <c r="S1001" s="83">
        <v>1</v>
      </c>
      <c r="T1001" s="83">
        <v>0</v>
      </c>
      <c r="U1001" s="83">
        <v>0</v>
      </c>
      <c r="V1001" s="83">
        <f t="shared" ref="V1001:Z1003" si="449">IF(VLOOKUP($E1001,$D$6:$AN$1131,3,)=0,0,(VLOOKUP($E1001,$D$6:$AN$1131,V$2,)/VLOOKUP($E1001,$D$6:$AN$1131,3,))*$F1001)</f>
        <v>0</v>
      </c>
      <c r="W1001" s="83">
        <f t="shared" si="449"/>
        <v>0</v>
      </c>
      <c r="X1001" s="175">
        <f t="shared" si="449"/>
        <v>0</v>
      </c>
      <c r="Y1001" s="175">
        <f t="shared" si="449"/>
        <v>0</v>
      </c>
      <c r="Z1001" s="175">
        <f t="shared" si="449"/>
        <v>0</v>
      </c>
      <c r="AA1001" s="181">
        <f t="shared" si="446"/>
        <v>1</v>
      </c>
      <c r="AB1001" s="176" t="str">
        <f t="shared" si="447"/>
        <v>ok</v>
      </c>
    </row>
    <row r="1002" spans="1:29" s="174" customFormat="1">
      <c r="A1002" s="60" t="s">
        <v>1127</v>
      </c>
      <c r="B1002" s="60"/>
      <c r="C1002" s="60"/>
      <c r="D1002" s="60" t="s">
        <v>1098</v>
      </c>
      <c r="E1002" s="60" t="s">
        <v>156</v>
      </c>
      <c r="F1002" s="81">
        <v>1</v>
      </c>
      <c r="G1002" s="83">
        <f t="shared" si="448"/>
        <v>0.74512429283018111</v>
      </c>
      <c r="H1002" s="83">
        <f t="shared" si="448"/>
        <v>0.1851487999785352</v>
      </c>
      <c r="I1002" s="83">
        <f t="shared" si="448"/>
        <v>0</v>
      </c>
      <c r="J1002" s="83">
        <f t="shared" si="448"/>
        <v>7.3671516670283923E-4</v>
      </c>
      <c r="K1002" s="83">
        <f t="shared" si="448"/>
        <v>2.889731134208243E-2</v>
      </c>
      <c r="L1002" s="83">
        <f t="shared" si="448"/>
        <v>0</v>
      </c>
      <c r="M1002" s="83">
        <f t="shared" si="448"/>
        <v>0</v>
      </c>
      <c r="N1002" s="83">
        <f t="shared" si="448"/>
        <v>5.3974618116076067E-3</v>
      </c>
      <c r="O1002" s="83">
        <f t="shared" si="448"/>
        <v>1.4120374028471085E-2</v>
      </c>
      <c r="P1002" s="83">
        <f t="shared" si="448"/>
        <v>6.6509008105117425E-4</v>
      </c>
      <c r="Q1002" s="83">
        <f t="shared" si="448"/>
        <v>1.0232155093094989E-5</v>
      </c>
      <c r="R1002" s="83">
        <f t="shared" si="448"/>
        <v>1.0232155093094989E-5</v>
      </c>
      <c r="S1002" s="83">
        <f t="shared" ref="S1002:U1003" si="450">IF(VLOOKUP($E1002,$D$6:$AN$1131,3,)=0,0,(VLOOKUP($E1002,$D$6:$AN$1131,S$2,)/VLOOKUP($E1002,$D$6:$AN$1131,3,))*$F1002)</f>
        <v>1.9646192541190956E-2</v>
      </c>
      <c r="T1002" s="83">
        <f t="shared" si="450"/>
        <v>3.7517902008014959E-5</v>
      </c>
      <c r="U1002" s="83">
        <f t="shared" si="450"/>
        <v>2.0578000798335475E-4</v>
      </c>
      <c r="V1002" s="83">
        <f t="shared" si="449"/>
        <v>0</v>
      </c>
      <c r="W1002" s="83">
        <f t="shared" si="449"/>
        <v>0</v>
      </c>
      <c r="X1002" s="175">
        <f t="shared" si="449"/>
        <v>0</v>
      </c>
      <c r="Y1002" s="175">
        <f t="shared" si="449"/>
        <v>0</v>
      </c>
      <c r="Z1002" s="175">
        <f t="shared" si="449"/>
        <v>0</v>
      </c>
      <c r="AA1002" s="181">
        <f t="shared" si="446"/>
        <v>0.99999999999999989</v>
      </c>
      <c r="AB1002" s="176" t="str">
        <f t="shared" si="447"/>
        <v>ok</v>
      </c>
    </row>
    <row r="1003" spans="1:29" s="174" customFormat="1">
      <c r="A1003" s="60" t="s">
        <v>173</v>
      </c>
      <c r="B1003" s="60"/>
      <c r="C1003" s="60"/>
      <c r="D1003" s="60" t="s">
        <v>1099</v>
      </c>
      <c r="E1003" s="60" t="s">
        <v>157</v>
      </c>
      <c r="F1003" s="81">
        <v>1</v>
      </c>
      <c r="G1003" s="83">
        <f t="shared" si="448"/>
        <v>0.86208670028831513</v>
      </c>
      <c r="H1003" s="83">
        <f t="shared" si="448"/>
        <v>0.10710583426932631</v>
      </c>
      <c r="I1003" s="83">
        <f t="shared" si="448"/>
        <v>0</v>
      </c>
      <c r="J1003" s="83">
        <f t="shared" si="448"/>
        <v>1.7047151816856763E-4</v>
      </c>
      <c r="K1003" s="83">
        <f t="shared" si="448"/>
        <v>6.6866663781629133E-3</v>
      </c>
      <c r="L1003" s="83">
        <f t="shared" si="448"/>
        <v>0</v>
      </c>
      <c r="M1003" s="83">
        <f t="shared" si="448"/>
        <v>0</v>
      </c>
      <c r="N1003" s="83">
        <f t="shared" si="448"/>
        <v>2.4978812731644284E-4</v>
      </c>
      <c r="O1003" s="83">
        <f t="shared" si="448"/>
        <v>6.5347415297950929E-4</v>
      </c>
      <c r="P1003" s="83">
        <f t="shared" si="448"/>
        <v>3.0779579669324712E-5</v>
      </c>
      <c r="Q1003" s="83">
        <f t="shared" si="448"/>
        <v>2.3676599745634392E-6</v>
      </c>
      <c r="R1003" s="83">
        <f t="shared" si="448"/>
        <v>2.3676599745634392E-6</v>
      </c>
      <c r="S1003" s="83">
        <f t="shared" si="450"/>
        <v>2.2730061902470032E-2</v>
      </c>
      <c r="T1003" s="83">
        <f t="shared" si="450"/>
        <v>4.340709953366305E-5</v>
      </c>
      <c r="U1003" s="83">
        <f t="shared" si="450"/>
        <v>2.3808136410887918E-4</v>
      </c>
      <c r="V1003" s="83">
        <f t="shared" si="449"/>
        <v>0</v>
      </c>
      <c r="W1003" s="83">
        <f t="shared" si="449"/>
        <v>0</v>
      </c>
      <c r="X1003" s="175">
        <f t="shared" si="449"/>
        <v>0</v>
      </c>
      <c r="Y1003" s="175">
        <f t="shared" si="449"/>
        <v>0</v>
      </c>
      <c r="Z1003" s="175">
        <f t="shared" si="449"/>
        <v>0</v>
      </c>
      <c r="AA1003" s="181">
        <f t="shared" si="446"/>
        <v>0.99999999999999989</v>
      </c>
      <c r="AB1003" s="176" t="str">
        <f t="shared" si="447"/>
        <v>ok</v>
      </c>
    </row>
    <row r="1004" spans="1:29" s="174" customFormat="1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</row>
    <row r="1005" spans="1:29" s="60" customFormat="1">
      <c r="A1005" s="60" t="s">
        <v>1317</v>
      </c>
      <c r="D1005" s="60" t="s">
        <v>130</v>
      </c>
      <c r="F1005" s="79">
        <v>965204065.29999995</v>
      </c>
      <c r="G1005" s="79">
        <f>'Billing Det'!$F$8</f>
        <v>379200073</v>
      </c>
      <c r="H1005" s="79">
        <f>'Billing Det'!$F10</f>
        <v>135825835</v>
      </c>
      <c r="I1005" s="79">
        <v>0</v>
      </c>
      <c r="J1005" s="79">
        <f>'Billing Det'!$F$12</f>
        <v>11517853</v>
      </c>
      <c r="K1005" s="79">
        <f>'Billing Det'!$F$14</f>
        <v>151571212</v>
      </c>
      <c r="L1005" s="79">
        <v>0</v>
      </c>
      <c r="M1005" s="79">
        <v>0</v>
      </c>
      <c r="N1005" s="79">
        <f>'Billing Det'!$F$16</f>
        <v>116918595</v>
      </c>
      <c r="O1005" s="79">
        <f>'Billing Det'!$F$18</f>
        <v>77629237</v>
      </c>
      <c r="P1005" s="79">
        <f>'Billing Det'!$F$20</f>
        <v>64284636</v>
      </c>
      <c r="Q1005" s="79">
        <f>'Billing Det'!$F$22</f>
        <v>6341748</v>
      </c>
      <c r="R1005" s="79">
        <f>'Billing Det'!$F$24</f>
        <v>3292762</v>
      </c>
      <c r="S1005" s="79">
        <f>'Billing Det'!$F$26</f>
        <v>18141167.300000001</v>
      </c>
      <c r="T1005" s="79">
        <f>'Billing Det'!$F$28</f>
        <v>210819</v>
      </c>
      <c r="U1005" s="79">
        <f>'Billing Det'!$F$30</f>
        <v>270128</v>
      </c>
      <c r="V1005" s="79">
        <v>0</v>
      </c>
      <c r="W1005" s="79">
        <v>0</v>
      </c>
      <c r="X1005" s="79">
        <v>0</v>
      </c>
      <c r="Y1005" s="79">
        <v>0</v>
      </c>
      <c r="Z1005" s="79">
        <v>0</v>
      </c>
      <c r="AA1005" s="79">
        <f>SUM(G1005:Z1005)</f>
        <v>965204065.29999995</v>
      </c>
      <c r="AB1005" s="93" t="str">
        <f>IF(ABS(F1005-AA1005)&lt;0.01,"ok","err")</f>
        <v>ok</v>
      </c>
      <c r="AC1005" s="112">
        <f>+AA1005-F1005</f>
        <v>0</v>
      </c>
    </row>
    <row r="1006" spans="1:29" s="174" customFormat="1">
      <c r="A1006" s="60" t="s">
        <v>930</v>
      </c>
      <c r="B1006" s="60"/>
      <c r="C1006" s="60"/>
      <c r="D1006" s="60"/>
      <c r="E1006" s="60"/>
      <c r="F1006" s="79">
        <v>11646473901.123848</v>
      </c>
      <c r="G1006" s="79">
        <f>'Billing Det'!C8</f>
        <v>4180088831</v>
      </c>
      <c r="H1006" s="79">
        <f>'Billing Det'!$C10</f>
        <v>1358379221</v>
      </c>
      <c r="I1006" s="79">
        <v>0</v>
      </c>
      <c r="J1006" s="79">
        <f>'Billing Det'!C12</f>
        <v>165297553</v>
      </c>
      <c r="K1006" s="79">
        <f>'Billing Det'!C14</f>
        <v>1874492273</v>
      </c>
      <c r="L1006" s="79">
        <v>0</v>
      </c>
      <c r="M1006" s="79">
        <v>0</v>
      </c>
      <c r="N1006" s="79">
        <f>'Billing Det'!C16</f>
        <v>1848687110</v>
      </c>
      <c r="O1006" s="79">
        <f>'Billing Det'!C18</f>
        <v>795801135</v>
      </c>
      <c r="P1006" s="79">
        <f>'Billing Det'!C20</f>
        <v>1147609709</v>
      </c>
      <c r="Q1006" s="79">
        <f>'Billing Det'!C22</f>
        <v>109874900</v>
      </c>
      <c r="R1006" s="79">
        <f>'Billing Det'!C24</f>
        <v>58046500</v>
      </c>
      <c r="S1006" s="79">
        <f>'Billing Det'!C26</f>
        <v>101770582.1238485</v>
      </c>
      <c r="T1006" s="79">
        <f>'Billing Det'!C28</f>
        <v>3317374</v>
      </c>
      <c r="U1006" s="79">
        <f>'Billing Det'!C30</f>
        <v>3108713</v>
      </c>
      <c r="V1006" s="79">
        <v>0</v>
      </c>
      <c r="W1006" s="79">
        <v>0</v>
      </c>
      <c r="X1006" s="175">
        <v>0</v>
      </c>
      <c r="Y1006" s="175">
        <v>0</v>
      </c>
      <c r="Z1006" s="175">
        <v>0</v>
      </c>
      <c r="AA1006" s="175">
        <f t="shared" ref="AA1006:AA1016" si="451">SUM(G1006:Z1006)</f>
        <v>11646473901.123848</v>
      </c>
      <c r="AB1006" s="176" t="str">
        <f>IF(ABS(F1006-AA1006)&lt;0.01,"ok","err")</f>
        <v>ok</v>
      </c>
    </row>
    <row r="1007" spans="1:29" s="60" customFormat="1">
      <c r="A1007" s="60" t="s">
        <v>709</v>
      </c>
      <c r="D1007" s="60" t="s">
        <v>930</v>
      </c>
      <c r="F1007" s="79">
        <v>12308166695.031103</v>
      </c>
      <c r="G1007" s="79">
        <f>G1006/0.93875</f>
        <v>4452824320.6391478</v>
      </c>
      <c r="H1007" s="79">
        <f>H1006/0.93875</f>
        <v>1447008491.078562</v>
      </c>
      <c r="I1007" s="79">
        <f>I1006/0.93875</f>
        <v>0</v>
      </c>
      <c r="J1007" s="79">
        <f>J1006/0.95913</f>
        <v>172341135.19543752</v>
      </c>
      <c r="K1007" s="79">
        <f>K1006/0.93875</f>
        <v>1996796029.8268976</v>
      </c>
      <c r="L1007" s="79">
        <f>L1006/0.95913</f>
        <v>0</v>
      </c>
      <c r="M1007" s="79">
        <f>M1006/(1-0.061646)</f>
        <v>0</v>
      </c>
      <c r="N1007" s="79">
        <f>N1006/0.95913</f>
        <v>1927462502.4762022</v>
      </c>
      <c r="O1007" s="79">
        <f>O1006/0.93875</f>
        <v>847724245.00665784</v>
      </c>
      <c r="P1007" s="79">
        <f>P1006/0.97779</f>
        <v>1173677076.8774481</v>
      </c>
      <c r="Q1007" s="79">
        <f>Q1006/0.95913</f>
        <v>114556837.96774159</v>
      </c>
      <c r="R1007" s="79">
        <f>R1006/0.95913</f>
        <v>60519950.371691011</v>
      </c>
      <c r="S1007" s="79">
        <f>S1006/0.93875</f>
        <v>108410739.94551106</v>
      </c>
      <c r="T1007" s="79">
        <f>T1006/0.93875</f>
        <v>3533820.5059920107</v>
      </c>
      <c r="U1007" s="79">
        <f>U1006/0.93875</f>
        <v>3311545.1398135819</v>
      </c>
      <c r="V1007" s="79">
        <f>V1006/(1-0.041817)</f>
        <v>0</v>
      </c>
      <c r="W1007" s="79">
        <f>W1006/(1-0.061646)</f>
        <v>0</v>
      </c>
      <c r="X1007" s="79">
        <v>0</v>
      </c>
      <c r="Y1007" s="79">
        <v>0</v>
      </c>
      <c r="Z1007" s="79">
        <v>0</v>
      </c>
      <c r="AA1007" s="79">
        <f>SUM(G1007:Z1007)</f>
        <v>12308166695.031103</v>
      </c>
      <c r="AB1007" s="93" t="str">
        <f>IF(ABS(F1007-AA1007)&lt;0.01,"ok","err")</f>
        <v>ok</v>
      </c>
      <c r="AC1007" s="112">
        <f>+AA1007-F1007</f>
        <v>0</v>
      </c>
    </row>
    <row r="1008" spans="1:29" s="174" customFormat="1">
      <c r="A1008" s="60"/>
      <c r="B1008" s="60"/>
      <c r="C1008" s="60"/>
      <c r="D1008" s="60"/>
      <c r="E1008" s="60"/>
      <c r="F1008" s="79"/>
      <c r="G1008" s="79"/>
      <c r="H1008" s="79"/>
      <c r="I1008" s="79"/>
      <c r="J1008" s="79"/>
      <c r="K1008" s="79"/>
      <c r="L1008" s="79"/>
      <c r="M1008" s="79"/>
      <c r="N1008" s="79"/>
      <c r="O1008" s="110"/>
      <c r="P1008" s="110"/>
      <c r="Q1008" s="79"/>
      <c r="R1008" s="79"/>
      <c r="S1008" s="79"/>
      <c r="T1008" s="79"/>
      <c r="U1008" s="79"/>
      <c r="V1008" s="79"/>
      <c r="W1008" s="79"/>
      <c r="X1008" s="175"/>
      <c r="Y1008" s="175"/>
      <c r="Z1008" s="175"/>
      <c r="AA1008" s="175"/>
      <c r="AB1008" s="176"/>
    </row>
    <row r="1009" spans="1:28" s="174" customFormat="1" ht="15">
      <c r="A1009" s="65" t="s">
        <v>888</v>
      </c>
      <c r="B1009" s="60"/>
      <c r="C1009" s="60"/>
      <c r="D1009" s="60"/>
      <c r="E1009" s="60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175"/>
      <c r="Y1009" s="175"/>
      <c r="Z1009" s="175"/>
      <c r="AA1009" s="175"/>
      <c r="AB1009" s="176"/>
    </row>
    <row r="1010" spans="1:28" s="174" customFormat="1">
      <c r="A1010" s="60" t="s">
        <v>127</v>
      </c>
      <c r="B1010" s="60"/>
      <c r="C1010" s="60"/>
      <c r="D1010" s="60"/>
      <c r="E1010" s="60"/>
      <c r="F1010" s="79">
        <v>6001330</v>
      </c>
      <c r="G1010" s="79">
        <f>'Billing Det'!B8*12</f>
        <v>4369310</v>
      </c>
      <c r="H1010" s="79">
        <f>('Billing Det'!B10*12)</f>
        <v>542844</v>
      </c>
      <c r="I1010" s="79">
        <v>0</v>
      </c>
      <c r="J1010" s="79">
        <f>'Billing Det'!B12*12</f>
        <v>864</v>
      </c>
      <c r="K1010" s="79">
        <f>'Billing Det'!B14*12</f>
        <v>33890</v>
      </c>
      <c r="L1010" s="79">
        <v>0</v>
      </c>
      <c r="M1010" s="79">
        <v>0</v>
      </c>
      <c r="N1010" s="79">
        <f>('Billing Det'!B16)*12</f>
        <v>1266</v>
      </c>
      <c r="O1010" s="79">
        <f>'Billing Det'!B18*12</f>
        <v>3312</v>
      </c>
      <c r="P1010" s="79">
        <f>'Billing Det'!B20*12</f>
        <v>156</v>
      </c>
      <c r="Q1010" s="79">
        <f>'Billing Det'!B22*12</f>
        <v>12</v>
      </c>
      <c r="R1010" s="79">
        <f>'Billing Det'!B24*12</f>
        <v>12</v>
      </c>
      <c r="S1010" s="79">
        <f>'Billing Det'!B26*12</f>
        <v>1036824</v>
      </c>
      <c r="T1010" s="79">
        <f>'Billing Det'!B28*12</f>
        <v>1980</v>
      </c>
      <c r="U1010" s="79">
        <f>'Billing Det'!B30*12</f>
        <v>10860</v>
      </c>
      <c r="V1010" s="79">
        <v>0</v>
      </c>
      <c r="W1010" s="79">
        <v>0</v>
      </c>
      <c r="X1010" s="175">
        <v>0</v>
      </c>
      <c r="Y1010" s="175">
        <v>0</v>
      </c>
      <c r="Z1010" s="175">
        <v>0</v>
      </c>
      <c r="AA1010" s="175">
        <f t="shared" si="451"/>
        <v>6001330</v>
      </c>
      <c r="AB1010" s="176" t="str">
        <f t="shared" ref="AB1010:AB1018" si="452">IF(ABS(F1010-AA1010)&lt;0.01,"ok","err")</f>
        <v>ok</v>
      </c>
    </row>
    <row r="1011" spans="1:28" s="174" customFormat="1">
      <c r="A1011" s="60" t="s">
        <v>128</v>
      </c>
      <c r="B1011" s="60"/>
      <c r="C1011" s="60"/>
      <c r="D1011" s="60"/>
      <c r="E1011" s="60"/>
      <c r="F1011" s="79">
        <v>500110.83333333337</v>
      </c>
      <c r="G1011" s="79">
        <f>G1010/12</f>
        <v>364109.16666666669</v>
      </c>
      <c r="H1011" s="79">
        <f t="shared" ref="H1011:P1011" si="453">H1010/12</f>
        <v>45237</v>
      </c>
      <c r="I1011" s="79">
        <f t="shared" si="453"/>
        <v>0</v>
      </c>
      <c r="J1011" s="79">
        <f t="shared" si="453"/>
        <v>72</v>
      </c>
      <c r="K1011" s="79">
        <f t="shared" si="453"/>
        <v>2824.1666666666665</v>
      </c>
      <c r="L1011" s="79">
        <f t="shared" si="453"/>
        <v>0</v>
      </c>
      <c r="M1011" s="79">
        <f t="shared" si="453"/>
        <v>0</v>
      </c>
      <c r="N1011" s="79">
        <f t="shared" si="453"/>
        <v>105.5</v>
      </c>
      <c r="O1011" s="79">
        <f>O1010/12</f>
        <v>276</v>
      </c>
      <c r="P1011" s="79">
        <f t="shared" si="453"/>
        <v>13</v>
      </c>
      <c r="Q1011" s="79">
        <f>Q1010/12</f>
        <v>1</v>
      </c>
      <c r="R1011" s="79">
        <f>R1010/12</f>
        <v>1</v>
      </c>
      <c r="S1011" s="79">
        <f>S1010/12</f>
        <v>86402</v>
      </c>
      <c r="T1011" s="79">
        <f>T1010/12</f>
        <v>165</v>
      </c>
      <c r="U1011" s="79">
        <f t="shared" ref="U1011:Z1011" si="454">U1010/12</f>
        <v>905</v>
      </c>
      <c r="V1011" s="79">
        <f t="shared" si="454"/>
        <v>0</v>
      </c>
      <c r="W1011" s="79">
        <f t="shared" si="454"/>
        <v>0</v>
      </c>
      <c r="X1011" s="175">
        <f t="shared" si="454"/>
        <v>0</v>
      </c>
      <c r="Y1011" s="175">
        <f t="shared" si="454"/>
        <v>0</v>
      </c>
      <c r="Z1011" s="175">
        <f t="shared" si="454"/>
        <v>0</v>
      </c>
      <c r="AA1011" s="175">
        <f t="shared" si="451"/>
        <v>500110.83333333337</v>
      </c>
      <c r="AB1011" s="176" t="str">
        <f t="shared" si="452"/>
        <v>ok</v>
      </c>
    </row>
    <row r="1012" spans="1:28" s="174" customFormat="1">
      <c r="A1012" s="60" t="s">
        <v>129</v>
      </c>
      <c r="B1012" s="60"/>
      <c r="C1012" s="60"/>
      <c r="D1012" s="60"/>
      <c r="E1012" s="60"/>
      <c r="F1012" s="79">
        <v>500110.83333333337</v>
      </c>
      <c r="G1012" s="112">
        <f>G1011</f>
        <v>364109.16666666669</v>
      </c>
      <c r="H1012" s="112">
        <f t="shared" ref="H1012:M1012" si="455">H1011</f>
        <v>45237</v>
      </c>
      <c r="I1012" s="112">
        <f t="shared" si="455"/>
        <v>0</v>
      </c>
      <c r="J1012" s="112">
        <f t="shared" si="455"/>
        <v>72</v>
      </c>
      <c r="K1012" s="112">
        <f t="shared" si="455"/>
        <v>2824.1666666666665</v>
      </c>
      <c r="L1012" s="112">
        <f t="shared" si="455"/>
        <v>0</v>
      </c>
      <c r="M1012" s="112">
        <f t="shared" si="455"/>
        <v>0</v>
      </c>
      <c r="N1012" s="112">
        <f t="shared" ref="N1012:T1012" si="456">N1011</f>
        <v>105.5</v>
      </c>
      <c r="O1012" s="112">
        <f>O1011</f>
        <v>276</v>
      </c>
      <c r="P1012" s="112">
        <f t="shared" si="456"/>
        <v>13</v>
      </c>
      <c r="Q1012" s="112">
        <f t="shared" si="456"/>
        <v>1</v>
      </c>
      <c r="R1012" s="112">
        <f t="shared" si="456"/>
        <v>1</v>
      </c>
      <c r="S1012" s="112">
        <f t="shared" si="456"/>
        <v>86402</v>
      </c>
      <c r="T1012" s="112">
        <f t="shared" si="456"/>
        <v>165</v>
      </c>
      <c r="U1012" s="112">
        <f t="shared" ref="U1012:Z1013" si="457">U1011</f>
        <v>905</v>
      </c>
      <c r="V1012" s="112">
        <f t="shared" si="457"/>
        <v>0</v>
      </c>
      <c r="W1012" s="112">
        <f t="shared" si="457"/>
        <v>0</v>
      </c>
      <c r="X1012" s="179">
        <f t="shared" si="457"/>
        <v>0</v>
      </c>
      <c r="Y1012" s="179">
        <f t="shared" si="457"/>
        <v>0</v>
      </c>
      <c r="Z1012" s="179">
        <f t="shared" si="457"/>
        <v>0</v>
      </c>
      <c r="AA1012" s="175">
        <f t="shared" si="451"/>
        <v>500110.83333333337</v>
      </c>
      <c r="AB1012" s="176" t="str">
        <f t="shared" si="452"/>
        <v>ok</v>
      </c>
    </row>
    <row r="1013" spans="1:28" s="174" customFormat="1">
      <c r="A1013" s="60" t="s">
        <v>1327</v>
      </c>
      <c r="B1013" s="60"/>
      <c r="C1013" s="60"/>
      <c r="D1013" s="60" t="s">
        <v>156</v>
      </c>
      <c r="E1013" s="60"/>
      <c r="F1013" s="79">
        <v>488655.61111111112</v>
      </c>
      <c r="G1013" s="112">
        <f>G1012</f>
        <v>364109.16666666669</v>
      </c>
      <c r="H1013" s="112">
        <f>H1012*2</f>
        <v>90474</v>
      </c>
      <c r="I1013" s="112">
        <f>I1012*2</f>
        <v>0</v>
      </c>
      <c r="J1013" s="112">
        <f>J1012*5</f>
        <v>360</v>
      </c>
      <c r="K1013" s="112">
        <f>K1012*5</f>
        <v>14120.833333333332</v>
      </c>
      <c r="L1013" s="112">
        <f>L1012*25</f>
        <v>0</v>
      </c>
      <c r="M1013" s="112">
        <f>M1012*25</f>
        <v>0</v>
      </c>
      <c r="N1013" s="112">
        <f>N1012*25</f>
        <v>2637.5</v>
      </c>
      <c r="O1013" s="112">
        <f>O1012*25</f>
        <v>6900</v>
      </c>
      <c r="P1013" s="112">
        <f>P1012*25</f>
        <v>325</v>
      </c>
      <c r="Q1013" s="112">
        <f>Q1012*5</f>
        <v>5</v>
      </c>
      <c r="R1013" s="112">
        <f>R1012*5</f>
        <v>5</v>
      </c>
      <c r="S1013" s="112">
        <f>S1012*(1/9)</f>
        <v>9600.2222222222208</v>
      </c>
      <c r="T1013" s="112">
        <f>T1012*(1/9)</f>
        <v>18.333333333333332</v>
      </c>
      <c r="U1013" s="112">
        <f>U1012*(1/9)</f>
        <v>100.55555555555554</v>
      </c>
      <c r="V1013" s="112">
        <f t="shared" si="457"/>
        <v>0</v>
      </c>
      <c r="W1013" s="112">
        <f t="shared" si="457"/>
        <v>0</v>
      </c>
      <c r="X1013" s="179">
        <f t="shared" si="457"/>
        <v>0</v>
      </c>
      <c r="Y1013" s="179">
        <f t="shared" si="457"/>
        <v>0</v>
      </c>
      <c r="Z1013" s="179">
        <f t="shared" si="457"/>
        <v>0</v>
      </c>
      <c r="AA1013" s="175">
        <f t="shared" si="451"/>
        <v>488655.61111111112</v>
      </c>
      <c r="AB1013" s="176" t="str">
        <f t="shared" si="452"/>
        <v>ok</v>
      </c>
    </row>
    <row r="1014" spans="1:28" s="174" customFormat="1">
      <c r="A1014" s="60" t="s">
        <v>1086</v>
      </c>
      <c r="B1014" s="60"/>
      <c r="C1014" s="60"/>
      <c r="D1014" s="60" t="s">
        <v>132</v>
      </c>
      <c r="E1014" s="60"/>
      <c r="F1014" s="79">
        <v>86402</v>
      </c>
      <c r="G1014" s="60"/>
      <c r="H1014" s="60"/>
      <c r="I1014" s="60"/>
      <c r="J1014" s="60"/>
      <c r="K1014" s="112"/>
      <c r="L1014" s="79">
        <v>0</v>
      </c>
      <c r="M1014" s="60"/>
      <c r="N1014" s="112">
        <v>0</v>
      </c>
      <c r="O1014" s="112">
        <v>0</v>
      </c>
      <c r="P1014" s="112">
        <v>0</v>
      </c>
      <c r="Q1014" s="112">
        <v>0</v>
      </c>
      <c r="R1014" s="112">
        <v>0</v>
      </c>
      <c r="S1014" s="112">
        <f>S1011</f>
        <v>86402</v>
      </c>
      <c r="T1014" s="112"/>
      <c r="U1014" s="112"/>
      <c r="V1014" s="112"/>
      <c r="W1014" s="112"/>
      <c r="X1014" s="179"/>
      <c r="Y1014" s="179"/>
      <c r="Z1014" s="179"/>
      <c r="AA1014" s="175">
        <f t="shared" si="451"/>
        <v>86402</v>
      </c>
      <c r="AB1014" s="176" t="str">
        <f t="shared" si="452"/>
        <v>ok</v>
      </c>
    </row>
    <row r="1015" spans="1:28" s="174" customFormat="1">
      <c r="A1015" s="60" t="s">
        <v>155</v>
      </c>
      <c r="B1015" s="60"/>
      <c r="C1015" s="60"/>
      <c r="D1015" s="60" t="s">
        <v>131</v>
      </c>
      <c r="E1015" s="60"/>
      <c r="F1015" s="79">
        <v>500110.83333333337</v>
      </c>
      <c r="G1015" s="112">
        <f>G1012</f>
        <v>364109.16666666669</v>
      </c>
      <c r="H1015" s="112">
        <f>H1012</f>
        <v>45237</v>
      </c>
      <c r="I1015" s="112">
        <f>I1012</f>
        <v>0</v>
      </c>
      <c r="J1015" s="112">
        <f>J1012</f>
        <v>72</v>
      </c>
      <c r="K1015" s="112">
        <f t="shared" ref="K1015:W1015" si="458">K1012</f>
        <v>2824.1666666666665</v>
      </c>
      <c r="L1015" s="112">
        <f t="shared" si="458"/>
        <v>0</v>
      </c>
      <c r="M1015" s="112">
        <f t="shared" si="458"/>
        <v>0</v>
      </c>
      <c r="N1015" s="112">
        <f t="shared" si="458"/>
        <v>105.5</v>
      </c>
      <c r="O1015" s="112">
        <f>O1012</f>
        <v>276</v>
      </c>
      <c r="P1015" s="112">
        <f t="shared" si="458"/>
        <v>13</v>
      </c>
      <c r="Q1015" s="112">
        <f t="shared" si="458"/>
        <v>1</v>
      </c>
      <c r="R1015" s="112">
        <f t="shared" si="458"/>
        <v>1</v>
      </c>
      <c r="S1015" s="112">
        <f t="shared" si="458"/>
        <v>86402</v>
      </c>
      <c r="T1015" s="112">
        <f t="shared" si="458"/>
        <v>165</v>
      </c>
      <c r="U1015" s="112">
        <f t="shared" si="458"/>
        <v>905</v>
      </c>
      <c r="V1015" s="112">
        <f t="shared" si="458"/>
        <v>0</v>
      </c>
      <c r="W1015" s="112">
        <f t="shared" si="458"/>
        <v>0</v>
      </c>
      <c r="X1015" s="179">
        <f>X1013</f>
        <v>0</v>
      </c>
      <c r="Y1015" s="179">
        <f>Y1013</f>
        <v>0</v>
      </c>
      <c r="Z1015" s="179">
        <f>Z1013</f>
        <v>0</v>
      </c>
      <c r="AA1015" s="175">
        <f t="shared" si="451"/>
        <v>500110.83333333337</v>
      </c>
      <c r="AB1015" s="176" t="str">
        <f t="shared" si="452"/>
        <v>ok</v>
      </c>
    </row>
    <row r="1016" spans="1:28" s="174" customFormat="1">
      <c r="A1016" s="60" t="s">
        <v>1328</v>
      </c>
      <c r="B1016" s="60"/>
      <c r="C1016" s="60"/>
      <c r="D1016" s="60" t="s">
        <v>157</v>
      </c>
      <c r="E1016" s="60"/>
      <c r="F1016" s="79">
        <v>422357.9444444445</v>
      </c>
      <c r="G1016" s="112">
        <f>G1012</f>
        <v>364109.16666666669</v>
      </c>
      <c r="H1016" s="112">
        <f t="shared" ref="H1016:N1016" si="459">H1012</f>
        <v>45237</v>
      </c>
      <c r="I1016" s="112">
        <f t="shared" si="459"/>
        <v>0</v>
      </c>
      <c r="J1016" s="112">
        <f t="shared" si="459"/>
        <v>72</v>
      </c>
      <c r="K1016" s="112">
        <f t="shared" si="459"/>
        <v>2824.1666666666665</v>
      </c>
      <c r="L1016" s="112">
        <f t="shared" si="459"/>
        <v>0</v>
      </c>
      <c r="M1016" s="112">
        <f t="shared" si="459"/>
        <v>0</v>
      </c>
      <c r="N1016" s="112">
        <f t="shared" si="459"/>
        <v>105.5</v>
      </c>
      <c r="O1016" s="112">
        <f>O1015</f>
        <v>276</v>
      </c>
      <c r="P1016" s="112">
        <f>P1015</f>
        <v>13</v>
      </c>
      <c r="Q1016" s="112">
        <f t="shared" ref="Q1016:W1016" si="460">Q1015</f>
        <v>1</v>
      </c>
      <c r="R1016" s="112">
        <f t="shared" si="460"/>
        <v>1</v>
      </c>
      <c r="S1016" s="112">
        <f>S1015/9</f>
        <v>9600.2222222222226</v>
      </c>
      <c r="T1016" s="112">
        <f>T1015/9</f>
        <v>18.333333333333332</v>
      </c>
      <c r="U1016" s="112">
        <f>U1015/9</f>
        <v>100.55555555555556</v>
      </c>
      <c r="V1016" s="112">
        <f t="shared" si="460"/>
        <v>0</v>
      </c>
      <c r="W1016" s="112">
        <f t="shared" si="460"/>
        <v>0</v>
      </c>
      <c r="X1016" s="179"/>
      <c r="Y1016" s="179"/>
      <c r="Z1016" s="179"/>
      <c r="AA1016" s="175">
        <f t="shared" si="451"/>
        <v>422357.9444444445</v>
      </c>
      <c r="AB1016" s="176" t="str">
        <f t="shared" si="452"/>
        <v>ok</v>
      </c>
    </row>
    <row r="1017" spans="1:28" s="174" customFormat="1">
      <c r="A1017" s="60" t="s">
        <v>877</v>
      </c>
      <c r="B1017" s="60"/>
      <c r="C1017" s="60"/>
      <c r="D1017" s="60" t="s">
        <v>697</v>
      </c>
      <c r="E1017" s="60"/>
      <c r="F1017" s="79">
        <v>419065.27777777781</v>
      </c>
      <c r="G1017" s="112">
        <f>G1016</f>
        <v>364109.16666666669</v>
      </c>
      <c r="H1017" s="112">
        <f>H1016</f>
        <v>45237</v>
      </c>
      <c r="I1017" s="112">
        <f>I1016</f>
        <v>0</v>
      </c>
      <c r="J1017" s="112">
        <v>0</v>
      </c>
      <c r="K1017" s="112">
        <v>0</v>
      </c>
      <c r="L1017" s="112">
        <v>0</v>
      </c>
      <c r="M1017" s="112">
        <v>0</v>
      </c>
      <c r="N1017" s="112">
        <v>0</v>
      </c>
      <c r="O1017" s="112">
        <v>0</v>
      </c>
      <c r="P1017" s="112">
        <v>0</v>
      </c>
      <c r="Q1017" s="112">
        <v>0</v>
      </c>
      <c r="R1017" s="112">
        <v>0</v>
      </c>
      <c r="S1017" s="112">
        <f>S1015/9</f>
        <v>9600.2222222222226</v>
      </c>
      <c r="T1017" s="112">
        <f>T1015/9</f>
        <v>18.333333333333332</v>
      </c>
      <c r="U1017" s="112">
        <f>U1015/9</f>
        <v>100.55555555555556</v>
      </c>
      <c r="V1017" s="112">
        <v>0</v>
      </c>
      <c r="W1017" s="112">
        <f>W1016</f>
        <v>0</v>
      </c>
      <c r="X1017" s="179"/>
      <c r="Y1017" s="179"/>
      <c r="Z1017" s="179"/>
      <c r="AA1017" s="175">
        <f>SUM(G1017:Z1017)</f>
        <v>419065.27777777781</v>
      </c>
      <c r="AB1017" s="176" t="str">
        <f t="shared" si="452"/>
        <v>ok</v>
      </c>
    </row>
    <row r="1018" spans="1:28" s="174" customFormat="1">
      <c r="A1018" s="60" t="s">
        <v>878</v>
      </c>
      <c r="B1018" s="60"/>
      <c r="C1018" s="60"/>
      <c r="D1018" s="60" t="s">
        <v>698</v>
      </c>
      <c r="E1018" s="60"/>
      <c r="F1018" s="79">
        <v>422344.9444444445</v>
      </c>
      <c r="G1018" s="112">
        <f>G1015</f>
        <v>364109.16666666669</v>
      </c>
      <c r="H1018" s="112">
        <f t="shared" ref="H1018:R1018" si="461">H1015</f>
        <v>45237</v>
      </c>
      <c r="I1018" s="112">
        <f t="shared" si="461"/>
        <v>0</v>
      </c>
      <c r="J1018" s="112">
        <f t="shared" si="461"/>
        <v>72</v>
      </c>
      <c r="K1018" s="112">
        <f t="shared" si="461"/>
        <v>2824.1666666666665</v>
      </c>
      <c r="L1018" s="112">
        <f t="shared" si="461"/>
        <v>0</v>
      </c>
      <c r="M1018" s="112">
        <f t="shared" si="461"/>
        <v>0</v>
      </c>
      <c r="N1018" s="112">
        <f t="shared" si="461"/>
        <v>105.5</v>
      </c>
      <c r="O1018" s="112">
        <f t="shared" si="461"/>
        <v>276</v>
      </c>
      <c r="P1018" s="112">
        <v>0</v>
      </c>
      <c r="Q1018" s="112">
        <f t="shared" si="461"/>
        <v>1</v>
      </c>
      <c r="R1018" s="112">
        <f t="shared" si="461"/>
        <v>1</v>
      </c>
      <c r="S1018" s="112">
        <f>S1015/9</f>
        <v>9600.2222222222226</v>
      </c>
      <c r="T1018" s="112">
        <f>T1015/9</f>
        <v>18.333333333333332</v>
      </c>
      <c r="U1018" s="112">
        <f>U1015/9</f>
        <v>100.55555555555556</v>
      </c>
      <c r="V1018" s="112">
        <f>V1015</f>
        <v>0</v>
      </c>
      <c r="W1018" s="112">
        <f>W1015</f>
        <v>0</v>
      </c>
      <c r="X1018" s="179">
        <f>X1017</f>
        <v>0</v>
      </c>
      <c r="Y1018" s="179">
        <f>Y1017</f>
        <v>0</v>
      </c>
      <c r="Z1018" s="179">
        <f>Z1017</f>
        <v>0</v>
      </c>
      <c r="AA1018" s="175">
        <f>SUM(G1018:Z1018)</f>
        <v>422344.9444444445</v>
      </c>
      <c r="AB1018" s="176" t="str">
        <f t="shared" si="452"/>
        <v>ok</v>
      </c>
    </row>
    <row r="1019" spans="1:28" s="174" customFormat="1">
      <c r="A1019" s="60" t="s">
        <v>1333</v>
      </c>
      <c r="B1019" s="60"/>
      <c r="C1019" s="60"/>
      <c r="D1019" s="60" t="s">
        <v>1334</v>
      </c>
      <c r="E1019" s="60"/>
      <c r="F1019" s="79">
        <v>422165.4444444445</v>
      </c>
      <c r="G1019" s="112">
        <f>G1018</f>
        <v>364109.16666666669</v>
      </c>
      <c r="H1019" s="112">
        <f>H1018</f>
        <v>45237</v>
      </c>
      <c r="I1019" s="112">
        <f>I1018</f>
        <v>0</v>
      </c>
      <c r="J1019" s="112"/>
      <c r="K1019" s="112">
        <f>K1018</f>
        <v>2824.1666666666665</v>
      </c>
      <c r="L1019" s="112"/>
      <c r="M1019" s="112"/>
      <c r="N1019" s="112"/>
      <c r="O1019" s="112">
        <f>O1018</f>
        <v>276</v>
      </c>
      <c r="P1019" s="112"/>
      <c r="Q1019" s="112"/>
      <c r="R1019" s="112"/>
      <c r="S1019" s="112">
        <f>S1018</f>
        <v>9600.2222222222226</v>
      </c>
      <c r="T1019" s="112">
        <f>T1018</f>
        <v>18.333333333333332</v>
      </c>
      <c r="U1019" s="112">
        <f>U1018</f>
        <v>100.55555555555556</v>
      </c>
      <c r="V1019" s="112"/>
      <c r="W1019" s="112"/>
      <c r="X1019" s="179"/>
      <c r="Y1019" s="179"/>
      <c r="Z1019" s="179"/>
      <c r="AA1019" s="175">
        <f>SUM(G1019:Z1019)</f>
        <v>422165.4444444445</v>
      </c>
      <c r="AB1019" s="176" t="str">
        <f>IF(ABS(F1019-AA1019)&lt;0.01,"ok","err")</f>
        <v>ok</v>
      </c>
    </row>
    <row r="1020" spans="1:28" s="174" customFormat="1">
      <c r="A1020" s="60"/>
      <c r="B1020" s="60"/>
      <c r="C1020" s="60"/>
      <c r="D1020" s="60"/>
      <c r="E1020" s="60"/>
      <c r="F1020" s="79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  <c r="V1020" s="112"/>
      <c r="W1020" s="112"/>
      <c r="X1020" s="179"/>
      <c r="Y1020" s="179"/>
      <c r="Z1020" s="179"/>
      <c r="AA1020" s="175"/>
      <c r="AB1020" s="176"/>
    </row>
    <row r="1021" spans="1:28" s="174" customFormat="1" ht="15">
      <c r="A1021" s="65" t="s">
        <v>889</v>
      </c>
      <c r="B1021" s="60"/>
      <c r="C1021" s="60"/>
      <c r="D1021" s="60"/>
      <c r="E1021" s="60"/>
      <c r="F1021" s="79"/>
      <c r="G1021" s="79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  <c r="S1021" s="79"/>
      <c r="T1021" s="79"/>
      <c r="U1021" s="79"/>
      <c r="V1021" s="79"/>
      <c r="W1021" s="79"/>
      <c r="X1021" s="175"/>
      <c r="Y1021" s="175"/>
      <c r="Z1021" s="175"/>
      <c r="AA1021" s="175"/>
      <c r="AB1021" s="176"/>
    </row>
    <row r="1022" spans="1:28" s="174" customFormat="1">
      <c r="A1022" s="60" t="s">
        <v>1331</v>
      </c>
      <c r="B1022" s="60"/>
      <c r="C1022" s="60"/>
      <c r="D1022" s="60"/>
      <c r="E1022" s="60"/>
      <c r="F1022" s="79">
        <v>500110.83333333337</v>
      </c>
      <c r="G1022" s="79">
        <f>G1011</f>
        <v>364109.16666666669</v>
      </c>
      <c r="H1022" s="79">
        <f t="shared" ref="H1022:R1022" si="462">H1011</f>
        <v>45237</v>
      </c>
      <c r="I1022" s="79">
        <f t="shared" si="462"/>
        <v>0</v>
      </c>
      <c r="J1022" s="79">
        <f t="shared" si="462"/>
        <v>72</v>
      </c>
      <c r="K1022" s="79">
        <f t="shared" si="462"/>
        <v>2824.1666666666665</v>
      </c>
      <c r="L1022" s="79">
        <f t="shared" si="462"/>
        <v>0</v>
      </c>
      <c r="M1022" s="79">
        <f t="shared" si="462"/>
        <v>0</v>
      </c>
      <c r="N1022" s="79">
        <f t="shared" si="462"/>
        <v>105.5</v>
      </c>
      <c r="O1022" s="79">
        <f t="shared" si="462"/>
        <v>276</v>
      </c>
      <c r="P1022" s="79">
        <f t="shared" si="462"/>
        <v>13</v>
      </c>
      <c r="Q1022" s="79">
        <f t="shared" si="462"/>
        <v>1</v>
      </c>
      <c r="R1022" s="79">
        <f t="shared" si="462"/>
        <v>1</v>
      </c>
      <c r="S1022" s="79">
        <f>S1011</f>
        <v>86402</v>
      </c>
      <c r="T1022" s="79">
        <f>T1011</f>
        <v>165</v>
      </c>
      <c r="U1022" s="79">
        <f>U1011</f>
        <v>905</v>
      </c>
      <c r="V1022" s="79">
        <v>0</v>
      </c>
      <c r="W1022" s="79">
        <v>0</v>
      </c>
      <c r="X1022" s="175">
        <v>0</v>
      </c>
      <c r="Y1022" s="175">
        <v>0</v>
      </c>
      <c r="Z1022" s="175">
        <v>0</v>
      </c>
      <c r="AA1022" s="175">
        <f t="shared" ref="AA1022:AA1027" si="463">SUM(G1022:Z1022)</f>
        <v>500110.83333333337</v>
      </c>
      <c r="AB1022" s="176" t="str">
        <f t="shared" ref="AB1022:AB1029" si="464">IF(ABS(F1022-AA1022)&lt;0.01,"ok","err")</f>
        <v>ok</v>
      </c>
    </row>
    <row r="1023" spans="1:28" s="174" customFormat="1">
      <c r="A1023" s="60" t="s">
        <v>1353</v>
      </c>
      <c r="B1023" s="60"/>
      <c r="C1023" s="60"/>
      <c r="D1023" s="60"/>
      <c r="E1023" s="60"/>
      <c r="F1023" s="79">
        <v>422349.03333333338</v>
      </c>
      <c r="G1023" s="112">
        <f>G1022</f>
        <v>364109.16666666669</v>
      </c>
      <c r="H1023" s="112">
        <f t="shared" ref="H1023:U1023" si="465">H1022</f>
        <v>45237</v>
      </c>
      <c r="I1023" s="112">
        <f t="shared" si="465"/>
        <v>0</v>
      </c>
      <c r="J1023" s="112">
        <f t="shared" si="465"/>
        <v>72</v>
      </c>
      <c r="K1023" s="112">
        <f t="shared" si="465"/>
        <v>2824.1666666666665</v>
      </c>
      <c r="L1023" s="112">
        <f t="shared" si="465"/>
        <v>0</v>
      </c>
      <c r="M1023" s="112">
        <f t="shared" si="465"/>
        <v>0</v>
      </c>
      <c r="N1023" s="112">
        <f t="shared" si="465"/>
        <v>105.5</v>
      </c>
      <c r="O1023" s="112">
        <f t="shared" si="465"/>
        <v>276</v>
      </c>
      <c r="P1023" s="112">
        <f t="shared" si="465"/>
        <v>13</v>
      </c>
      <c r="Q1023" s="112">
        <f t="shared" si="465"/>
        <v>1</v>
      </c>
      <c r="R1023" s="112">
        <f t="shared" si="465"/>
        <v>1</v>
      </c>
      <c r="S1023" s="112">
        <f>S1022/10</f>
        <v>8640.2000000000007</v>
      </c>
      <c r="T1023" s="112">
        <f t="shared" si="465"/>
        <v>165</v>
      </c>
      <c r="U1023" s="112">
        <f t="shared" si="465"/>
        <v>905</v>
      </c>
      <c r="V1023" s="112">
        <f t="shared" ref="V1023:Z1024" si="466">V1022</f>
        <v>0</v>
      </c>
      <c r="W1023" s="112">
        <f t="shared" si="466"/>
        <v>0</v>
      </c>
      <c r="X1023" s="179">
        <f t="shared" si="466"/>
        <v>0</v>
      </c>
      <c r="Y1023" s="179">
        <f t="shared" si="466"/>
        <v>0</v>
      </c>
      <c r="Z1023" s="179">
        <f t="shared" si="466"/>
        <v>0</v>
      </c>
      <c r="AA1023" s="175">
        <f t="shared" si="463"/>
        <v>422349.03333333338</v>
      </c>
      <c r="AB1023" s="176" t="str">
        <f t="shared" si="464"/>
        <v>ok</v>
      </c>
    </row>
    <row r="1024" spans="1:28" s="174" customFormat="1">
      <c r="A1024" s="60" t="s">
        <v>1332</v>
      </c>
      <c r="B1024" s="60"/>
      <c r="C1024" s="60"/>
      <c r="D1024" s="60"/>
      <c r="E1024" s="60"/>
      <c r="F1024" s="79">
        <v>487695.58888888889</v>
      </c>
      <c r="G1024" s="112">
        <f>G1013</f>
        <v>364109.16666666669</v>
      </c>
      <c r="H1024" s="112">
        <f>H1023*2</f>
        <v>90474</v>
      </c>
      <c r="I1024" s="112">
        <f>I1023*2</f>
        <v>0</v>
      </c>
      <c r="J1024" s="112">
        <f>J1023*5</f>
        <v>360</v>
      </c>
      <c r="K1024" s="112">
        <f>K1023*5</f>
        <v>14120.833333333332</v>
      </c>
      <c r="L1024" s="112">
        <f>L1023*25</f>
        <v>0</v>
      </c>
      <c r="M1024" s="112">
        <f>M1023*25</f>
        <v>0</v>
      </c>
      <c r="N1024" s="112">
        <f>N1023*25</f>
        <v>2637.5</v>
      </c>
      <c r="O1024" s="112">
        <f>O1023*25</f>
        <v>6900</v>
      </c>
      <c r="P1024" s="112">
        <f>P1023*25</f>
        <v>325</v>
      </c>
      <c r="Q1024" s="112">
        <f>Q1023*5</f>
        <v>5</v>
      </c>
      <c r="R1024" s="112">
        <f>R1023*5</f>
        <v>5</v>
      </c>
      <c r="S1024" s="112">
        <f>S1023</f>
        <v>8640.2000000000007</v>
      </c>
      <c r="T1024" s="112">
        <f>T1023*1/9</f>
        <v>18.333333333333332</v>
      </c>
      <c r="U1024" s="112">
        <f>U1023*1/9</f>
        <v>100.55555555555556</v>
      </c>
      <c r="V1024" s="112">
        <f t="shared" si="466"/>
        <v>0</v>
      </c>
      <c r="W1024" s="112">
        <f t="shared" si="466"/>
        <v>0</v>
      </c>
      <c r="X1024" s="179">
        <f t="shared" si="466"/>
        <v>0</v>
      </c>
      <c r="Y1024" s="179">
        <f t="shared" si="466"/>
        <v>0</v>
      </c>
      <c r="Z1024" s="179">
        <f t="shared" si="466"/>
        <v>0</v>
      </c>
      <c r="AA1024" s="175">
        <f t="shared" si="463"/>
        <v>487695.58888888889</v>
      </c>
      <c r="AB1024" s="176" t="str">
        <f t="shared" si="464"/>
        <v>ok</v>
      </c>
    </row>
    <row r="1025" spans="1:29" s="174" customFormat="1">
      <c r="A1025" s="111" t="s">
        <v>629</v>
      </c>
      <c r="B1025" s="60"/>
      <c r="C1025" s="60"/>
      <c r="D1025" s="60"/>
      <c r="E1025" s="60"/>
      <c r="F1025" s="112">
        <v>99670957.681538463</v>
      </c>
      <c r="G1025" s="60"/>
      <c r="H1025" s="60"/>
      <c r="I1025" s="60"/>
      <c r="J1025" s="60"/>
      <c r="K1025" s="112"/>
      <c r="L1025" s="79">
        <v>0</v>
      </c>
      <c r="M1025" s="60"/>
      <c r="N1025" s="112">
        <v>0</v>
      </c>
      <c r="O1025" s="112">
        <v>0</v>
      </c>
      <c r="P1025" s="112">
        <v>0</v>
      </c>
      <c r="Q1025" s="112">
        <v>0</v>
      </c>
      <c r="R1025" s="112">
        <v>0</v>
      </c>
      <c r="S1025" s="112">
        <f>F1025</f>
        <v>99670957.681538463</v>
      </c>
      <c r="T1025" s="112">
        <v>0</v>
      </c>
      <c r="U1025" s="112">
        <v>0</v>
      </c>
      <c r="V1025" s="112">
        <v>0</v>
      </c>
      <c r="W1025" s="112">
        <v>0</v>
      </c>
      <c r="X1025" s="179"/>
      <c r="Y1025" s="179"/>
      <c r="Z1025" s="179"/>
      <c r="AA1025" s="175">
        <f t="shared" si="463"/>
        <v>99670957.681538463</v>
      </c>
      <c r="AB1025" s="176" t="str">
        <f t="shared" si="464"/>
        <v>ok</v>
      </c>
    </row>
    <row r="1026" spans="1:29" s="174" customFormat="1">
      <c r="A1026" s="60" t="s">
        <v>155</v>
      </c>
      <c r="B1026" s="60"/>
      <c r="C1026" s="60"/>
      <c r="D1026" s="60"/>
      <c r="E1026" s="60"/>
      <c r="F1026" s="79">
        <v>500110.83333333337</v>
      </c>
      <c r="G1026" s="112">
        <f>G1022</f>
        <v>364109.16666666669</v>
      </c>
      <c r="H1026" s="112">
        <f>H1023</f>
        <v>45237</v>
      </c>
      <c r="I1026" s="112">
        <f>I1023</f>
        <v>0</v>
      </c>
      <c r="J1026" s="112">
        <f>J1023</f>
        <v>72</v>
      </c>
      <c r="K1026" s="112">
        <f t="shared" ref="K1026:W1026" si="467">K1023</f>
        <v>2824.1666666666665</v>
      </c>
      <c r="L1026" s="112">
        <f t="shared" si="467"/>
        <v>0</v>
      </c>
      <c r="M1026" s="112">
        <f t="shared" si="467"/>
        <v>0</v>
      </c>
      <c r="N1026" s="112">
        <f t="shared" si="467"/>
        <v>105.5</v>
      </c>
      <c r="O1026" s="112">
        <f>O1023</f>
        <v>276</v>
      </c>
      <c r="P1026" s="112">
        <f t="shared" si="467"/>
        <v>13</v>
      </c>
      <c r="Q1026" s="112">
        <f t="shared" si="467"/>
        <v>1</v>
      </c>
      <c r="R1026" s="112">
        <f t="shared" si="467"/>
        <v>1</v>
      </c>
      <c r="S1026" s="112">
        <f>S1022</f>
        <v>86402</v>
      </c>
      <c r="T1026" s="112">
        <f t="shared" si="467"/>
        <v>165</v>
      </c>
      <c r="U1026" s="112">
        <f t="shared" si="467"/>
        <v>905</v>
      </c>
      <c r="V1026" s="112">
        <f t="shared" si="467"/>
        <v>0</v>
      </c>
      <c r="W1026" s="112">
        <f t="shared" si="467"/>
        <v>0</v>
      </c>
      <c r="X1026" s="179">
        <f>X1024</f>
        <v>0</v>
      </c>
      <c r="Y1026" s="179">
        <f>Y1024</f>
        <v>0</v>
      </c>
      <c r="Z1026" s="179">
        <f>Z1024</f>
        <v>0</v>
      </c>
      <c r="AA1026" s="175">
        <f t="shared" si="463"/>
        <v>500110.83333333337</v>
      </c>
      <c r="AB1026" s="176" t="str">
        <f t="shared" si="464"/>
        <v>ok</v>
      </c>
    </row>
    <row r="1027" spans="1:29" s="174" customFormat="1">
      <c r="A1027" s="60" t="s">
        <v>1354</v>
      </c>
      <c r="B1027" s="60"/>
      <c r="C1027" s="60"/>
      <c r="D1027" s="60"/>
      <c r="E1027" s="60"/>
      <c r="F1027" s="79">
        <v>421397.92222222226</v>
      </c>
      <c r="G1027" s="112">
        <f>G1023</f>
        <v>364109.16666666669</v>
      </c>
      <c r="H1027" s="112">
        <f t="shared" ref="H1027:N1027" si="468">H1023</f>
        <v>45237</v>
      </c>
      <c r="I1027" s="112">
        <f t="shared" si="468"/>
        <v>0</v>
      </c>
      <c r="J1027" s="112">
        <f t="shared" si="468"/>
        <v>72</v>
      </c>
      <c r="K1027" s="112">
        <f t="shared" si="468"/>
        <v>2824.1666666666665</v>
      </c>
      <c r="L1027" s="112">
        <f t="shared" si="468"/>
        <v>0</v>
      </c>
      <c r="M1027" s="112">
        <f t="shared" si="468"/>
        <v>0</v>
      </c>
      <c r="N1027" s="112">
        <f t="shared" si="468"/>
        <v>105.5</v>
      </c>
      <c r="O1027" s="112">
        <f>O1026</f>
        <v>276</v>
      </c>
      <c r="P1027" s="112">
        <f>P1026</f>
        <v>13</v>
      </c>
      <c r="Q1027" s="112">
        <f>Q1026</f>
        <v>1</v>
      </c>
      <c r="R1027" s="112">
        <f>R1026</f>
        <v>1</v>
      </c>
      <c r="S1027" s="112">
        <f>S1026/10</f>
        <v>8640.2000000000007</v>
      </c>
      <c r="T1027" s="112">
        <f>T1026/9</f>
        <v>18.333333333333332</v>
      </c>
      <c r="U1027" s="112">
        <f>U1026/9</f>
        <v>100.55555555555556</v>
      </c>
      <c r="V1027" s="112">
        <f>V1026</f>
        <v>0</v>
      </c>
      <c r="W1027" s="112">
        <f>W1026</f>
        <v>0</v>
      </c>
      <c r="X1027" s="179"/>
      <c r="Y1027" s="179"/>
      <c r="Z1027" s="179"/>
      <c r="AA1027" s="175">
        <f t="shared" si="463"/>
        <v>421397.92222222226</v>
      </c>
      <c r="AB1027" s="176" t="str">
        <f t="shared" si="464"/>
        <v>ok</v>
      </c>
    </row>
    <row r="1028" spans="1:29" s="174" customFormat="1">
      <c r="A1028" s="60" t="s">
        <v>877</v>
      </c>
      <c r="B1028" s="60"/>
      <c r="C1028" s="60"/>
      <c r="D1028" s="60"/>
      <c r="E1028" s="60"/>
      <c r="F1028" s="79">
        <v>421205.42222222226</v>
      </c>
      <c r="G1028" s="112">
        <f>G1027</f>
        <v>364109.16666666669</v>
      </c>
      <c r="H1028" s="112">
        <f>H1027</f>
        <v>45237</v>
      </c>
      <c r="I1028" s="112">
        <f>I1027</f>
        <v>0</v>
      </c>
      <c r="J1028" s="112">
        <v>0</v>
      </c>
      <c r="K1028" s="112">
        <f>K1027</f>
        <v>2824.1666666666665</v>
      </c>
      <c r="L1028" s="112">
        <v>0</v>
      </c>
      <c r="M1028" s="112">
        <v>0</v>
      </c>
      <c r="N1028" s="112">
        <v>0</v>
      </c>
      <c r="O1028" s="112">
        <f>O1027</f>
        <v>276</v>
      </c>
      <c r="P1028" s="112">
        <v>0</v>
      </c>
      <c r="Q1028" s="112">
        <v>0</v>
      </c>
      <c r="R1028" s="112">
        <v>0</v>
      </c>
      <c r="S1028" s="112">
        <f>S1027</f>
        <v>8640.2000000000007</v>
      </c>
      <c r="T1028" s="112">
        <f>T1026/9</f>
        <v>18.333333333333332</v>
      </c>
      <c r="U1028" s="112">
        <f>U1026/9</f>
        <v>100.55555555555556</v>
      </c>
      <c r="V1028" s="112">
        <v>0</v>
      </c>
      <c r="W1028" s="112">
        <f>W1027</f>
        <v>0</v>
      </c>
      <c r="X1028" s="179"/>
      <c r="Y1028" s="179"/>
      <c r="Z1028" s="179"/>
      <c r="AA1028" s="175">
        <f>SUM(G1028:Z1028)</f>
        <v>421205.42222222226</v>
      </c>
      <c r="AB1028" s="176" t="str">
        <f t="shared" si="464"/>
        <v>ok</v>
      </c>
    </row>
    <row r="1029" spans="1:29" s="174" customFormat="1">
      <c r="A1029" s="60" t="s">
        <v>878</v>
      </c>
      <c r="B1029" s="60"/>
      <c r="C1029" s="60"/>
      <c r="D1029" s="60"/>
      <c r="E1029" s="60"/>
      <c r="F1029" s="79">
        <v>421384.92222222226</v>
      </c>
      <c r="G1029" s="112">
        <f>G1027</f>
        <v>364109.16666666669</v>
      </c>
      <c r="H1029" s="112">
        <f t="shared" ref="H1029:Z1029" si="469">+H1022</f>
        <v>45237</v>
      </c>
      <c r="I1029" s="112">
        <f t="shared" si="469"/>
        <v>0</v>
      </c>
      <c r="J1029" s="112">
        <f t="shared" si="469"/>
        <v>72</v>
      </c>
      <c r="K1029" s="112">
        <f t="shared" si="469"/>
        <v>2824.1666666666665</v>
      </c>
      <c r="L1029" s="112">
        <f t="shared" si="469"/>
        <v>0</v>
      </c>
      <c r="M1029" s="112">
        <f t="shared" si="469"/>
        <v>0</v>
      </c>
      <c r="N1029" s="112">
        <f t="shared" si="469"/>
        <v>105.5</v>
      </c>
      <c r="O1029" s="112">
        <f t="shared" si="469"/>
        <v>276</v>
      </c>
      <c r="P1029" s="112">
        <v>0</v>
      </c>
      <c r="Q1029" s="112">
        <f t="shared" si="469"/>
        <v>1</v>
      </c>
      <c r="R1029" s="112">
        <f t="shared" si="469"/>
        <v>1</v>
      </c>
      <c r="S1029" s="112">
        <f>+S1022/10</f>
        <v>8640.2000000000007</v>
      </c>
      <c r="T1029" s="112">
        <f>+T1022/9</f>
        <v>18.333333333333332</v>
      </c>
      <c r="U1029" s="112">
        <f>+U1022/9</f>
        <v>100.55555555555556</v>
      </c>
      <c r="V1029" s="112">
        <f t="shared" si="469"/>
        <v>0</v>
      </c>
      <c r="W1029" s="112">
        <f t="shared" si="469"/>
        <v>0</v>
      </c>
      <c r="X1029" s="179">
        <f t="shared" si="469"/>
        <v>0</v>
      </c>
      <c r="Y1029" s="179">
        <f t="shared" si="469"/>
        <v>0</v>
      </c>
      <c r="Z1029" s="179">
        <f t="shared" si="469"/>
        <v>0</v>
      </c>
      <c r="AA1029" s="175">
        <f>SUM(G1029:Z1029)</f>
        <v>421384.92222222226</v>
      </c>
      <c r="AB1029" s="176" t="str">
        <f t="shared" si="464"/>
        <v>ok</v>
      </c>
    </row>
    <row r="1030" spans="1:29" s="174" customFormat="1">
      <c r="A1030" s="60" t="s">
        <v>1333</v>
      </c>
      <c r="B1030" s="60"/>
      <c r="C1030" s="60"/>
      <c r="D1030" s="60"/>
      <c r="E1030" s="60"/>
      <c r="F1030" s="79">
        <v>422165.4444444445</v>
      </c>
      <c r="G1030" s="112">
        <f>G1019</f>
        <v>364109.16666666669</v>
      </c>
      <c r="H1030" s="112">
        <f t="shared" ref="H1030:U1030" si="470">H1019</f>
        <v>45237</v>
      </c>
      <c r="I1030" s="112">
        <f t="shared" si="470"/>
        <v>0</v>
      </c>
      <c r="J1030" s="112">
        <f t="shared" si="470"/>
        <v>0</v>
      </c>
      <c r="K1030" s="112">
        <f t="shared" si="470"/>
        <v>2824.1666666666665</v>
      </c>
      <c r="L1030" s="112">
        <f t="shared" si="470"/>
        <v>0</v>
      </c>
      <c r="M1030" s="112">
        <f t="shared" si="470"/>
        <v>0</v>
      </c>
      <c r="N1030" s="112">
        <f t="shared" si="470"/>
        <v>0</v>
      </c>
      <c r="O1030" s="112">
        <f t="shared" si="470"/>
        <v>276</v>
      </c>
      <c r="P1030" s="112">
        <f t="shared" si="470"/>
        <v>0</v>
      </c>
      <c r="Q1030" s="112">
        <f t="shared" si="470"/>
        <v>0</v>
      </c>
      <c r="R1030" s="112">
        <f t="shared" si="470"/>
        <v>0</v>
      </c>
      <c r="S1030" s="112">
        <f t="shared" si="470"/>
        <v>9600.2222222222226</v>
      </c>
      <c r="T1030" s="112">
        <f t="shared" si="470"/>
        <v>18.333333333333332</v>
      </c>
      <c r="U1030" s="112">
        <f t="shared" si="470"/>
        <v>100.55555555555556</v>
      </c>
      <c r="V1030" s="112"/>
      <c r="W1030" s="112"/>
      <c r="X1030" s="179"/>
      <c r="Y1030" s="179"/>
      <c r="Z1030" s="179"/>
      <c r="AA1030" s="175">
        <f>SUM(G1030:Z1030)</f>
        <v>422165.4444444445</v>
      </c>
      <c r="AB1030" s="176" t="str">
        <f>IF(ABS(F1030-AA1030)&lt;0.01,"ok","err")</f>
        <v>ok</v>
      </c>
    </row>
    <row r="1031" spans="1:29" s="174" customFormat="1">
      <c r="A1031" s="60"/>
      <c r="B1031" s="60"/>
      <c r="C1031" s="60"/>
      <c r="D1031" s="60"/>
      <c r="E1031" s="60"/>
      <c r="F1031" s="79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  <c r="V1031" s="112"/>
      <c r="W1031" s="112"/>
      <c r="X1031" s="179"/>
      <c r="Y1031" s="179"/>
      <c r="Z1031" s="179"/>
      <c r="AA1031" s="175"/>
      <c r="AB1031" s="176"/>
    </row>
    <row r="1032" spans="1:29" s="174" customFormat="1" ht="15">
      <c r="A1032" s="59" t="s">
        <v>879</v>
      </c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</row>
    <row r="1033" spans="1:29" s="174" customFormat="1">
      <c r="A1033" s="60" t="s">
        <v>1365</v>
      </c>
      <c r="B1033" s="60"/>
      <c r="C1033" s="60"/>
      <c r="D1033" s="60" t="s">
        <v>1367</v>
      </c>
      <c r="E1033" s="60"/>
      <c r="F1033" s="79">
        <v>3508847.3591729756</v>
      </c>
      <c r="G1033" s="79">
        <f>'Billing Det'!G8</f>
        <v>1559289.3204656634</v>
      </c>
      <c r="H1033" s="79">
        <f>'Billing Det'!G10</f>
        <v>448837.09044295392</v>
      </c>
      <c r="I1033" s="79">
        <v>0</v>
      </c>
      <c r="J1033" s="79">
        <f>'Billing Det'!G12</f>
        <v>39879.56851315892</v>
      </c>
      <c r="K1033" s="79">
        <f>'Billing Det'!G14</f>
        <v>462866.52612677042</v>
      </c>
      <c r="L1033" s="79">
        <v>0</v>
      </c>
      <c r="M1033" s="79">
        <v>0</v>
      </c>
      <c r="N1033" s="79">
        <f>'Billing Det'!G16</f>
        <v>421067.29567910882</v>
      </c>
      <c r="O1033" s="79">
        <f>'Billing Det'!G18</f>
        <v>250007.66146166611</v>
      </c>
      <c r="P1033" s="79">
        <f>'Billing Det'!G20</f>
        <v>258962.35245895264</v>
      </c>
      <c r="Q1033" s="79">
        <f>'Billing Det'!G22</f>
        <v>26104.545320274483</v>
      </c>
      <c r="R1033" s="79">
        <f>'Billing Det'!G24</f>
        <v>13663.49459080668</v>
      </c>
      <c r="S1033" s="79">
        <f>'Billing Det'!G26</f>
        <v>26916.48368426325</v>
      </c>
      <c r="T1033" s="79">
        <f>'Billing Det'!G28</f>
        <v>860.86684661971549</v>
      </c>
      <c r="U1033" s="79">
        <f>'Billing Det'!G30</f>
        <v>392.15358273782084</v>
      </c>
      <c r="V1033" s="79">
        <v>0</v>
      </c>
      <c r="W1033" s="79">
        <v>0</v>
      </c>
      <c r="X1033" s="175">
        <v>0</v>
      </c>
      <c r="Y1033" s="175">
        <v>0</v>
      </c>
      <c r="Z1033" s="175">
        <v>0</v>
      </c>
      <c r="AA1033" s="175">
        <f>SUM(G1033:Z1033)</f>
        <v>3508847.3591729756</v>
      </c>
      <c r="AB1033" s="176" t="str">
        <f>IF(ABS(F1033-AA1033)&lt;0.01,"ok","err")</f>
        <v>ok</v>
      </c>
      <c r="AC1033" s="179"/>
    </row>
    <row r="1034" spans="1:29" s="174" customFormat="1">
      <c r="A1034" s="60" t="s">
        <v>1366</v>
      </c>
      <c r="B1034" s="60"/>
      <c r="C1034" s="60"/>
      <c r="D1034" s="60" t="s">
        <v>1368</v>
      </c>
      <c r="E1034" s="60"/>
      <c r="F1034" s="79">
        <v>3249885.0067140232</v>
      </c>
      <c r="G1034" s="79">
        <f>'Billing Det'!G8</f>
        <v>1559289.3204656634</v>
      </c>
      <c r="H1034" s="79">
        <f>'Billing Det'!G10</f>
        <v>448837.09044295392</v>
      </c>
      <c r="I1034" s="79">
        <v>0</v>
      </c>
      <c r="J1034" s="79">
        <f>'Billing Det'!G12</f>
        <v>39879.56851315892</v>
      </c>
      <c r="K1034" s="79">
        <f>'Billing Det'!G14</f>
        <v>462866.52612677042</v>
      </c>
      <c r="L1034" s="79">
        <v>0</v>
      </c>
      <c r="M1034" s="79">
        <v>0</v>
      </c>
      <c r="N1034" s="79">
        <f>'Billing Det'!G16</f>
        <v>421067.29567910882</v>
      </c>
      <c r="O1034" s="79">
        <f>'Billing Det'!G18</f>
        <v>250007.66146166611</v>
      </c>
      <c r="P1034" s="79">
        <v>0</v>
      </c>
      <c r="Q1034" s="79">
        <f>'Billing Det'!G22</f>
        <v>26104.545320274483</v>
      </c>
      <c r="R1034" s="79">
        <f>'Billing Det'!G24</f>
        <v>13663.49459080668</v>
      </c>
      <c r="S1034" s="79">
        <f>'Billing Det'!G26</f>
        <v>26916.48368426325</v>
      </c>
      <c r="T1034" s="79">
        <f>'Billing Det'!G28</f>
        <v>860.86684661971549</v>
      </c>
      <c r="U1034" s="79">
        <f>'Billing Det'!G30</f>
        <v>392.15358273782084</v>
      </c>
      <c r="V1034" s="79">
        <v>0</v>
      </c>
      <c r="W1034" s="79">
        <v>0</v>
      </c>
      <c r="X1034" s="175">
        <v>0</v>
      </c>
      <c r="Y1034" s="175">
        <v>0</v>
      </c>
      <c r="Z1034" s="175">
        <v>0</v>
      </c>
      <c r="AA1034" s="175">
        <f>SUM(G1034:Z1034)</f>
        <v>3249885.0067140232</v>
      </c>
      <c r="AB1034" s="176" t="str">
        <f>IF(ABS(F1034-AA1034)&lt;0.01,"ok","err")</f>
        <v>ok</v>
      </c>
      <c r="AC1034" s="179"/>
    </row>
    <row r="1035" spans="1:29" s="168" customFormat="1">
      <c r="A1035" s="60" t="s">
        <v>1335</v>
      </c>
      <c r="B1035" s="60"/>
      <c r="C1035" s="60"/>
      <c r="D1035" s="60" t="s">
        <v>1336</v>
      </c>
      <c r="E1035" s="60"/>
      <c r="F1035" s="79">
        <v>4718835.4705912843</v>
      </c>
      <c r="G1035" s="79">
        <f>'Billing Det'!K8</f>
        <v>3273931.5009418679</v>
      </c>
      <c r="H1035" s="79">
        <f>'Billing Det'!K10</f>
        <v>599114.69817621191</v>
      </c>
      <c r="I1035" s="79">
        <v>0</v>
      </c>
      <c r="J1035" s="79">
        <v>0</v>
      </c>
      <c r="K1035" s="79">
        <f>'Billing Det'!K14</f>
        <v>527644.55780038284</v>
      </c>
      <c r="L1035" s="79">
        <v>0</v>
      </c>
      <c r="M1035" s="79">
        <v>0</v>
      </c>
      <c r="N1035" s="79">
        <v>0</v>
      </c>
      <c r="O1035" s="79">
        <f>'Billing Det'!K18</f>
        <v>289975.20955920167</v>
      </c>
      <c r="P1035" s="79">
        <v>0</v>
      </c>
      <c r="Q1035" s="79">
        <v>0</v>
      </c>
      <c r="R1035" s="79">
        <v>0</v>
      </c>
      <c r="S1035" s="79">
        <f>'Billing Det'!K26</f>
        <v>26916.48368426325</v>
      </c>
      <c r="T1035" s="79">
        <f>'Billing Det'!K28</f>
        <v>860.86684661971549</v>
      </c>
      <c r="U1035" s="79">
        <f>'Billing Det'!K30</f>
        <v>392.15358273782084</v>
      </c>
      <c r="V1035" s="79">
        <v>0</v>
      </c>
      <c r="W1035" s="79">
        <v>0</v>
      </c>
      <c r="X1035" s="164">
        <v>0</v>
      </c>
      <c r="Y1035" s="164">
        <v>0</v>
      </c>
      <c r="Z1035" s="164">
        <v>0</v>
      </c>
      <c r="AA1035" s="164">
        <f>SUM(G1035:Z1035)</f>
        <v>4718835.4705912843</v>
      </c>
      <c r="AB1035" s="167" t="str">
        <f>IF(ABS(F1035-AA1035)&lt;0.01,"ok","err")</f>
        <v>ok</v>
      </c>
    </row>
    <row r="1036" spans="1:29" s="168" customFormat="1">
      <c r="A1036" s="60" t="s">
        <v>677</v>
      </c>
      <c r="B1036" s="60"/>
      <c r="C1036" s="60"/>
      <c r="D1036" s="60" t="s">
        <v>678</v>
      </c>
      <c r="E1036" s="60"/>
      <c r="F1036" s="79">
        <v>3901215.7032317002</v>
      </c>
      <c r="G1036" s="79">
        <f>'Billing Det'!K8</f>
        <v>3273931.5009418679</v>
      </c>
      <c r="H1036" s="79">
        <f>'Billing Det'!K10</f>
        <v>599114.69817621191</v>
      </c>
      <c r="I1036" s="79">
        <v>0</v>
      </c>
      <c r="J1036" s="79">
        <v>0</v>
      </c>
      <c r="K1036" s="79">
        <v>0</v>
      </c>
      <c r="L1036" s="79">
        <v>0</v>
      </c>
      <c r="M1036" s="79">
        <v>0</v>
      </c>
      <c r="N1036" s="79">
        <v>0</v>
      </c>
      <c r="O1036" s="79">
        <v>0</v>
      </c>
      <c r="P1036" s="79">
        <v>0</v>
      </c>
      <c r="Q1036" s="79">
        <v>0</v>
      </c>
      <c r="R1036" s="79">
        <v>0</v>
      </c>
      <c r="S1036" s="79">
        <f>'Billing Det'!K26</f>
        <v>26916.48368426325</v>
      </c>
      <c r="T1036" s="79">
        <f>'Billing Det'!K28</f>
        <v>860.86684661971549</v>
      </c>
      <c r="U1036" s="79">
        <f>'Billing Det'!K30</f>
        <v>392.15358273782084</v>
      </c>
      <c r="V1036" s="79">
        <v>0</v>
      </c>
      <c r="W1036" s="79">
        <v>0</v>
      </c>
      <c r="X1036" s="164">
        <v>0</v>
      </c>
      <c r="Y1036" s="164">
        <v>0</v>
      </c>
      <c r="Z1036" s="164">
        <v>0</v>
      </c>
      <c r="AA1036" s="164">
        <f>SUM(G1036:Z1036)</f>
        <v>3901215.7032317002</v>
      </c>
      <c r="AB1036" s="167" t="str">
        <f>IF(ABS(F1036-AA1036)&lt;0.01,"ok","err")</f>
        <v>ok</v>
      </c>
    </row>
    <row r="1037" spans="1:29" s="168" customFormat="1">
      <c r="A1037" s="60" t="s">
        <v>860</v>
      </c>
      <c r="B1037" s="60"/>
      <c r="C1037" s="60"/>
      <c r="D1037" s="60" t="s">
        <v>177</v>
      </c>
      <c r="E1037" s="60"/>
      <c r="F1037" s="79">
        <v>2733721.1029908364</v>
      </c>
      <c r="G1037" s="79">
        <v>1069021.6735769615</v>
      </c>
      <c r="H1037" s="79">
        <v>386317.95454455458</v>
      </c>
      <c r="I1037" s="79">
        <v>0</v>
      </c>
      <c r="J1037" s="79">
        <v>31860.342849534132</v>
      </c>
      <c r="K1037" s="79">
        <v>449716.42236431479</v>
      </c>
      <c r="L1037" s="79">
        <v>0</v>
      </c>
      <c r="M1037" s="79">
        <v>0</v>
      </c>
      <c r="N1037" s="79">
        <v>340132.15690513782</v>
      </c>
      <c r="O1037" s="79">
        <v>229731.99023415305</v>
      </c>
      <c r="P1037" s="79">
        <v>196715.93398402378</v>
      </c>
      <c r="Q1037" s="79">
        <v>21240.770184933692</v>
      </c>
      <c r="R1037" s="79">
        <v>8598.4009708705998</v>
      </c>
      <c r="S1037" s="79">
        <v>0</v>
      </c>
      <c r="T1037" s="79">
        <v>0</v>
      </c>
      <c r="U1037" s="79">
        <v>385.45737635222895</v>
      </c>
      <c r="V1037" s="79">
        <v>0</v>
      </c>
      <c r="W1037" s="79">
        <v>0</v>
      </c>
      <c r="X1037" s="164"/>
      <c r="Y1037" s="164"/>
      <c r="Z1037" s="164"/>
      <c r="AA1037" s="164">
        <v>2733721.1029908364</v>
      </c>
      <c r="AB1037" s="167" t="s">
        <v>1381</v>
      </c>
      <c r="AC1037" s="169"/>
    </row>
    <row r="1038" spans="1:29" s="168" customFormat="1">
      <c r="A1038" s="60" t="s">
        <v>861</v>
      </c>
      <c r="B1038" s="60"/>
      <c r="C1038" s="60"/>
      <c r="D1038" s="60" t="s">
        <v>178</v>
      </c>
      <c r="E1038" s="60"/>
      <c r="F1038" s="79">
        <v>1868156.7352128148</v>
      </c>
      <c r="G1038" s="79">
        <v>798297.34339007991</v>
      </c>
      <c r="H1038" s="79">
        <v>261220.81239762629</v>
      </c>
      <c r="I1038" s="79">
        <v>0</v>
      </c>
      <c r="J1038" s="79">
        <v>20313.600974413446</v>
      </c>
      <c r="K1038" s="79">
        <v>273342.71120103268</v>
      </c>
      <c r="L1038" s="79">
        <v>0</v>
      </c>
      <c r="M1038" s="79">
        <v>0</v>
      </c>
      <c r="N1038" s="79">
        <v>217675.10580639745</v>
      </c>
      <c r="O1038" s="79">
        <v>145975.99411615593</v>
      </c>
      <c r="P1038" s="79">
        <v>130198.7316881914</v>
      </c>
      <c r="Q1038" s="79">
        <v>15032.269312683648</v>
      </c>
      <c r="R1038" s="79">
        <v>5713.8239668660899</v>
      </c>
      <c r="S1038" s="79">
        <v>0</v>
      </c>
      <c r="T1038" s="79">
        <v>0</v>
      </c>
      <c r="U1038" s="79">
        <v>386.34235936798433</v>
      </c>
      <c r="V1038" s="79">
        <v>0</v>
      </c>
      <c r="W1038" s="79">
        <v>0</v>
      </c>
      <c r="X1038" s="164"/>
      <c r="Y1038" s="164"/>
      <c r="Z1038" s="164"/>
      <c r="AA1038" s="164">
        <v>1868156.7352128148</v>
      </c>
      <c r="AB1038" s="167" t="s">
        <v>1381</v>
      </c>
    </row>
    <row r="1039" spans="1:29" s="168" customFormat="1">
      <c r="A1039" s="60" t="s">
        <v>858</v>
      </c>
      <c r="B1039" s="60"/>
      <c r="C1039" s="60"/>
      <c r="D1039" s="60" t="s">
        <v>859</v>
      </c>
      <c r="E1039" s="60"/>
      <c r="F1039" s="79">
        <v>1405041.8599999996</v>
      </c>
      <c r="G1039" s="79">
        <v>508313.28</v>
      </c>
      <c r="H1039" s="79">
        <v>165183.62</v>
      </c>
      <c r="I1039" s="79">
        <v>0</v>
      </c>
      <c r="J1039" s="79">
        <v>19673.650000000001</v>
      </c>
      <c r="K1039" s="79">
        <v>227944.75</v>
      </c>
      <c r="L1039" s="79">
        <v>0</v>
      </c>
      <c r="M1039" s="79">
        <v>0</v>
      </c>
      <c r="N1039" s="79">
        <v>220029.97</v>
      </c>
      <c r="O1039" s="79">
        <v>96772.17</v>
      </c>
      <c r="P1039" s="79">
        <v>133981.4</v>
      </c>
      <c r="Q1039" s="79">
        <v>13077.26</v>
      </c>
      <c r="R1039" s="79">
        <v>6908.67</v>
      </c>
      <c r="S1039" s="79">
        <v>12375.66</v>
      </c>
      <c r="T1039" s="79">
        <v>403.4</v>
      </c>
      <c r="U1039" s="79">
        <v>378.03</v>
      </c>
      <c r="V1039" s="79">
        <v>0</v>
      </c>
      <c r="W1039" s="79">
        <v>0</v>
      </c>
      <c r="X1039" s="164"/>
      <c r="Y1039" s="164"/>
      <c r="Z1039" s="164"/>
      <c r="AA1039" s="164">
        <v>1405041.8599999996</v>
      </c>
      <c r="AB1039" s="167" t="s">
        <v>1381</v>
      </c>
      <c r="AC1039" s="173"/>
    </row>
    <row r="1040" spans="1:29" s="168" customFormat="1">
      <c r="A1040" s="60"/>
      <c r="B1040" s="60"/>
      <c r="C1040" s="60"/>
      <c r="D1040" s="60"/>
      <c r="E1040" s="60"/>
      <c r="F1040" s="110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  <c r="U1040" s="83"/>
      <c r="V1040" s="83"/>
      <c r="W1040" s="83"/>
      <c r="X1040" s="171"/>
      <c r="Y1040" s="171"/>
      <c r="Z1040" s="171"/>
      <c r="AA1040" s="171"/>
      <c r="AB1040" s="167"/>
    </row>
    <row r="1041" spans="1:28" s="168" customFormat="1" ht="15">
      <c r="A1041" s="65" t="s">
        <v>1259</v>
      </c>
      <c r="B1041" s="60"/>
      <c r="C1041" s="60"/>
      <c r="D1041" s="60"/>
      <c r="E1041" s="60"/>
      <c r="F1041" s="110"/>
      <c r="G1041" s="79">
        <f>G1037*12</f>
        <v>12828260.082923539</v>
      </c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  <c r="X1041" s="171"/>
      <c r="Y1041" s="171"/>
      <c r="Z1041" s="171"/>
      <c r="AA1041" s="171"/>
      <c r="AB1041" s="167"/>
    </row>
    <row r="1042" spans="1:28" s="168" customFormat="1">
      <c r="A1042" s="60"/>
      <c r="B1042" s="60"/>
      <c r="C1042" s="60"/>
      <c r="D1042" s="60"/>
      <c r="E1042" s="60"/>
      <c r="F1042" s="110"/>
      <c r="G1042" s="79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  <c r="U1042" s="83"/>
      <c r="V1042" s="83"/>
      <c r="W1042" s="83"/>
      <c r="X1042" s="171"/>
      <c r="Y1042" s="171"/>
      <c r="Z1042" s="171"/>
      <c r="AA1042" s="171"/>
      <c r="AB1042" s="167"/>
    </row>
    <row r="1043" spans="1:28" s="168" customFormat="1" ht="15">
      <c r="A1043" s="217" t="s">
        <v>890</v>
      </c>
      <c r="B1043" s="60"/>
      <c r="C1043" s="60"/>
      <c r="D1043" s="60"/>
      <c r="E1043" s="60"/>
      <c r="F1043" s="110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171"/>
      <c r="Y1043" s="171"/>
      <c r="Z1043" s="171"/>
      <c r="AA1043" s="171"/>
      <c r="AB1043" s="167"/>
    </row>
    <row r="1044" spans="1:28" s="168" customFormat="1">
      <c r="A1044" s="60" t="s">
        <v>667</v>
      </c>
      <c r="B1044" s="60"/>
      <c r="C1044" s="60"/>
      <c r="D1044" s="60" t="s">
        <v>186</v>
      </c>
      <c r="E1044" s="60"/>
      <c r="F1044" s="79">
        <f t="shared" ref="F1044:Z1044" si="471">F1038</f>
        <v>1868156.7352128148</v>
      </c>
      <c r="G1044" s="79">
        <f t="shared" si="471"/>
        <v>798297.34339007991</v>
      </c>
      <c r="H1044" s="79">
        <f t="shared" si="471"/>
        <v>261220.81239762629</v>
      </c>
      <c r="I1044" s="79">
        <f t="shared" si="471"/>
        <v>0</v>
      </c>
      <c r="J1044" s="79">
        <f t="shared" si="471"/>
        <v>20313.600974413446</v>
      </c>
      <c r="K1044" s="79">
        <f t="shared" si="471"/>
        <v>273342.71120103268</v>
      </c>
      <c r="L1044" s="79">
        <f t="shared" si="471"/>
        <v>0</v>
      </c>
      <c r="M1044" s="79">
        <f t="shared" si="471"/>
        <v>0</v>
      </c>
      <c r="N1044" s="79">
        <f t="shared" si="471"/>
        <v>217675.10580639745</v>
      </c>
      <c r="O1044" s="79">
        <f>O1038</f>
        <v>145975.99411615593</v>
      </c>
      <c r="P1044" s="79">
        <f t="shared" si="471"/>
        <v>130198.7316881914</v>
      </c>
      <c r="Q1044" s="79">
        <f t="shared" si="471"/>
        <v>15032.269312683648</v>
      </c>
      <c r="R1044" s="79">
        <f t="shared" si="471"/>
        <v>5713.8239668660899</v>
      </c>
      <c r="S1044" s="79">
        <f t="shared" si="471"/>
        <v>0</v>
      </c>
      <c r="T1044" s="79">
        <f t="shared" si="471"/>
        <v>0</v>
      </c>
      <c r="U1044" s="79">
        <f t="shared" si="471"/>
        <v>386.34235936798433</v>
      </c>
      <c r="V1044" s="79">
        <f t="shared" si="471"/>
        <v>0</v>
      </c>
      <c r="W1044" s="79">
        <f t="shared" si="471"/>
        <v>0</v>
      </c>
      <c r="X1044" s="164">
        <f t="shared" si="471"/>
        <v>0</v>
      </c>
      <c r="Y1044" s="164">
        <f t="shared" si="471"/>
        <v>0</v>
      </c>
      <c r="Z1044" s="164">
        <f t="shared" si="471"/>
        <v>0</v>
      </c>
      <c r="AA1044" s="164">
        <f>SUM(G1044:Z1044)</f>
        <v>1868156.7352128148</v>
      </c>
      <c r="AB1044" s="167" t="str">
        <f t="shared" ref="AB1044:AB1049" si="472">IF(ABS(F1044-AA1044)&lt;0.01,"ok","err")</f>
        <v>ok</v>
      </c>
    </row>
    <row r="1045" spans="1:28" s="168" customFormat="1">
      <c r="A1045" s="60" t="s">
        <v>668</v>
      </c>
      <c r="B1045" s="60"/>
      <c r="C1045" s="60"/>
      <c r="D1045" s="60"/>
      <c r="E1045" s="60"/>
      <c r="F1045" s="80">
        <f>F183</f>
        <v>34803614.031254336</v>
      </c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AA1045" s="170">
        <f>F1045</f>
        <v>34803614.031254336</v>
      </c>
      <c r="AB1045" s="167" t="str">
        <f t="shared" si="472"/>
        <v>ok</v>
      </c>
    </row>
    <row r="1046" spans="1:28" s="168" customFormat="1">
      <c r="A1046" s="60" t="s">
        <v>154</v>
      </c>
      <c r="B1046" s="60"/>
      <c r="C1046" s="60"/>
      <c r="D1046" s="60"/>
      <c r="E1046" s="60"/>
      <c r="F1046" s="80">
        <v>0</v>
      </c>
      <c r="G1046" s="60"/>
      <c r="H1046" s="79">
        <v>0</v>
      </c>
      <c r="I1046" s="76">
        <v>0</v>
      </c>
      <c r="J1046" s="79">
        <v>0</v>
      </c>
      <c r="K1046" s="79">
        <v>0</v>
      </c>
      <c r="L1046" s="112">
        <v>0</v>
      </c>
      <c r="M1046" s="79">
        <v>0</v>
      </c>
      <c r="N1046" s="79">
        <v>0</v>
      </c>
      <c r="O1046" s="79">
        <v>0</v>
      </c>
      <c r="P1046" s="79">
        <v>0</v>
      </c>
      <c r="Q1046" s="60"/>
      <c r="R1046" s="60"/>
      <c r="S1046" s="60"/>
      <c r="T1046" s="79">
        <v>0</v>
      </c>
      <c r="U1046" s="60"/>
      <c r="V1046" s="79">
        <v>0</v>
      </c>
      <c r="W1046" s="79">
        <v>0</v>
      </c>
      <c r="AA1046" s="170">
        <f>SUM(G1046:Z1046)</f>
        <v>0</v>
      </c>
      <c r="AB1046" s="167" t="str">
        <f t="shared" si="472"/>
        <v>ok</v>
      </c>
    </row>
    <row r="1047" spans="1:28" s="168" customFormat="1">
      <c r="A1047" s="60" t="s">
        <v>669</v>
      </c>
      <c r="B1047" s="60"/>
      <c r="C1047" s="60"/>
      <c r="D1047" s="60"/>
      <c r="E1047" s="60" t="s">
        <v>186</v>
      </c>
      <c r="F1047" s="80">
        <f>F1045-F1046</f>
        <v>34803614.031254336</v>
      </c>
      <c r="G1047" s="76">
        <f t="shared" ref="G1047:Z1047" si="473">IF(VLOOKUP($E1047,$D$6:$AN$1131,3,)=0,0,(VLOOKUP($E1047,$D$6:$AN$1131,G$2,)/VLOOKUP($E1047,$D$6:$AN$1131,3,))*$F1047)</f>
        <v>14872217.142079901</v>
      </c>
      <c r="H1047" s="76">
        <f t="shared" si="473"/>
        <v>4866523.3276489591</v>
      </c>
      <c r="I1047" s="76">
        <f t="shared" si="473"/>
        <v>0</v>
      </c>
      <c r="J1047" s="76">
        <f t="shared" si="473"/>
        <v>378440.79919657263</v>
      </c>
      <c r="K1047" s="76">
        <f t="shared" si="473"/>
        <v>5092353.3553589312</v>
      </c>
      <c r="L1047" s="76">
        <f t="shared" si="473"/>
        <v>0</v>
      </c>
      <c r="M1047" s="76">
        <f t="shared" si="473"/>
        <v>0</v>
      </c>
      <c r="N1047" s="76">
        <f t="shared" si="473"/>
        <v>4055270.2157698162</v>
      </c>
      <c r="O1047" s="76">
        <f t="shared" si="473"/>
        <v>2719521.3663207921</v>
      </c>
      <c r="P1047" s="76">
        <f t="shared" si="473"/>
        <v>2425592.1998527898</v>
      </c>
      <c r="Q1047" s="76">
        <f t="shared" si="473"/>
        <v>280050.00293131813</v>
      </c>
      <c r="R1047" s="76">
        <f t="shared" si="473"/>
        <v>106448.0941224047</v>
      </c>
      <c r="S1047" s="76">
        <f t="shared" si="473"/>
        <v>0</v>
      </c>
      <c r="T1047" s="76">
        <f t="shared" si="473"/>
        <v>0</v>
      </c>
      <c r="U1047" s="76">
        <f t="shared" si="473"/>
        <v>7197.5279728527403</v>
      </c>
      <c r="V1047" s="76">
        <f t="shared" si="473"/>
        <v>0</v>
      </c>
      <c r="W1047" s="76">
        <f t="shared" si="473"/>
        <v>0</v>
      </c>
      <c r="X1047" s="165">
        <f t="shared" si="473"/>
        <v>0</v>
      </c>
      <c r="Y1047" s="165">
        <f t="shared" si="473"/>
        <v>0</v>
      </c>
      <c r="Z1047" s="165">
        <f t="shared" si="473"/>
        <v>0</v>
      </c>
      <c r="AA1047" s="170">
        <f>SUM(G1047:Z1047)</f>
        <v>34803614.031254336</v>
      </c>
      <c r="AB1047" s="167" t="str">
        <f t="shared" si="472"/>
        <v>ok</v>
      </c>
    </row>
    <row r="1048" spans="1:28" s="168" customFormat="1">
      <c r="A1048" s="60" t="s">
        <v>670</v>
      </c>
      <c r="B1048" s="60"/>
      <c r="C1048" s="60"/>
      <c r="D1048" s="60" t="s">
        <v>187</v>
      </c>
      <c r="E1048" s="60"/>
      <c r="F1048" s="80">
        <f t="shared" ref="F1048:W1048" si="474">F1046+F1047</f>
        <v>34803614.031254336</v>
      </c>
      <c r="G1048" s="80">
        <f t="shared" si="474"/>
        <v>14872217.142079901</v>
      </c>
      <c r="H1048" s="80">
        <f t="shared" si="474"/>
        <v>4866523.3276489591</v>
      </c>
      <c r="I1048" s="80">
        <f t="shared" si="474"/>
        <v>0</v>
      </c>
      <c r="J1048" s="80">
        <f t="shared" si="474"/>
        <v>378440.79919657263</v>
      </c>
      <c r="K1048" s="80">
        <f t="shared" si="474"/>
        <v>5092353.3553589312</v>
      </c>
      <c r="L1048" s="80">
        <f t="shared" si="474"/>
        <v>0</v>
      </c>
      <c r="M1048" s="80">
        <f t="shared" si="474"/>
        <v>0</v>
      </c>
      <c r="N1048" s="80">
        <f t="shared" si="474"/>
        <v>4055270.2157698162</v>
      </c>
      <c r="O1048" s="80">
        <f>O1046+O1047</f>
        <v>2719521.3663207921</v>
      </c>
      <c r="P1048" s="80">
        <f t="shared" si="474"/>
        <v>2425592.1998527898</v>
      </c>
      <c r="Q1048" s="80">
        <f t="shared" si="474"/>
        <v>280050.00293131813</v>
      </c>
      <c r="R1048" s="80">
        <f t="shared" si="474"/>
        <v>106448.0941224047</v>
      </c>
      <c r="S1048" s="80">
        <f t="shared" si="474"/>
        <v>0</v>
      </c>
      <c r="T1048" s="80">
        <f t="shared" si="474"/>
        <v>0</v>
      </c>
      <c r="U1048" s="80">
        <f t="shared" si="474"/>
        <v>7197.5279728527403</v>
      </c>
      <c r="V1048" s="80">
        <f t="shared" si="474"/>
        <v>0</v>
      </c>
      <c r="W1048" s="80">
        <f t="shared" si="474"/>
        <v>0</v>
      </c>
      <c r="X1048" s="170">
        <f>X1046+X1047</f>
        <v>0</v>
      </c>
      <c r="Y1048" s="170">
        <f>Y1046+Y1047</f>
        <v>0</v>
      </c>
      <c r="Z1048" s="170">
        <f>Z1046+Z1047</f>
        <v>0</v>
      </c>
      <c r="AA1048" s="170">
        <f>SUM(G1048:Z1048)</f>
        <v>34803614.031254336</v>
      </c>
      <c r="AB1048" s="167" t="str">
        <f t="shared" si="472"/>
        <v>ok</v>
      </c>
    </row>
    <row r="1049" spans="1:28" s="168" customFormat="1">
      <c r="A1049" s="60" t="s">
        <v>671</v>
      </c>
      <c r="B1049" s="60"/>
      <c r="C1049" s="60"/>
      <c r="D1049" s="60" t="s">
        <v>188</v>
      </c>
      <c r="E1049" s="60" t="s">
        <v>187</v>
      </c>
      <c r="F1049" s="110">
        <v>1</v>
      </c>
      <c r="G1049" s="83">
        <f t="shared" ref="G1049:Z1049" si="475">IF(VLOOKUP($E1049,$D$6:$AN$1131,3,)=0,0,(VLOOKUP($E1049,$D$6:$AN$1131,G$2,)/VLOOKUP($E1049,$D$6:$AN$1131,3,))*$F1049)</f>
        <v>0.42731818393125365</v>
      </c>
      <c r="H1049" s="83">
        <f t="shared" si="475"/>
        <v>0.13982810300328938</v>
      </c>
      <c r="I1049" s="83">
        <f t="shared" si="475"/>
        <v>0</v>
      </c>
      <c r="J1049" s="83">
        <f t="shared" si="475"/>
        <v>1.0873606369060561E-2</v>
      </c>
      <c r="K1049" s="83">
        <f t="shared" si="475"/>
        <v>0.1463167977551382</v>
      </c>
      <c r="L1049" s="83">
        <f t="shared" si="475"/>
        <v>0</v>
      </c>
      <c r="M1049" s="83">
        <f t="shared" si="475"/>
        <v>0</v>
      </c>
      <c r="N1049" s="83">
        <f t="shared" si="475"/>
        <v>0.11651865269302501</v>
      </c>
      <c r="O1049" s="83">
        <f t="shared" si="475"/>
        <v>7.8139050843358052E-2</v>
      </c>
      <c r="P1049" s="83">
        <f t="shared" si="475"/>
        <v>6.9693687491033537E-2</v>
      </c>
      <c r="Q1049" s="83">
        <f t="shared" si="475"/>
        <v>8.0465782283365081E-3</v>
      </c>
      <c r="R1049" s="83">
        <f t="shared" si="475"/>
        <v>3.0585356459479234E-3</v>
      </c>
      <c r="S1049" s="83">
        <f t="shared" si="475"/>
        <v>0</v>
      </c>
      <c r="T1049" s="83">
        <f t="shared" si="475"/>
        <v>0</v>
      </c>
      <c r="U1049" s="83">
        <f t="shared" si="475"/>
        <v>2.0680403955719131E-4</v>
      </c>
      <c r="V1049" s="83">
        <f t="shared" si="475"/>
        <v>0</v>
      </c>
      <c r="W1049" s="83">
        <f t="shared" si="475"/>
        <v>0</v>
      </c>
      <c r="X1049" s="171">
        <f t="shared" si="475"/>
        <v>0</v>
      </c>
      <c r="Y1049" s="171">
        <f t="shared" si="475"/>
        <v>0</v>
      </c>
      <c r="Z1049" s="171">
        <f t="shared" si="475"/>
        <v>0</v>
      </c>
      <c r="AA1049" s="171">
        <f>SUM(G1049:Z1049)</f>
        <v>1</v>
      </c>
      <c r="AB1049" s="167" t="str">
        <f t="shared" si="472"/>
        <v>ok</v>
      </c>
    </row>
    <row r="1050" spans="1:28" s="168" customFormat="1">
      <c r="A1050" s="60"/>
      <c r="B1050" s="60"/>
      <c r="C1050" s="60"/>
      <c r="D1050" s="60"/>
      <c r="E1050" s="60"/>
      <c r="F1050" s="110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171"/>
      <c r="Y1050" s="171"/>
      <c r="Z1050" s="171"/>
      <c r="AA1050" s="171"/>
      <c r="AB1050" s="167"/>
    </row>
    <row r="1051" spans="1:28" s="168" customFormat="1">
      <c r="A1051" s="60" t="s">
        <v>672</v>
      </c>
      <c r="B1051" s="60"/>
      <c r="C1051" s="60"/>
      <c r="D1051" s="60" t="s">
        <v>189</v>
      </c>
      <c r="E1051" s="60"/>
      <c r="F1051" s="79">
        <f t="shared" ref="F1051:Z1051" si="476">F1037</f>
        <v>2733721.1029908364</v>
      </c>
      <c r="G1051" s="79">
        <f t="shared" si="476"/>
        <v>1069021.6735769615</v>
      </c>
      <c r="H1051" s="79">
        <f t="shared" si="476"/>
        <v>386317.95454455458</v>
      </c>
      <c r="I1051" s="79">
        <f t="shared" si="476"/>
        <v>0</v>
      </c>
      <c r="J1051" s="79">
        <f t="shared" si="476"/>
        <v>31860.342849534132</v>
      </c>
      <c r="K1051" s="79">
        <f t="shared" si="476"/>
        <v>449716.42236431479</v>
      </c>
      <c r="L1051" s="79">
        <f t="shared" si="476"/>
        <v>0</v>
      </c>
      <c r="M1051" s="79">
        <f t="shared" si="476"/>
        <v>0</v>
      </c>
      <c r="N1051" s="79">
        <f t="shared" si="476"/>
        <v>340132.15690513782</v>
      </c>
      <c r="O1051" s="79">
        <f>O1037</f>
        <v>229731.99023415305</v>
      </c>
      <c r="P1051" s="79">
        <f t="shared" si="476"/>
        <v>196715.93398402378</v>
      </c>
      <c r="Q1051" s="79">
        <f t="shared" si="476"/>
        <v>21240.770184933692</v>
      </c>
      <c r="R1051" s="79">
        <f t="shared" si="476"/>
        <v>8598.4009708705998</v>
      </c>
      <c r="S1051" s="79">
        <f t="shared" si="476"/>
        <v>0</v>
      </c>
      <c r="T1051" s="79">
        <f t="shared" si="476"/>
        <v>0</v>
      </c>
      <c r="U1051" s="79">
        <f t="shared" si="476"/>
        <v>385.45737635222895</v>
      </c>
      <c r="V1051" s="79">
        <f t="shared" si="476"/>
        <v>0</v>
      </c>
      <c r="W1051" s="79">
        <f t="shared" si="476"/>
        <v>0</v>
      </c>
      <c r="X1051" s="164">
        <f t="shared" si="476"/>
        <v>0</v>
      </c>
      <c r="Y1051" s="164">
        <f t="shared" si="476"/>
        <v>0</v>
      </c>
      <c r="Z1051" s="164">
        <f t="shared" si="476"/>
        <v>0</v>
      </c>
      <c r="AA1051" s="164">
        <f>SUM(G1051:Z1051)</f>
        <v>2733721.1029908364</v>
      </c>
      <c r="AB1051" s="167" t="str">
        <f t="shared" ref="AB1051:AB1056" si="477">IF(ABS(F1051-AA1051)&lt;0.01,"ok","err")</f>
        <v>ok</v>
      </c>
    </row>
    <row r="1052" spans="1:28" s="168" customFormat="1">
      <c r="A1052" s="60" t="s">
        <v>673</v>
      </c>
      <c r="B1052" s="60"/>
      <c r="C1052" s="60"/>
      <c r="D1052" s="60"/>
      <c r="E1052" s="60"/>
      <c r="F1052" s="80">
        <f>F184</f>
        <v>28608453.375186369</v>
      </c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AA1052" s="170">
        <f>F1052</f>
        <v>28608453.375186369</v>
      </c>
      <c r="AB1052" s="167" t="str">
        <f t="shared" si="477"/>
        <v>ok</v>
      </c>
    </row>
    <row r="1053" spans="1:28" s="168" customFormat="1">
      <c r="A1053" s="60" t="s">
        <v>154</v>
      </c>
      <c r="B1053" s="60"/>
      <c r="C1053" s="60"/>
      <c r="D1053" s="60"/>
      <c r="E1053" s="60"/>
      <c r="F1053" s="80">
        <v>0</v>
      </c>
      <c r="G1053" s="60"/>
      <c r="H1053" s="79">
        <v>0</v>
      </c>
      <c r="I1053" s="76">
        <v>0</v>
      </c>
      <c r="J1053" s="79">
        <v>0</v>
      </c>
      <c r="K1053" s="79">
        <v>0</v>
      </c>
      <c r="L1053" s="112">
        <v>0</v>
      </c>
      <c r="M1053" s="79">
        <v>0</v>
      </c>
      <c r="N1053" s="79">
        <v>0</v>
      </c>
      <c r="O1053" s="79">
        <v>0</v>
      </c>
      <c r="P1053" s="79">
        <v>0</v>
      </c>
      <c r="Q1053" s="60"/>
      <c r="R1053" s="60"/>
      <c r="S1053" s="60"/>
      <c r="T1053" s="79">
        <v>0</v>
      </c>
      <c r="U1053" s="60"/>
      <c r="V1053" s="79">
        <v>0</v>
      </c>
      <c r="W1053" s="79">
        <v>0</v>
      </c>
      <c r="AA1053" s="170">
        <f>SUM(G1053:Z1053)</f>
        <v>0</v>
      </c>
      <c r="AB1053" s="167" t="str">
        <f t="shared" si="477"/>
        <v>ok</v>
      </c>
    </row>
    <row r="1054" spans="1:28" s="168" customFormat="1">
      <c r="A1054" s="60" t="s">
        <v>674</v>
      </c>
      <c r="B1054" s="60"/>
      <c r="C1054" s="60"/>
      <c r="D1054" s="60"/>
      <c r="E1054" s="60" t="s">
        <v>189</v>
      </c>
      <c r="F1054" s="80">
        <f>F1052-F1053</f>
        <v>28608453.375186369</v>
      </c>
      <c r="G1054" s="76">
        <f t="shared" ref="G1054:Z1054" si="478">IF(VLOOKUP($E1054,$D$6:$AN$1131,3,)=0,0,(VLOOKUP($E1054,$D$6:$AN$1131,G$2,)/VLOOKUP($E1054,$D$6:$AN$1131,3,))*$F1054)</f>
        <v>11187336.071748765</v>
      </c>
      <c r="H1054" s="76">
        <f t="shared" si="478"/>
        <v>4042826.1604645131</v>
      </c>
      <c r="I1054" s="76">
        <f t="shared" si="478"/>
        <v>0</v>
      </c>
      <c r="J1054" s="76">
        <f t="shared" si="478"/>
        <v>333419.21088114928</v>
      </c>
      <c r="K1054" s="76">
        <f t="shared" si="478"/>
        <v>4706292.5648082271</v>
      </c>
      <c r="L1054" s="76">
        <f t="shared" si="478"/>
        <v>0</v>
      </c>
      <c r="M1054" s="76">
        <f t="shared" si="478"/>
        <v>0</v>
      </c>
      <c r="N1054" s="76">
        <f t="shared" si="478"/>
        <v>3559490.7401403729</v>
      </c>
      <c r="O1054" s="76">
        <f t="shared" si="478"/>
        <v>2404150.4907768816</v>
      </c>
      <c r="P1054" s="76">
        <f t="shared" si="478"/>
        <v>2058636.7129335681</v>
      </c>
      <c r="Q1054" s="76">
        <f t="shared" si="478"/>
        <v>222285.14197147096</v>
      </c>
      <c r="R1054" s="76">
        <f t="shared" si="478"/>
        <v>89982.461271263528</v>
      </c>
      <c r="S1054" s="76">
        <f t="shared" si="478"/>
        <v>0</v>
      </c>
      <c r="T1054" s="76">
        <f t="shared" si="478"/>
        <v>0</v>
      </c>
      <c r="U1054" s="76">
        <f t="shared" si="478"/>
        <v>4033.8201901539669</v>
      </c>
      <c r="V1054" s="76">
        <f t="shared" si="478"/>
        <v>0</v>
      </c>
      <c r="W1054" s="76">
        <f t="shared" si="478"/>
        <v>0</v>
      </c>
      <c r="X1054" s="165">
        <f t="shared" si="478"/>
        <v>0</v>
      </c>
      <c r="Y1054" s="165">
        <f t="shared" si="478"/>
        <v>0</v>
      </c>
      <c r="Z1054" s="165">
        <f t="shared" si="478"/>
        <v>0</v>
      </c>
      <c r="AA1054" s="170">
        <f>SUM(G1054:Z1054)</f>
        <v>28608453.375186361</v>
      </c>
      <c r="AB1054" s="167" t="str">
        <f t="shared" si="477"/>
        <v>ok</v>
      </c>
    </row>
    <row r="1055" spans="1:28" s="168" customFormat="1">
      <c r="A1055" s="60" t="s">
        <v>675</v>
      </c>
      <c r="B1055" s="60"/>
      <c r="C1055" s="60"/>
      <c r="D1055" s="60" t="s">
        <v>190</v>
      </c>
      <c r="E1055" s="60"/>
      <c r="F1055" s="80">
        <f t="shared" ref="F1055:Z1055" si="479">F1053+F1054</f>
        <v>28608453.375186369</v>
      </c>
      <c r="G1055" s="80">
        <f t="shared" si="479"/>
        <v>11187336.071748765</v>
      </c>
      <c r="H1055" s="80">
        <f t="shared" si="479"/>
        <v>4042826.1604645131</v>
      </c>
      <c r="I1055" s="80">
        <f t="shared" si="479"/>
        <v>0</v>
      </c>
      <c r="J1055" s="80">
        <f t="shared" si="479"/>
        <v>333419.21088114928</v>
      </c>
      <c r="K1055" s="80">
        <f t="shared" si="479"/>
        <v>4706292.5648082271</v>
      </c>
      <c r="L1055" s="80">
        <f t="shared" si="479"/>
        <v>0</v>
      </c>
      <c r="M1055" s="80">
        <f t="shared" si="479"/>
        <v>0</v>
      </c>
      <c r="N1055" s="80">
        <f t="shared" si="479"/>
        <v>3559490.7401403729</v>
      </c>
      <c r="O1055" s="80">
        <f>O1053+O1054</f>
        <v>2404150.4907768816</v>
      </c>
      <c r="P1055" s="80">
        <f t="shared" si="479"/>
        <v>2058636.7129335681</v>
      </c>
      <c r="Q1055" s="80">
        <f t="shared" si="479"/>
        <v>222285.14197147096</v>
      </c>
      <c r="R1055" s="80">
        <f t="shared" si="479"/>
        <v>89982.461271263528</v>
      </c>
      <c r="S1055" s="80">
        <f t="shared" si="479"/>
        <v>0</v>
      </c>
      <c r="T1055" s="80">
        <f t="shared" si="479"/>
        <v>0</v>
      </c>
      <c r="U1055" s="80">
        <f t="shared" si="479"/>
        <v>4033.8201901539669</v>
      </c>
      <c r="V1055" s="80">
        <f t="shared" si="479"/>
        <v>0</v>
      </c>
      <c r="W1055" s="80">
        <f t="shared" si="479"/>
        <v>0</v>
      </c>
      <c r="X1055" s="170">
        <f t="shared" si="479"/>
        <v>0</v>
      </c>
      <c r="Y1055" s="170">
        <f t="shared" si="479"/>
        <v>0</v>
      </c>
      <c r="Z1055" s="170">
        <f t="shared" si="479"/>
        <v>0</v>
      </c>
      <c r="AA1055" s="170">
        <f>SUM(G1055:Z1055)</f>
        <v>28608453.375186361</v>
      </c>
      <c r="AB1055" s="167" t="str">
        <f t="shared" si="477"/>
        <v>ok</v>
      </c>
    </row>
    <row r="1056" spans="1:28" s="168" customFormat="1">
      <c r="A1056" s="60" t="s">
        <v>676</v>
      </c>
      <c r="B1056" s="60"/>
      <c r="C1056" s="60"/>
      <c r="D1056" s="60" t="s">
        <v>191</v>
      </c>
      <c r="E1056" s="60" t="s">
        <v>190</v>
      </c>
      <c r="F1056" s="110">
        <v>1</v>
      </c>
      <c r="G1056" s="83">
        <f t="shared" ref="G1056:Z1056" si="480">IF(VLOOKUP($E1056,$D$6:$AN$1131,3,)=0,0,(VLOOKUP($E1056,$D$6:$AN$1131,G$2,)/VLOOKUP($E1056,$D$6:$AN$1131,3,))*$F1056)</f>
        <v>0.39105001326118999</v>
      </c>
      <c r="H1056" s="83">
        <f t="shared" si="480"/>
        <v>0.14131578898882632</v>
      </c>
      <c r="I1056" s="83">
        <f t="shared" si="480"/>
        <v>0</v>
      </c>
      <c r="J1056" s="83">
        <f t="shared" si="480"/>
        <v>1.1654569595514782E-2</v>
      </c>
      <c r="K1056" s="83">
        <f t="shared" si="480"/>
        <v>0.16450706031141987</v>
      </c>
      <c r="L1056" s="83">
        <f t="shared" si="480"/>
        <v>0</v>
      </c>
      <c r="M1056" s="83">
        <f t="shared" si="480"/>
        <v>0</v>
      </c>
      <c r="N1056" s="83">
        <f t="shared" si="480"/>
        <v>0.12442094277028301</v>
      </c>
      <c r="O1056" s="83">
        <f t="shared" si="480"/>
        <v>8.4036367127141839E-2</v>
      </c>
      <c r="P1056" s="83">
        <f t="shared" si="480"/>
        <v>7.1959035531754159E-2</v>
      </c>
      <c r="Q1056" s="83">
        <f t="shared" si="480"/>
        <v>7.7699111887072746E-3</v>
      </c>
      <c r="R1056" s="83">
        <f t="shared" si="480"/>
        <v>3.1453102371940909E-3</v>
      </c>
      <c r="S1056" s="83">
        <f t="shared" si="480"/>
        <v>0</v>
      </c>
      <c r="T1056" s="83">
        <f t="shared" si="480"/>
        <v>0</v>
      </c>
      <c r="U1056" s="83">
        <f t="shared" si="480"/>
        <v>1.4100098796856713E-4</v>
      </c>
      <c r="V1056" s="83">
        <f t="shared" si="480"/>
        <v>0</v>
      </c>
      <c r="W1056" s="83">
        <f t="shared" si="480"/>
        <v>0</v>
      </c>
      <c r="X1056" s="171">
        <f t="shared" si="480"/>
        <v>0</v>
      </c>
      <c r="Y1056" s="171">
        <f t="shared" si="480"/>
        <v>0</v>
      </c>
      <c r="Z1056" s="171">
        <f t="shared" si="480"/>
        <v>0</v>
      </c>
      <c r="AA1056" s="171">
        <f>SUM(G1056:Z1056)</f>
        <v>1</v>
      </c>
      <c r="AB1056" s="167" t="str">
        <f t="shared" si="477"/>
        <v>ok</v>
      </c>
    </row>
    <row r="1057" spans="1:29" s="168" customFormat="1">
      <c r="A1057" s="60"/>
      <c r="B1057" s="60"/>
      <c r="C1057" s="60"/>
      <c r="D1057" s="60"/>
      <c r="E1057" s="60"/>
      <c r="F1057" s="110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  <c r="U1057" s="83"/>
      <c r="V1057" s="83"/>
      <c r="W1057" s="83"/>
      <c r="X1057" s="171"/>
      <c r="Y1057" s="171"/>
      <c r="Z1057" s="171"/>
      <c r="AA1057" s="171"/>
      <c r="AB1057" s="167"/>
    </row>
    <row r="1058" spans="1:29" s="168" customFormat="1">
      <c r="A1058" s="60" t="s">
        <v>862</v>
      </c>
      <c r="B1058" s="60"/>
      <c r="C1058" s="60"/>
      <c r="D1058" s="60" t="s">
        <v>867</v>
      </c>
      <c r="E1058" s="60"/>
      <c r="F1058" s="79">
        <f>F1039</f>
        <v>1405041.8599999996</v>
      </c>
      <c r="G1058" s="79">
        <f t="shared" ref="G1058:Z1058" si="481">G1039</f>
        <v>508313.28</v>
      </c>
      <c r="H1058" s="79">
        <f t="shared" si="481"/>
        <v>165183.62</v>
      </c>
      <c r="I1058" s="79">
        <f t="shared" si="481"/>
        <v>0</v>
      </c>
      <c r="J1058" s="79">
        <f t="shared" si="481"/>
        <v>19673.650000000001</v>
      </c>
      <c r="K1058" s="79">
        <f t="shared" si="481"/>
        <v>227944.75</v>
      </c>
      <c r="L1058" s="79">
        <f t="shared" si="481"/>
        <v>0</v>
      </c>
      <c r="M1058" s="79">
        <f t="shared" si="481"/>
        <v>0</v>
      </c>
      <c r="N1058" s="79">
        <f t="shared" si="481"/>
        <v>220029.97</v>
      </c>
      <c r="O1058" s="79">
        <f>O1039</f>
        <v>96772.17</v>
      </c>
      <c r="P1058" s="79">
        <f t="shared" si="481"/>
        <v>133981.4</v>
      </c>
      <c r="Q1058" s="79">
        <f t="shared" si="481"/>
        <v>13077.26</v>
      </c>
      <c r="R1058" s="79">
        <f t="shared" si="481"/>
        <v>6908.67</v>
      </c>
      <c r="S1058" s="79">
        <f t="shared" si="481"/>
        <v>12375.66</v>
      </c>
      <c r="T1058" s="79">
        <f t="shared" si="481"/>
        <v>403.4</v>
      </c>
      <c r="U1058" s="79">
        <f t="shared" si="481"/>
        <v>378.03</v>
      </c>
      <c r="V1058" s="79">
        <f t="shared" si="481"/>
        <v>0</v>
      </c>
      <c r="W1058" s="79">
        <f t="shared" si="481"/>
        <v>0</v>
      </c>
      <c r="X1058" s="164">
        <f t="shared" si="481"/>
        <v>0</v>
      </c>
      <c r="Y1058" s="164">
        <f t="shared" si="481"/>
        <v>0</v>
      </c>
      <c r="Z1058" s="164">
        <f t="shared" si="481"/>
        <v>0</v>
      </c>
      <c r="AA1058" s="164">
        <f>SUM(G1058:Z1058)</f>
        <v>1405041.8599999996</v>
      </c>
      <c r="AB1058" s="167" t="str">
        <f t="shared" ref="AB1058:AB1063" si="482">IF(ABS(F1058-AA1058)&lt;0.01,"ok","err")</f>
        <v>ok</v>
      </c>
    </row>
    <row r="1059" spans="1:29" s="168" customFormat="1">
      <c r="A1059" s="60" t="s">
        <v>863</v>
      </c>
      <c r="B1059" s="60"/>
      <c r="C1059" s="60"/>
      <c r="D1059" s="60"/>
      <c r="E1059" s="60"/>
      <c r="F1059" s="80">
        <f>F182</f>
        <v>33223399.69324439</v>
      </c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AA1059" s="170">
        <f>F1059</f>
        <v>33223399.69324439</v>
      </c>
      <c r="AB1059" s="167" t="str">
        <f t="shared" si="482"/>
        <v>ok</v>
      </c>
    </row>
    <row r="1060" spans="1:29" s="168" customFormat="1">
      <c r="A1060" s="60" t="s">
        <v>154</v>
      </c>
      <c r="B1060" s="60"/>
      <c r="C1060" s="60"/>
      <c r="D1060" s="60"/>
      <c r="E1060" s="60"/>
      <c r="F1060" s="80">
        <v>0</v>
      </c>
      <c r="G1060" s="60"/>
      <c r="H1060" s="79">
        <v>0</v>
      </c>
      <c r="I1060" s="76">
        <v>0</v>
      </c>
      <c r="J1060" s="79">
        <v>0</v>
      </c>
      <c r="K1060" s="79">
        <v>0</v>
      </c>
      <c r="L1060" s="112">
        <v>0</v>
      </c>
      <c r="M1060" s="79">
        <v>0</v>
      </c>
      <c r="N1060" s="79">
        <v>0</v>
      </c>
      <c r="O1060" s="79">
        <v>0</v>
      </c>
      <c r="P1060" s="79">
        <v>0</v>
      </c>
      <c r="Q1060" s="60"/>
      <c r="R1060" s="60"/>
      <c r="S1060" s="60"/>
      <c r="T1060" s="79">
        <v>0</v>
      </c>
      <c r="U1060" s="60"/>
      <c r="V1060" s="79">
        <v>0</v>
      </c>
      <c r="W1060" s="79">
        <v>0</v>
      </c>
      <c r="AA1060" s="170">
        <f>SUM(G1060:Z1060)</f>
        <v>0</v>
      </c>
      <c r="AB1060" s="167" t="str">
        <f t="shared" si="482"/>
        <v>ok</v>
      </c>
    </row>
    <row r="1061" spans="1:29" s="168" customFormat="1">
      <c r="A1061" s="60" t="s">
        <v>864</v>
      </c>
      <c r="B1061" s="60"/>
      <c r="C1061" s="60"/>
      <c r="D1061" s="60"/>
      <c r="E1061" s="60" t="s">
        <v>867</v>
      </c>
      <c r="F1061" s="80">
        <f>F1059-F1060</f>
        <v>33223399.69324439</v>
      </c>
      <c r="G1061" s="76">
        <f t="shared" ref="G1061:Z1061" si="483">IF(VLOOKUP($E1061,$D$6:$AN$1131,3,)=0,0,(VLOOKUP($E1061,$D$6:$AN$1131,G$2,)/VLOOKUP($E1061,$D$6:$AN$1131,3,))*$F1061)</f>
        <v>12019496.181291036</v>
      </c>
      <c r="H1061" s="76">
        <f t="shared" si="483"/>
        <v>3905905.9991543591</v>
      </c>
      <c r="I1061" s="76">
        <f t="shared" si="483"/>
        <v>0</v>
      </c>
      <c r="J1061" s="76">
        <f t="shared" si="483"/>
        <v>465200.04562355008</v>
      </c>
      <c r="K1061" s="76">
        <f t="shared" si="483"/>
        <v>5389945.8463299237</v>
      </c>
      <c r="L1061" s="76">
        <f t="shared" si="483"/>
        <v>0</v>
      </c>
      <c r="M1061" s="76">
        <f t="shared" si="483"/>
        <v>0</v>
      </c>
      <c r="N1061" s="76">
        <f t="shared" si="483"/>
        <v>5202794.1984608015</v>
      </c>
      <c r="O1061" s="76">
        <f t="shared" si="483"/>
        <v>2288259.5704960665</v>
      </c>
      <c r="P1061" s="76">
        <f t="shared" si="483"/>
        <v>3168103.1934952135</v>
      </c>
      <c r="Q1061" s="76">
        <f t="shared" si="483"/>
        <v>309222.84114188404</v>
      </c>
      <c r="R1061" s="76">
        <f t="shared" si="483"/>
        <v>163361.32843666791</v>
      </c>
      <c r="S1061" s="76">
        <f t="shared" si="483"/>
        <v>292632.91746175947</v>
      </c>
      <c r="T1061" s="76">
        <f t="shared" si="483"/>
        <v>9538.7331992050331</v>
      </c>
      <c r="U1061" s="76">
        <f t="shared" si="483"/>
        <v>8938.8381539302882</v>
      </c>
      <c r="V1061" s="76">
        <f t="shared" si="483"/>
        <v>0</v>
      </c>
      <c r="W1061" s="76">
        <f t="shared" si="483"/>
        <v>0</v>
      </c>
      <c r="X1061" s="165">
        <f t="shared" si="483"/>
        <v>0</v>
      </c>
      <c r="Y1061" s="165">
        <f t="shared" si="483"/>
        <v>0</v>
      </c>
      <c r="Z1061" s="165">
        <f t="shared" si="483"/>
        <v>0</v>
      </c>
      <c r="AA1061" s="170">
        <f>SUM(G1061:Z1061)</f>
        <v>33223399.693244401</v>
      </c>
      <c r="AB1061" s="167" t="str">
        <f t="shared" si="482"/>
        <v>ok</v>
      </c>
    </row>
    <row r="1062" spans="1:29" s="168" customFormat="1">
      <c r="A1062" s="60" t="s">
        <v>865</v>
      </c>
      <c r="B1062" s="60"/>
      <c r="C1062" s="60"/>
      <c r="D1062" s="60" t="s">
        <v>868</v>
      </c>
      <c r="E1062" s="60"/>
      <c r="F1062" s="80">
        <f t="shared" ref="F1062:Z1062" si="484">F1060+F1061</f>
        <v>33223399.69324439</v>
      </c>
      <c r="G1062" s="80">
        <f t="shared" si="484"/>
        <v>12019496.181291036</v>
      </c>
      <c r="H1062" s="80">
        <f t="shared" si="484"/>
        <v>3905905.9991543591</v>
      </c>
      <c r="I1062" s="80">
        <f t="shared" si="484"/>
        <v>0</v>
      </c>
      <c r="J1062" s="80">
        <f t="shared" si="484"/>
        <v>465200.04562355008</v>
      </c>
      <c r="K1062" s="80">
        <f t="shared" si="484"/>
        <v>5389945.8463299237</v>
      </c>
      <c r="L1062" s="80">
        <f t="shared" si="484"/>
        <v>0</v>
      </c>
      <c r="M1062" s="80">
        <f t="shared" si="484"/>
        <v>0</v>
      </c>
      <c r="N1062" s="80">
        <f t="shared" si="484"/>
        <v>5202794.1984608015</v>
      </c>
      <c r="O1062" s="80">
        <f>O1060+O1061</f>
        <v>2288259.5704960665</v>
      </c>
      <c r="P1062" s="80">
        <f t="shared" si="484"/>
        <v>3168103.1934952135</v>
      </c>
      <c r="Q1062" s="80">
        <f t="shared" si="484"/>
        <v>309222.84114188404</v>
      </c>
      <c r="R1062" s="80">
        <f t="shared" si="484"/>
        <v>163361.32843666791</v>
      </c>
      <c r="S1062" s="80">
        <f t="shared" si="484"/>
        <v>292632.91746175947</v>
      </c>
      <c r="T1062" s="80">
        <f t="shared" si="484"/>
        <v>9538.7331992050331</v>
      </c>
      <c r="U1062" s="80">
        <f t="shared" si="484"/>
        <v>8938.8381539302882</v>
      </c>
      <c r="V1062" s="80">
        <f t="shared" si="484"/>
        <v>0</v>
      </c>
      <c r="W1062" s="80">
        <f t="shared" si="484"/>
        <v>0</v>
      </c>
      <c r="X1062" s="170">
        <f t="shared" si="484"/>
        <v>0</v>
      </c>
      <c r="Y1062" s="170">
        <f t="shared" si="484"/>
        <v>0</v>
      </c>
      <c r="Z1062" s="170">
        <f t="shared" si="484"/>
        <v>0</v>
      </c>
      <c r="AA1062" s="170">
        <f>SUM(G1062:Z1062)</f>
        <v>33223399.693244401</v>
      </c>
      <c r="AB1062" s="167" t="str">
        <f t="shared" si="482"/>
        <v>ok</v>
      </c>
    </row>
    <row r="1063" spans="1:29" s="168" customFormat="1">
      <c r="A1063" s="60" t="s">
        <v>866</v>
      </c>
      <c r="B1063" s="60"/>
      <c r="C1063" s="60"/>
      <c r="D1063" s="60" t="s">
        <v>869</v>
      </c>
      <c r="E1063" s="60" t="s">
        <v>868</v>
      </c>
      <c r="F1063" s="110">
        <v>1</v>
      </c>
      <c r="G1063" s="83">
        <f t="shared" ref="G1063:Z1063" si="485">IF(VLOOKUP($E1063,$D$6:$AN$1131,3,)=0,0,(VLOOKUP($E1063,$D$6:$AN$1131,G$2,)/VLOOKUP($E1063,$D$6:$AN$1131,3,))*$F1063)</f>
        <v>0.36177803271996478</v>
      </c>
      <c r="H1063" s="83">
        <f t="shared" si="485"/>
        <v>0.11756491013015088</v>
      </c>
      <c r="I1063" s="83">
        <f t="shared" si="485"/>
        <v>0</v>
      </c>
      <c r="J1063" s="83">
        <f t="shared" si="485"/>
        <v>1.4002180689477825E-2</v>
      </c>
      <c r="K1063" s="83">
        <f t="shared" si="485"/>
        <v>0.1622334227109789</v>
      </c>
      <c r="L1063" s="83">
        <f t="shared" si="485"/>
        <v>0</v>
      </c>
      <c r="M1063" s="83">
        <f t="shared" si="485"/>
        <v>0</v>
      </c>
      <c r="N1063" s="83">
        <f t="shared" si="485"/>
        <v>0.1566002951684301</v>
      </c>
      <c r="O1063" s="83">
        <f t="shared" si="485"/>
        <v>6.8874937291903901E-2</v>
      </c>
      <c r="P1063" s="83">
        <f t="shared" si="485"/>
        <v>9.5357586001032044E-2</v>
      </c>
      <c r="Q1063" s="83">
        <f t="shared" si="485"/>
        <v>9.3073810626538942E-3</v>
      </c>
      <c r="R1063" s="83">
        <f t="shared" si="485"/>
        <v>4.917056350193013E-3</v>
      </c>
      <c r="S1063" s="83">
        <f t="shared" si="485"/>
        <v>8.8080365093179524E-3</v>
      </c>
      <c r="T1063" s="83">
        <f t="shared" si="485"/>
        <v>2.8710888371681685E-4</v>
      </c>
      <c r="U1063" s="83">
        <f t="shared" si="485"/>
        <v>2.690524821801395E-4</v>
      </c>
      <c r="V1063" s="83">
        <f t="shared" si="485"/>
        <v>0</v>
      </c>
      <c r="W1063" s="83">
        <f t="shared" si="485"/>
        <v>0</v>
      </c>
      <c r="X1063" s="165">
        <f t="shared" si="485"/>
        <v>0</v>
      </c>
      <c r="Y1063" s="165">
        <f t="shared" si="485"/>
        <v>0</v>
      </c>
      <c r="Z1063" s="165">
        <f t="shared" si="485"/>
        <v>0</v>
      </c>
      <c r="AA1063" s="171">
        <f>SUM(G1063:Z1063)</f>
        <v>1.0000000000000004</v>
      </c>
      <c r="AB1063" s="167" t="str">
        <f t="shared" si="482"/>
        <v>ok</v>
      </c>
    </row>
    <row r="1064" spans="1:29" s="174" customFormat="1">
      <c r="A1064" s="60"/>
      <c r="B1064" s="60"/>
      <c r="C1064" s="60"/>
      <c r="D1064" s="60"/>
      <c r="E1064" s="60"/>
      <c r="F1064" s="110"/>
      <c r="G1064" s="83"/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3"/>
      <c r="S1064" s="83"/>
      <c r="T1064" s="83"/>
      <c r="U1064" s="83"/>
      <c r="V1064" s="83"/>
      <c r="W1064" s="181"/>
      <c r="X1064" s="181"/>
      <c r="Y1064" s="181"/>
      <c r="Z1064" s="181"/>
      <c r="AA1064" s="181"/>
      <c r="AB1064" s="176"/>
    </row>
    <row r="1065" spans="1:29" s="174" customFormat="1" ht="15">
      <c r="A1065" s="65" t="s">
        <v>1259</v>
      </c>
      <c r="B1065" s="60"/>
      <c r="C1065" s="60"/>
      <c r="D1065" s="60"/>
      <c r="E1065" s="60"/>
      <c r="F1065" s="110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181"/>
      <c r="X1065" s="181"/>
      <c r="Y1065" s="181"/>
      <c r="Z1065" s="181"/>
      <c r="AA1065" s="181"/>
      <c r="AB1065" s="176"/>
    </row>
    <row r="1066" spans="1:29" s="174" customFormat="1">
      <c r="A1066" s="60"/>
      <c r="B1066" s="60"/>
      <c r="C1066" s="60"/>
      <c r="D1066" s="60"/>
      <c r="E1066" s="60"/>
      <c r="F1066" s="110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  <c r="T1066" s="83"/>
      <c r="U1066" s="83"/>
      <c r="V1066" s="83"/>
      <c r="W1066" s="181"/>
      <c r="X1066" s="181"/>
      <c r="Y1066" s="181"/>
      <c r="Z1066" s="181"/>
      <c r="AA1066" s="181"/>
      <c r="AB1066" s="176"/>
    </row>
    <row r="1067" spans="1:29" s="168" customFormat="1" ht="15">
      <c r="A1067" s="65" t="s">
        <v>694</v>
      </c>
      <c r="B1067" s="60"/>
      <c r="C1067" s="60"/>
      <c r="D1067" s="60"/>
      <c r="E1067" s="60"/>
      <c r="F1067" s="110"/>
      <c r="G1067" s="83"/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  <c r="T1067" s="83"/>
      <c r="U1067" s="83"/>
      <c r="V1067" s="83"/>
      <c r="W1067" s="83"/>
      <c r="X1067" s="171"/>
      <c r="Y1067" s="171"/>
      <c r="Z1067" s="171"/>
      <c r="AA1067" s="171"/>
      <c r="AB1067" s="167"/>
    </row>
    <row r="1068" spans="1:29" s="174" customFormat="1">
      <c r="A1068" s="60"/>
      <c r="B1068" s="60"/>
      <c r="C1068" s="60"/>
      <c r="D1068" s="60"/>
      <c r="E1068" s="60"/>
      <c r="F1068" s="79"/>
      <c r="G1068" s="79"/>
      <c r="H1068" s="79"/>
      <c r="I1068" s="79"/>
      <c r="J1068" s="79"/>
      <c r="K1068" s="79"/>
      <c r="L1068" s="79"/>
      <c r="M1068" s="79"/>
      <c r="N1068" s="79"/>
      <c r="O1068" s="83"/>
      <c r="P1068" s="83"/>
      <c r="Q1068" s="83"/>
      <c r="R1068" s="83"/>
      <c r="S1068" s="79"/>
      <c r="T1068" s="79"/>
      <c r="U1068" s="79"/>
      <c r="V1068" s="83"/>
      <c r="W1068" s="181"/>
      <c r="X1068" s="181"/>
      <c r="Y1068" s="181"/>
      <c r="Z1068" s="181"/>
      <c r="AA1068" s="182"/>
      <c r="AB1068" s="176"/>
    </row>
    <row r="1069" spans="1:29" s="174" customFormat="1">
      <c r="A1069" s="60" t="s">
        <v>723</v>
      </c>
      <c r="B1069" s="60"/>
      <c r="C1069" s="60"/>
      <c r="D1069" s="60" t="s">
        <v>724</v>
      </c>
      <c r="E1069" s="60"/>
      <c r="F1069" s="79">
        <v>2689126.84</v>
      </c>
      <c r="G1069" s="79">
        <v>2120280.13</v>
      </c>
      <c r="H1069" s="79">
        <v>385053.67</v>
      </c>
      <c r="I1069" s="79">
        <v>0</v>
      </c>
      <c r="J1069" s="79">
        <v>4988.8799999999992</v>
      </c>
      <c r="K1069" s="79">
        <v>86025.47</v>
      </c>
      <c r="L1069" s="79">
        <v>0</v>
      </c>
      <c r="M1069" s="79"/>
      <c r="N1069" s="79">
        <v>29978.34</v>
      </c>
      <c r="O1069" s="79">
        <v>51803.519999999997</v>
      </c>
      <c r="P1069" s="79">
        <v>10654.56</v>
      </c>
      <c r="Q1069" s="79">
        <v>0</v>
      </c>
      <c r="R1069" s="79">
        <v>0</v>
      </c>
      <c r="S1069" s="79">
        <v>342.27000000000004</v>
      </c>
      <c r="T1069" s="79">
        <v>0</v>
      </c>
      <c r="U1069" s="79">
        <v>0</v>
      </c>
      <c r="V1069" s="79"/>
      <c r="W1069" s="175"/>
      <c r="X1069" s="175"/>
      <c r="Y1069" s="175"/>
      <c r="Z1069" s="175"/>
      <c r="AA1069" s="179">
        <f t="shared" ref="AA1069:AA1074" si="486">SUM(G1069:Z1069)</f>
        <v>2689126.84</v>
      </c>
      <c r="AB1069" s="176" t="str">
        <f>IF(ABS(F1069-AA1069)&lt;0.01,"ok","err")</f>
        <v>ok</v>
      </c>
    </row>
    <row r="1070" spans="1:29" s="60" customFormat="1">
      <c r="A1070" s="60" t="s">
        <v>1304</v>
      </c>
      <c r="D1070" s="60" t="s">
        <v>182</v>
      </c>
      <c r="F1070" s="79">
        <v>-1630991.5700000003</v>
      </c>
      <c r="G1070" s="79">
        <v>-1517603.4</v>
      </c>
      <c r="H1070" s="79">
        <v>-98175.069999999992</v>
      </c>
      <c r="I1070" s="83">
        <v>0</v>
      </c>
      <c r="J1070" s="79">
        <f>(J1010/($J$1010+$K$1010))*-14726.55</f>
        <v>-366.10862634516889</v>
      </c>
      <c r="K1070" s="79">
        <f>(K1010/($J$1010+$K$1010))*-14726.55</f>
        <v>-14360.44137365483</v>
      </c>
      <c r="L1070" s="79">
        <v>0</v>
      </c>
      <c r="M1070" s="79">
        <v>0</v>
      </c>
      <c r="N1070" s="79">
        <f>(N1010/($N$1010+$O$1010+$P$1010))*-162</f>
        <v>-43.323193916349808</v>
      </c>
      <c r="O1070" s="79">
        <f>(O1010/($N$1010+$O$1010+$P$1010))*-162</f>
        <v>-113.33840304182509</v>
      </c>
      <c r="P1070" s="79">
        <f>(P1010/($N$1010+$O$1010+$P$1010))*-162</f>
        <v>-5.338403041825095</v>
      </c>
      <c r="Q1070" s="79"/>
      <c r="R1070" s="79"/>
      <c r="S1070" s="83">
        <f>-324.55</f>
        <v>-324.55</v>
      </c>
      <c r="T1070" s="79"/>
      <c r="U1070" s="79"/>
      <c r="V1070" s="79"/>
      <c r="W1070" s="79"/>
      <c r="X1070" s="79"/>
      <c r="Y1070" s="79"/>
      <c r="Z1070" s="79"/>
      <c r="AA1070" s="112">
        <f t="shared" si="486"/>
        <v>-1630991.5700000003</v>
      </c>
      <c r="AB1070" s="93" t="str">
        <f>IF(ROUND(F1070-AA1070,2)=0,"ok","err")</f>
        <v>ok</v>
      </c>
      <c r="AC1070" s="163"/>
    </row>
    <row r="1071" spans="1:29" s="174" customFormat="1">
      <c r="A1071" s="60" t="s">
        <v>1249</v>
      </c>
      <c r="B1071" s="60"/>
      <c r="C1071" s="60"/>
      <c r="D1071" s="60" t="s">
        <v>1250</v>
      </c>
      <c r="E1071" s="60"/>
      <c r="F1071" s="80">
        <f>SUM(F760:F768)-SUM(F788:F812)</f>
        <v>-7438396.4187509604</v>
      </c>
      <c r="G1071" s="80">
        <f>SUM(G760:G768)-SUM(G788:G812)</f>
        <v>-2910913.0307771591</v>
      </c>
      <c r="H1071" s="80">
        <f>SUM(H760:H768)-SUM(H788:H812)</f>
        <v>-1709949.6103451159</v>
      </c>
      <c r="I1071" s="80">
        <v>0</v>
      </c>
      <c r="J1071" s="80">
        <f>SUM(J760:J768)-SUM(J788:J812)</f>
        <v>-68866.100495273189</v>
      </c>
      <c r="K1071" s="80">
        <f>SUM(K760:K768)-SUM(K788:K812)</f>
        <v>-848231.50109641836</v>
      </c>
      <c r="L1071" s="80">
        <f>SUM(L760:L768)-SUM(L788:L812)</f>
        <v>0</v>
      </c>
      <c r="M1071" s="80">
        <v>0</v>
      </c>
      <c r="N1071" s="80">
        <f t="shared" ref="N1071:Z1071" si="487">SUM(N760:N768)-SUM(N788:N812)</f>
        <v>-713893.6071136198</v>
      </c>
      <c r="O1071" s="80">
        <f t="shared" si="487"/>
        <v>-458543.18246138387</v>
      </c>
      <c r="P1071" s="80">
        <f t="shared" si="487"/>
        <v>-396105.2894226819</v>
      </c>
      <c r="Q1071" s="80">
        <f t="shared" si="487"/>
        <v>-36241.472674944918</v>
      </c>
      <c r="R1071" s="80">
        <f t="shared" si="487"/>
        <v>-19757.121663349782</v>
      </c>
      <c r="S1071" s="80">
        <f t="shared" si="487"/>
        <v>-271622.41858001327</v>
      </c>
      <c r="T1071" s="80">
        <f t="shared" si="487"/>
        <v>-2183.8386377239781</v>
      </c>
      <c r="U1071" s="80">
        <f t="shared" si="487"/>
        <v>-2089.245483275874</v>
      </c>
      <c r="V1071" s="80">
        <f t="shared" si="487"/>
        <v>0</v>
      </c>
      <c r="W1071" s="182">
        <f t="shared" si="487"/>
        <v>0</v>
      </c>
      <c r="X1071" s="182">
        <f t="shared" si="487"/>
        <v>0</v>
      </c>
      <c r="Y1071" s="182">
        <f t="shared" si="487"/>
        <v>0</v>
      </c>
      <c r="Z1071" s="182">
        <f t="shared" si="487"/>
        <v>0</v>
      </c>
      <c r="AA1071" s="178">
        <f t="shared" si="486"/>
        <v>-7438396.4187509585</v>
      </c>
      <c r="AB1071" s="176" t="str">
        <f t="shared" ref="AB1071:AB1080" si="488">IF(ABS(F1071-AA1071)&lt;0.01,"ok","err")</f>
        <v>ok</v>
      </c>
    </row>
    <row r="1072" spans="1:29" s="174" customFormat="1">
      <c r="A1072" s="60" t="s">
        <v>1301</v>
      </c>
      <c r="B1072" s="60"/>
      <c r="C1072" s="60"/>
      <c r="D1072" s="60" t="s">
        <v>1245</v>
      </c>
      <c r="E1072" s="60"/>
      <c r="F1072" s="79">
        <v>0</v>
      </c>
      <c r="G1072" s="79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175"/>
      <c r="Y1072" s="175"/>
      <c r="Z1072" s="175"/>
      <c r="AA1072" s="175">
        <f t="shared" si="486"/>
        <v>0</v>
      </c>
      <c r="AB1072" s="176" t="str">
        <f t="shared" si="488"/>
        <v>ok</v>
      </c>
    </row>
    <row r="1073" spans="1:29" s="174" customFormat="1">
      <c r="A1073" s="60" t="s">
        <v>1243</v>
      </c>
      <c r="B1073" s="60"/>
      <c r="C1073" s="60"/>
      <c r="D1073" s="60" t="s">
        <v>1241</v>
      </c>
      <c r="E1073" s="60"/>
      <c r="F1073" s="79">
        <v>0</v>
      </c>
      <c r="G1073" s="79"/>
      <c r="H1073" s="79"/>
      <c r="I1073" s="79"/>
      <c r="J1073" s="79"/>
      <c r="K1073" s="79"/>
      <c r="L1073" s="79"/>
      <c r="M1073" s="79"/>
      <c r="N1073" s="79"/>
      <c r="O1073" s="79"/>
      <c r="P1073" s="79"/>
      <c r="Q1073" s="79"/>
      <c r="R1073" s="79"/>
      <c r="S1073" s="79"/>
      <c r="T1073" s="79"/>
      <c r="U1073" s="79"/>
      <c r="V1073" s="79"/>
      <c r="W1073" s="79"/>
      <c r="X1073" s="175"/>
      <c r="Y1073" s="175"/>
      <c r="Z1073" s="175"/>
      <c r="AA1073" s="175">
        <f t="shared" si="486"/>
        <v>0</v>
      </c>
      <c r="AB1073" s="176" t="str">
        <f t="shared" si="488"/>
        <v>ok</v>
      </c>
    </row>
    <row r="1074" spans="1:29" s="174" customFormat="1">
      <c r="A1074" s="60" t="s">
        <v>1244</v>
      </c>
      <c r="B1074" s="60"/>
      <c r="C1074" s="60"/>
      <c r="D1074" s="60" t="s">
        <v>1242</v>
      </c>
      <c r="E1074" s="60"/>
      <c r="F1074" s="79">
        <v>0</v>
      </c>
      <c r="G1074" s="79"/>
      <c r="H1074" s="79"/>
      <c r="I1074" s="79"/>
      <c r="J1074" s="79"/>
      <c r="K1074" s="79"/>
      <c r="L1074" s="79"/>
      <c r="M1074" s="79"/>
      <c r="N1074" s="79"/>
      <c r="O1074" s="79"/>
      <c r="P1074" s="79"/>
      <c r="Q1074" s="79"/>
      <c r="R1074" s="79"/>
      <c r="S1074" s="79"/>
      <c r="T1074" s="79"/>
      <c r="U1074" s="79"/>
      <c r="V1074" s="79"/>
      <c r="W1074" s="79"/>
      <c r="X1074" s="175"/>
      <c r="Y1074" s="175"/>
      <c r="Z1074" s="175"/>
      <c r="AA1074" s="175">
        <f t="shared" si="486"/>
        <v>0</v>
      </c>
      <c r="AB1074" s="176" t="str">
        <f t="shared" si="488"/>
        <v>ok</v>
      </c>
    </row>
    <row r="1075" spans="1:29" s="174" customFormat="1">
      <c r="A1075" s="60" t="s">
        <v>892</v>
      </c>
      <c r="B1075" s="60"/>
      <c r="C1075" s="60"/>
      <c r="D1075" s="60" t="s">
        <v>893</v>
      </c>
      <c r="E1075" s="60"/>
      <c r="F1075" s="79">
        <v>0</v>
      </c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  <c r="U1075" s="79"/>
      <c r="V1075" s="79">
        <v>0</v>
      </c>
      <c r="W1075" s="79">
        <v>0</v>
      </c>
      <c r="X1075" s="175"/>
      <c r="Y1075" s="175"/>
      <c r="Z1075" s="175"/>
      <c r="AA1075" s="175">
        <f t="shared" ref="AA1075:AA1080" si="489">SUM(G1075:Z1075)</f>
        <v>0</v>
      </c>
      <c r="AB1075" s="176" t="str">
        <f t="shared" si="488"/>
        <v>ok</v>
      </c>
    </row>
    <row r="1076" spans="1:29" s="174" customFormat="1">
      <c r="A1076" s="60" t="s">
        <v>920</v>
      </c>
      <c r="B1076" s="60"/>
      <c r="C1076" s="60"/>
      <c r="D1076" s="60" t="s">
        <v>919</v>
      </c>
      <c r="E1076" s="60"/>
      <c r="F1076" s="79">
        <v>0</v>
      </c>
      <c r="G1076" s="79"/>
      <c r="H1076" s="79"/>
      <c r="I1076" s="79"/>
      <c r="J1076" s="79"/>
      <c r="K1076" s="79"/>
      <c r="L1076" s="79"/>
      <c r="M1076" s="79"/>
      <c r="N1076" s="79"/>
      <c r="O1076" s="79"/>
      <c r="P1076" s="79"/>
      <c r="Q1076" s="79"/>
      <c r="R1076" s="79"/>
      <c r="S1076" s="79"/>
      <c r="T1076" s="79"/>
      <c r="U1076" s="79"/>
      <c r="V1076" s="79">
        <v>0</v>
      </c>
      <c r="W1076" s="79">
        <v>0</v>
      </c>
      <c r="X1076" s="175"/>
      <c r="Y1076" s="175"/>
      <c r="Z1076" s="175"/>
      <c r="AA1076" s="175">
        <f t="shared" si="489"/>
        <v>0</v>
      </c>
      <c r="AB1076" s="176" t="str">
        <f t="shared" si="488"/>
        <v>ok</v>
      </c>
    </row>
    <row r="1077" spans="1:29" s="60" customFormat="1">
      <c r="A1077" s="60" t="s">
        <v>632</v>
      </c>
      <c r="D1077" s="60" t="s">
        <v>693</v>
      </c>
      <c r="F1077" s="79">
        <v>163886444</v>
      </c>
      <c r="G1077" s="79">
        <v>64164081</v>
      </c>
      <c r="H1077" s="79">
        <f>35966001</f>
        <v>35966001</v>
      </c>
      <c r="I1077" s="79">
        <v>0</v>
      </c>
      <c r="J1077" s="79">
        <f>1568548</f>
        <v>1568548</v>
      </c>
      <c r="K1077" s="79">
        <f>19512643</f>
        <v>19512643</v>
      </c>
      <c r="L1077" s="79">
        <v>0</v>
      </c>
      <c r="M1077" s="79"/>
      <c r="N1077" s="79">
        <f>16210961</f>
        <v>16210961</v>
      </c>
      <c r="O1077" s="79">
        <f>10462757</f>
        <v>10462757</v>
      </c>
      <c r="P1077" s="79">
        <f>8983013</f>
        <v>8983013</v>
      </c>
      <c r="Q1077" s="79">
        <f>831030</f>
        <v>831030</v>
      </c>
      <c r="R1077" s="79">
        <f>449773</f>
        <v>449773</v>
      </c>
      <c r="S1077" s="79">
        <f>2279259+2001557+1364134</f>
        <v>5644950</v>
      </c>
      <c r="T1077" s="79">
        <f>46675</f>
        <v>46675</v>
      </c>
      <c r="U1077" s="79">
        <f>46012</f>
        <v>46012</v>
      </c>
      <c r="V1077" s="79">
        <v>0</v>
      </c>
      <c r="W1077" s="79">
        <v>0</v>
      </c>
      <c r="X1077" s="79"/>
      <c r="Y1077" s="79"/>
      <c r="Z1077" s="79"/>
      <c r="AA1077" s="79">
        <f t="shared" si="489"/>
        <v>163886444</v>
      </c>
      <c r="AB1077" s="93" t="str">
        <f t="shared" si="488"/>
        <v>ok</v>
      </c>
    </row>
    <row r="1078" spans="1:29" s="168" customFormat="1">
      <c r="A1078" s="60" t="s">
        <v>1247</v>
      </c>
      <c r="B1078" s="60"/>
      <c r="C1078" s="60"/>
      <c r="D1078" s="60" t="s">
        <v>1246</v>
      </c>
      <c r="E1078" s="60"/>
      <c r="F1078" s="79">
        <v>0</v>
      </c>
      <c r="G1078" s="79"/>
      <c r="H1078" s="79"/>
      <c r="I1078" s="79"/>
      <c r="J1078" s="79"/>
      <c r="K1078" s="79"/>
      <c r="L1078" s="79"/>
      <c r="M1078" s="79"/>
      <c r="N1078" s="79"/>
      <c r="O1078" s="79"/>
      <c r="P1078" s="79"/>
      <c r="Q1078" s="79"/>
      <c r="R1078" s="79"/>
      <c r="S1078" s="79"/>
      <c r="T1078" s="79"/>
      <c r="U1078" s="79"/>
      <c r="V1078" s="79"/>
      <c r="W1078" s="79"/>
      <c r="X1078" s="164"/>
      <c r="Y1078" s="164"/>
      <c r="Z1078" s="164"/>
      <c r="AA1078" s="164">
        <f>SUM(G1078:Z1078)</f>
        <v>0</v>
      </c>
      <c r="AB1078" s="167" t="str">
        <f t="shared" si="488"/>
        <v>ok</v>
      </c>
    </row>
    <row r="1079" spans="1:29" s="174" customFormat="1">
      <c r="A1079" s="60" t="s">
        <v>633</v>
      </c>
      <c r="B1079" s="60"/>
      <c r="C1079" s="60"/>
      <c r="D1079" s="111" t="s">
        <v>874</v>
      </c>
      <c r="E1079" s="60"/>
      <c r="F1079" s="79">
        <v>0</v>
      </c>
      <c r="G1079" s="79"/>
      <c r="H1079" s="79"/>
      <c r="I1079" s="79"/>
      <c r="J1079" s="79"/>
      <c r="K1079" s="79"/>
      <c r="L1079" s="79"/>
      <c r="M1079" s="79"/>
      <c r="N1079" s="79"/>
      <c r="O1079" s="79"/>
      <c r="P1079" s="79"/>
      <c r="Q1079" s="79"/>
      <c r="R1079" s="79"/>
      <c r="S1079" s="79"/>
      <c r="T1079" s="79"/>
      <c r="U1079" s="79"/>
      <c r="V1079" s="79">
        <v>0</v>
      </c>
      <c r="W1079" s="79">
        <v>0</v>
      </c>
      <c r="X1079" s="175"/>
      <c r="Y1079" s="175"/>
      <c r="Z1079" s="175"/>
      <c r="AA1079" s="175">
        <f t="shared" si="489"/>
        <v>0</v>
      </c>
      <c r="AB1079" s="176" t="str">
        <f t="shared" si="488"/>
        <v>ok</v>
      </c>
      <c r="AC1079" s="177"/>
    </row>
    <row r="1080" spans="1:29" s="60" customFormat="1">
      <c r="A1080" s="60" t="s">
        <v>1174</v>
      </c>
      <c r="D1080" s="166" t="s">
        <v>873</v>
      </c>
      <c r="F1080" s="79">
        <v>0</v>
      </c>
      <c r="G1080" s="79"/>
      <c r="H1080" s="79"/>
      <c r="I1080" s="79"/>
      <c r="J1080" s="79"/>
      <c r="K1080" s="79"/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>
        <f>V1022</f>
        <v>0</v>
      </c>
      <c r="W1080" s="79">
        <f>W1022</f>
        <v>0</v>
      </c>
      <c r="X1080" s="79">
        <f>X1022</f>
        <v>0</v>
      </c>
      <c r="Y1080" s="79">
        <f>Y1022</f>
        <v>0</v>
      </c>
      <c r="Z1080" s="79">
        <f>Z1022</f>
        <v>0</v>
      </c>
      <c r="AA1080" s="79">
        <f t="shared" si="489"/>
        <v>0</v>
      </c>
      <c r="AB1080" s="93" t="str">
        <f t="shared" si="488"/>
        <v>ok</v>
      </c>
      <c r="AC1080" s="134"/>
    </row>
    <row r="1081" spans="1:29" s="174" customFormat="1">
      <c r="A1081" s="60"/>
      <c r="B1081" s="60"/>
      <c r="C1081" s="60"/>
      <c r="D1081" s="60"/>
      <c r="E1081" s="60"/>
      <c r="F1081" s="110"/>
      <c r="G1081" s="83"/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3"/>
      <c r="S1081" s="83"/>
      <c r="T1081" s="83"/>
      <c r="U1081" s="83"/>
      <c r="V1081" s="83"/>
      <c r="W1081" s="181"/>
      <c r="X1081" s="181"/>
      <c r="Y1081" s="181"/>
      <c r="Z1081" s="181"/>
      <c r="AA1081" s="181"/>
      <c r="AB1081" s="176"/>
    </row>
    <row r="1082" spans="1:29" s="174" customFormat="1" ht="15" hidden="1">
      <c r="A1082" s="65" t="s">
        <v>847</v>
      </c>
      <c r="B1082" s="60"/>
      <c r="C1082" s="60"/>
      <c r="D1082" s="60"/>
      <c r="E1082" s="60"/>
      <c r="F1082" s="110"/>
      <c r="G1082" s="83"/>
      <c r="H1082" s="83"/>
      <c r="I1082" s="83"/>
      <c r="J1082" s="83"/>
      <c r="K1082" s="83"/>
      <c r="L1082" s="83"/>
      <c r="M1082" s="83"/>
      <c r="N1082" s="83"/>
      <c r="O1082" s="83"/>
      <c r="P1082" s="83"/>
      <c r="Q1082" s="83"/>
      <c r="R1082" s="83"/>
      <c r="S1082" s="83"/>
      <c r="T1082" s="83"/>
      <c r="U1082" s="83"/>
      <c r="V1082" s="83"/>
      <c r="W1082" s="181"/>
      <c r="X1082" s="181"/>
      <c r="Y1082" s="181"/>
      <c r="Z1082" s="181"/>
      <c r="AA1082" s="181"/>
      <c r="AB1082" s="176"/>
    </row>
    <row r="1083" spans="1:29" s="174" customFormat="1" hidden="1">
      <c r="A1083" s="60"/>
      <c r="B1083" s="60"/>
      <c r="C1083" s="60"/>
      <c r="D1083" s="60"/>
      <c r="E1083" s="60"/>
      <c r="F1083" s="60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3"/>
      <c r="T1083" s="83"/>
      <c r="U1083" s="83"/>
      <c r="V1083" s="83"/>
      <c r="W1083" s="181"/>
      <c r="X1083" s="181"/>
      <c r="Y1083" s="181"/>
      <c r="Z1083" s="181"/>
      <c r="AA1083" s="181"/>
      <c r="AB1083" s="176"/>
    </row>
    <row r="1084" spans="1:29" s="174" customFormat="1" hidden="1">
      <c r="A1084" s="60" t="s">
        <v>849</v>
      </c>
      <c r="B1084" s="60"/>
      <c r="C1084" s="60"/>
      <c r="D1084" s="60"/>
      <c r="E1084" s="60" t="s">
        <v>1103</v>
      </c>
      <c r="F1084" s="76">
        <f>F699</f>
        <v>42971044.699999966</v>
      </c>
      <c r="G1084" s="76">
        <f t="shared" ref="G1084:Z1084" si="490">IF(VLOOKUP($E1084,$D$6:$AN$1131,3,)=0,0,(VLOOKUP($E1084,$D$6:$AN$1131,G$2,)/VLOOKUP($E1084,$D$6:$AN$1131,3,))*$F1084)</f>
        <v>16880231.919388261</v>
      </c>
      <c r="H1084" s="76">
        <f t="shared" si="490"/>
        <v>5674124.6064983541</v>
      </c>
      <c r="I1084" s="76">
        <f t="shared" si="490"/>
        <v>0</v>
      </c>
      <c r="J1084" s="76">
        <f t="shared" si="490"/>
        <v>526365.4701895559</v>
      </c>
      <c r="K1084" s="76">
        <f t="shared" si="490"/>
        <v>6762156.2368940795</v>
      </c>
      <c r="L1084" s="76">
        <f t="shared" si="490"/>
        <v>0</v>
      </c>
      <c r="M1084" s="76">
        <f t="shared" si="490"/>
        <v>0</v>
      </c>
      <c r="N1084" s="76">
        <f t="shared" si="490"/>
        <v>5738540.2730001565</v>
      </c>
      <c r="O1084" s="76">
        <f t="shared" si="490"/>
        <v>3283159.7509055217</v>
      </c>
      <c r="P1084" s="76">
        <f t="shared" si="490"/>
        <v>3429050.4094536486</v>
      </c>
      <c r="Q1084" s="76">
        <f t="shared" si="490"/>
        <v>362354.27002245374</v>
      </c>
      <c r="R1084" s="76">
        <f t="shared" si="490"/>
        <v>161929.23638010508</v>
      </c>
      <c r="S1084" s="76">
        <f t="shared" si="490"/>
        <v>139517.63134496304</v>
      </c>
      <c r="T1084" s="76">
        <f t="shared" si="490"/>
        <v>4547.755380306744</v>
      </c>
      <c r="U1084" s="76">
        <f t="shared" si="490"/>
        <v>9067.1405425606226</v>
      </c>
      <c r="V1084" s="76">
        <f t="shared" si="490"/>
        <v>0</v>
      </c>
      <c r="W1084" s="178">
        <f t="shared" si="490"/>
        <v>0</v>
      </c>
      <c r="X1084" s="178">
        <f t="shared" si="490"/>
        <v>0</v>
      </c>
      <c r="Y1084" s="178">
        <f t="shared" si="490"/>
        <v>0</v>
      </c>
      <c r="Z1084" s="178">
        <f t="shared" si="490"/>
        <v>0</v>
      </c>
      <c r="AA1084" s="182">
        <f>SUM(G1084:Z1084)</f>
        <v>42971044.699999966</v>
      </c>
      <c r="AB1084" s="176" t="str">
        <f>IF(ABS(F1084-AA1084)&lt;0.01,"ok","err")</f>
        <v>ok</v>
      </c>
    </row>
    <row r="1085" spans="1:29" s="174" customFormat="1" hidden="1">
      <c r="A1085" s="60"/>
      <c r="B1085" s="60"/>
      <c r="C1085" s="60"/>
      <c r="D1085" s="60"/>
      <c r="E1085" s="60"/>
      <c r="F1085" s="60"/>
      <c r="G1085" s="83"/>
      <c r="H1085" s="83"/>
      <c r="I1085" s="83"/>
      <c r="J1085" s="83"/>
      <c r="K1085" s="83"/>
      <c r="L1085" s="83"/>
      <c r="M1085" s="83"/>
      <c r="N1085" s="83"/>
      <c r="O1085" s="83"/>
      <c r="P1085" s="83"/>
      <c r="Q1085" s="83"/>
      <c r="R1085" s="83"/>
      <c r="S1085" s="83"/>
      <c r="T1085" s="83"/>
      <c r="U1085" s="83"/>
      <c r="V1085" s="83"/>
      <c r="W1085" s="181"/>
      <c r="X1085" s="181"/>
      <c r="Y1085" s="181"/>
      <c r="Z1085" s="181"/>
      <c r="AA1085" s="181"/>
      <c r="AB1085" s="176"/>
    </row>
    <row r="1086" spans="1:29" s="174" customFormat="1" hidden="1">
      <c r="A1086" s="60" t="s">
        <v>856</v>
      </c>
      <c r="B1086" s="60"/>
      <c r="C1086" s="60"/>
      <c r="D1086" s="60"/>
      <c r="E1086" s="60"/>
      <c r="F1086" s="60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3"/>
      <c r="W1086" s="181"/>
      <c r="X1086" s="181"/>
      <c r="Y1086" s="181"/>
      <c r="Z1086" s="181"/>
      <c r="AA1086" s="181"/>
      <c r="AB1086" s="176"/>
    </row>
    <row r="1087" spans="1:29" s="174" customFormat="1" hidden="1">
      <c r="A1087" s="60" t="s">
        <v>851</v>
      </c>
      <c r="B1087" s="60"/>
      <c r="C1087" s="60"/>
      <c r="D1087" s="60"/>
      <c r="E1087" s="60" t="s">
        <v>930</v>
      </c>
      <c r="F1087" s="76">
        <v>0</v>
      </c>
      <c r="G1087" s="76">
        <f t="shared" ref="G1087:P1088" si="491">IF(VLOOKUP($E1087,$D$6:$AN$1131,3,)=0,0,(VLOOKUP($E1087,$D$6:$AN$1131,G$2,)/VLOOKUP($E1087,$D$6:$AN$1131,3,))*$F1087)</f>
        <v>0</v>
      </c>
      <c r="H1087" s="76">
        <f t="shared" si="491"/>
        <v>0</v>
      </c>
      <c r="I1087" s="76">
        <f t="shared" si="491"/>
        <v>0</v>
      </c>
      <c r="J1087" s="76">
        <f t="shared" si="491"/>
        <v>0</v>
      </c>
      <c r="K1087" s="76">
        <f t="shared" si="491"/>
        <v>0</v>
      </c>
      <c r="L1087" s="76">
        <f t="shared" si="491"/>
        <v>0</v>
      </c>
      <c r="M1087" s="76">
        <f t="shared" si="491"/>
        <v>0</v>
      </c>
      <c r="N1087" s="76">
        <f t="shared" si="491"/>
        <v>0</v>
      </c>
      <c r="O1087" s="76">
        <f t="shared" si="491"/>
        <v>0</v>
      </c>
      <c r="P1087" s="76">
        <f t="shared" si="491"/>
        <v>0</v>
      </c>
      <c r="Q1087" s="76">
        <f t="shared" ref="Q1087:Z1088" si="492">IF(VLOOKUP($E1087,$D$6:$AN$1131,3,)=0,0,(VLOOKUP($E1087,$D$6:$AN$1131,Q$2,)/VLOOKUP($E1087,$D$6:$AN$1131,3,))*$F1087)</f>
        <v>0</v>
      </c>
      <c r="R1087" s="76">
        <f t="shared" si="492"/>
        <v>0</v>
      </c>
      <c r="S1087" s="76">
        <f t="shared" si="492"/>
        <v>0</v>
      </c>
      <c r="T1087" s="76">
        <f t="shared" si="492"/>
        <v>0</v>
      </c>
      <c r="U1087" s="76">
        <f t="shared" si="492"/>
        <v>0</v>
      </c>
      <c r="V1087" s="76">
        <f t="shared" si="492"/>
        <v>0</v>
      </c>
      <c r="W1087" s="178">
        <f t="shared" si="492"/>
        <v>0</v>
      </c>
      <c r="X1087" s="175">
        <f t="shared" si="492"/>
        <v>0</v>
      </c>
      <c r="Y1087" s="175">
        <f t="shared" si="492"/>
        <v>0</v>
      </c>
      <c r="Z1087" s="175">
        <f t="shared" si="492"/>
        <v>0</v>
      </c>
      <c r="AA1087" s="182">
        <f>SUM(G1087:Z1087)</f>
        <v>0</v>
      </c>
      <c r="AB1087" s="176" t="str">
        <f>IF(ABS(F1087-AA1087)&lt;0.01,"ok","err")</f>
        <v>ok</v>
      </c>
    </row>
    <row r="1088" spans="1:29" s="174" customFormat="1" hidden="1">
      <c r="A1088" s="60" t="s">
        <v>852</v>
      </c>
      <c r="B1088" s="60"/>
      <c r="C1088" s="60"/>
      <c r="D1088" s="60"/>
      <c r="E1088" s="60" t="s">
        <v>1103</v>
      </c>
      <c r="F1088" s="79">
        <f>-F1087</f>
        <v>0</v>
      </c>
      <c r="G1088" s="79">
        <f t="shared" si="491"/>
        <v>0</v>
      </c>
      <c r="H1088" s="79">
        <f t="shared" si="491"/>
        <v>0</v>
      </c>
      <c r="I1088" s="79">
        <f t="shared" si="491"/>
        <v>0</v>
      </c>
      <c r="J1088" s="79">
        <f t="shared" si="491"/>
        <v>0</v>
      </c>
      <c r="K1088" s="79">
        <f t="shared" si="491"/>
        <v>0</v>
      </c>
      <c r="L1088" s="79">
        <f t="shared" si="491"/>
        <v>0</v>
      </c>
      <c r="M1088" s="79">
        <f t="shared" si="491"/>
        <v>0</v>
      </c>
      <c r="N1088" s="79">
        <f t="shared" si="491"/>
        <v>0</v>
      </c>
      <c r="O1088" s="79">
        <f t="shared" si="491"/>
        <v>0</v>
      </c>
      <c r="P1088" s="79">
        <f t="shared" si="491"/>
        <v>0</v>
      </c>
      <c r="Q1088" s="79">
        <f t="shared" si="492"/>
        <v>0</v>
      </c>
      <c r="R1088" s="79">
        <f t="shared" si="492"/>
        <v>0</v>
      </c>
      <c r="S1088" s="79">
        <f t="shared" si="492"/>
        <v>0</v>
      </c>
      <c r="T1088" s="79">
        <f t="shared" si="492"/>
        <v>0</v>
      </c>
      <c r="U1088" s="79">
        <f t="shared" si="492"/>
        <v>0</v>
      </c>
      <c r="V1088" s="79">
        <f t="shared" si="492"/>
        <v>0</v>
      </c>
      <c r="W1088" s="175">
        <f t="shared" si="492"/>
        <v>0</v>
      </c>
      <c r="X1088" s="175">
        <f t="shared" si="492"/>
        <v>0</v>
      </c>
      <c r="Y1088" s="175">
        <f t="shared" si="492"/>
        <v>0</v>
      </c>
      <c r="Z1088" s="175">
        <f t="shared" si="492"/>
        <v>0</v>
      </c>
      <c r="AA1088" s="175">
        <f>SUM(G1088:Z1088)</f>
        <v>0</v>
      </c>
      <c r="AB1088" s="176" t="str">
        <f>IF(ABS(F1088-AA1088)&lt;0.01,"ok","err")</f>
        <v>ok</v>
      </c>
    </row>
    <row r="1089" spans="1:29" s="174" customFormat="1" hidden="1">
      <c r="A1089" s="60" t="s">
        <v>853</v>
      </c>
      <c r="B1089" s="60"/>
      <c r="C1089" s="60"/>
      <c r="D1089" s="60"/>
      <c r="E1089" s="60"/>
      <c r="F1089" s="79">
        <f>F1087+F1088</f>
        <v>0</v>
      </c>
      <c r="G1089" s="79">
        <f t="shared" ref="G1089:W1089" si="493">G1087+G1088</f>
        <v>0</v>
      </c>
      <c r="H1089" s="79">
        <f t="shared" si="493"/>
        <v>0</v>
      </c>
      <c r="I1089" s="79">
        <f t="shared" si="493"/>
        <v>0</v>
      </c>
      <c r="J1089" s="79">
        <f t="shared" si="493"/>
        <v>0</v>
      </c>
      <c r="K1089" s="79">
        <f t="shared" si="493"/>
        <v>0</v>
      </c>
      <c r="L1089" s="79">
        <f t="shared" si="493"/>
        <v>0</v>
      </c>
      <c r="M1089" s="79">
        <f t="shared" si="493"/>
        <v>0</v>
      </c>
      <c r="N1089" s="79">
        <f t="shared" si="493"/>
        <v>0</v>
      </c>
      <c r="O1089" s="79">
        <f>O1087+O1088</f>
        <v>0</v>
      </c>
      <c r="P1089" s="79">
        <f t="shared" si="493"/>
        <v>0</v>
      </c>
      <c r="Q1089" s="79">
        <f t="shared" si="493"/>
        <v>0</v>
      </c>
      <c r="R1089" s="79">
        <f t="shared" si="493"/>
        <v>0</v>
      </c>
      <c r="S1089" s="79">
        <f t="shared" si="493"/>
        <v>0</v>
      </c>
      <c r="T1089" s="79">
        <f t="shared" si="493"/>
        <v>0</v>
      </c>
      <c r="U1089" s="79">
        <f t="shared" si="493"/>
        <v>0</v>
      </c>
      <c r="V1089" s="79">
        <f t="shared" si="493"/>
        <v>0</v>
      </c>
      <c r="W1089" s="175">
        <f t="shared" si="493"/>
        <v>0</v>
      </c>
      <c r="X1089" s="175">
        <f>X1087+X1088</f>
        <v>0</v>
      </c>
      <c r="Y1089" s="175">
        <f>Y1087+Y1088</f>
        <v>0</v>
      </c>
      <c r="Z1089" s="175">
        <f>Z1087+Z1088</f>
        <v>0</v>
      </c>
      <c r="AA1089" s="175"/>
      <c r="AB1089" s="176"/>
    </row>
    <row r="1090" spans="1:29" s="174" customFormat="1" hidden="1">
      <c r="A1090" s="60"/>
      <c r="B1090" s="60"/>
      <c r="C1090" s="60"/>
      <c r="D1090" s="60"/>
      <c r="E1090" s="60"/>
      <c r="F1090" s="110"/>
      <c r="G1090" s="83"/>
      <c r="H1090" s="83"/>
      <c r="I1090" s="83"/>
      <c r="J1090" s="83"/>
      <c r="K1090" s="83"/>
      <c r="L1090" s="83"/>
      <c r="M1090" s="83"/>
      <c r="N1090" s="83"/>
      <c r="O1090" s="83"/>
      <c r="P1090" s="83"/>
      <c r="Q1090" s="83"/>
      <c r="R1090" s="83"/>
      <c r="S1090" s="83"/>
      <c r="T1090" s="83"/>
      <c r="U1090" s="83"/>
      <c r="V1090" s="83"/>
      <c r="W1090" s="181"/>
      <c r="X1090" s="181"/>
      <c r="Y1090" s="181"/>
      <c r="Z1090" s="181"/>
      <c r="AA1090" s="181"/>
      <c r="AB1090" s="176"/>
    </row>
    <row r="1091" spans="1:29" s="174" customFormat="1" hidden="1">
      <c r="A1091" s="60" t="s">
        <v>854</v>
      </c>
      <c r="B1091" s="60"/>
      <c r="C1091" s="60"/>
      <c r="D1091" s="60" t="s">
        <v>855</v>
      </c>
      <c r="E1091" s="60"/>
      <c r="F1091" s="76">
        <f>F1084-F1089</f>
        <v>42971044.699999966</v>
      </c>
      <c r="G1091" s="76">
        <f t="shared" ref="G1091:Z1091" si="494">G1084-G1089</f>
        <v>16880231.919388261</v>
      </c>
      <c r="H1091" s="76">
        <f t="shared" si="494"/>
        <v>5674124.6064983541</v>
      </c>
      <c r="I1091" s="76">
        <f t="shared" si="494"/>
        <v>0</v>
      </c>
      <c r="J1091" s="76">
        <f t="shared" si="494"/>
        <v>526365.4701895559</v>
      </c>
      <c r="K1091" s="76">
        <f t="shared" si="494"/>
        <v>6762156.2368940795</v>
      </c>
      <c r="L1091" s="76">
        <f t="shared" si="494"/>
        <v>0</v>
      </c>
      <c r="M1091" s="76">
        <f t="shared" si="494"/>
        <v>0</v>
      </c>
      <c r="N1091" s="76">
        <f t="shared" si="494"/>
        <v>5738540.2730001565</v>
      </c>
      <c r="O1091" s="76">
        <f>O1084-O1089</f>
        <v>3283159.7509055217</v>
      </c>
      <c r="P1091" s="76">
        <f t="shared" si="494"/>
        <v>3429050.4094536486</v>
      </c>
      <c r="Q1091" s="76">
        <f t="shared" si="494"/>
        <v>362354.27002245374</v>
      </c>
      <c r="R1091" s="76">
        <f t="shared" si="494"/>
        <v>161929.23638010508</v>
      </c>
      <c r="S1091" s="76">
        <f t="shared" si="494"/>
        <v>139517.63134496304</v>
      </c>
      <c r="T1091" s="76">
        <f t="shared" si="494"/>
        <v>4547.755380306744</v>
      </c>
      <c r="U1091" s="76">
        <f t="shared" si="494"/>
        <v>9067.1405425606226</v>
      </c>
      <c r="V1091" s="76">
        <f t="shared" si="494"/>
        <v>0</v>
      </c>
      <c r="W1091" s="178">
        <f t="shared" si="494"/>
        <v>0</v>
      </c>
      <c r="X1091" s="175">
        <f t="shared" si="494"/>
        <v>0</v>
      </c>
      <c r="Y1091" s="175">
        <f t="shared" si="494"/>
        <v>0</v>
      </c>
      <c r="Z1091" s="175">
        <f t="shared" si="494"/>
        <v>0</v>
      </c>
      <c r="AA1091" s="182">
        <f>SUM(G1091:Z1091)</f>
        <v>42971044.699999966</v>
      </c>
      <c r="AB1091" s="176" t="str">
        <f>IF(ABS(F1091-AA1091)&lt;0.01,"ok","err")</f>
        <v>ok</v>
      </c>
    </row>
    <row r="1092" spans="1:29" s="174" customFormat="1" hidden="1">
      <c r="A1092" s="60"/>
      <c r="B1092" s="60"/>
      <c r="C1092" s="60"/>
      <c r="D1092" s="60"/>
      <c r="E1092" s="60"/>
      <c r="F1092" s="110"/>
      <c r="G1092" s="83"/>
      <c r="H1092" s="83"/>
      <c r="I1092" s="83"/>
      <c r="J1092" s="83"/>
      <c r="K1092" s="83"/>
      <c r="L1092" s="83"/>
      <c r="M1092" s="83"/>
      <c r="N1092" s="83"/>
      <c r="O1092" s="83"/>
      <c r="P1092" s="83"/>
      <c r="Q1092" s="83"/>
      <c r="R1092" s="83"/>
      <c r="S1092" s="83"/>
      <c r="T1092" s="83"/>
      <c r="U1092" s="83"/>
      <c r="V1092" s="83"/>
      <c r="W1092" s="181"/>
      <c r="X1092" s="181"/>
      <c r="Y1092" s="181"/>
      <c r="Z1092" s="181"/>
      <c r="AA1092" s="181"/>
      <c r="AB1092" s="176"/>
    </row>
    <row r="1093" spans="1:29" s="174" customFormat="1">
      <c r="A1093" s="60"/>
      <c r="B1093" s="60"/>
      <c r="C1093" s="60"/>
      <c r="D1093" s="60"/>
      <c r="E1093" s="60"/>
      <c r="F1093" s="110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  <c r="U1093" s="83"/>
      <c r="V1093" s="83"/>
      <c r="W1093" s="181"/>
      <c r="X1093" s="181"/>
      <c r="Y1093" s="181"/>
      <c r="Z1093" s="181"/>
      <c r="AA1093" s="181"/>
      <c r="AB1093" s="176"/>
    </row>
    <row r="1094" spans="1:29" s="168" customFormat="1" ht="15">
      <c r="A1094" s="65" t="s">
        <v>695</v>
      </c>
      <c r="B1094" s="60"/>
      <c r="C1094" s="60"/>
      <c r="D1094" s="60"/>
      <c r="E1094" s="60"/>
      <c r="F1094" s="110"/>
      <c r="G1094" s="83"/>
      <c r="H1094" s="83"/>
      <c r="I1094" s="83"/>
      <c r="J1094" s="83"/>
      <c r="K1094" s="83"/>
      <c r="L1094" s="83"/>
      <c r="M1094" s="83"/>
      <c r="N1094" s="83"/>
      <c r="O1094" s="83"/>
      <c r="P1094" s="83"/>
      <c r="Q1094" s="83"/>
      <c r="R1094" s="83"/>
      <c r="S1094" s="83"/>
      <c r="T1094" s="83"/>
      <c r="U1094" s="83"/>
      <c r="V1094" s="83"/>
      <c r="W1094" s="83"/>
      <c r="X1094" s="171"/>
      <c r="Y1094" s="171"/>
      <c r="Z1094" s="171"/>
      <c r="AA1094" s="171"/>
      <c r="AB1094" s="167"/>
    </row>
    <row r="1095" spans="1:29" s="168" customFormat="1">
      <c r="A1095" s="60" t="s">
        <v>909</v>
      </c>
      <c r="B1095" s="60"/>
      <c r="C1095" s="60"/>
      <c r="D1095" s="60" t="s">
        <v>701</v>
      </c>
      <c r="E1095" s="60"/>
      <c r="F1095" s="79">
        <f t="shared" ref="F1095:Z1095" si="495">F10+F11</f>
        <v>1593301897.1525154</v>
      </c>
      <c r="G1095" s="79">
        <f t="shared" si="495"/>
        <v>654776563.4009738</v>
      </c>
      <c r="H1095" s="79">
        <f t="shared" si="495"/>
        <v>223857761.18638557</v>
      </c>
      <c r="I1095" s="79">
        <f t="shared" si="495"/>
        <v>0</v>
      </c>
      <c r="J1095" s="79">
        <f t="shared" si="495"/>
        <v>17886310.144946367</v>
      </c>
      <c r="K1095" s="79">
        <f t="shared" si="495"/>
        <v>246202367.66704711</v>
      </c>
      <c r="L1095" s="79">
        <f t="shared" si="495"/>
        <v>0</v>
      </c>
      <c r="M1095" s="79">
        <f t="shared" si="495"/>
        <v>0</v>
      </c>
      <c r="N1095" s="79">
        <f t="shared" si="495"/>
        <v>191329719.62024865</v>
      </c>
      <c r="O1095" s="79">
        <f t="shared" si="495"/>
        <v>128738210.63073418</v>
      </c>
      <c r="P1095" s="79">
        <f t="shared" si="495"/>
        <v>112671463.43320423</v>
      </c>
      <c r="Q1095" s="79">
        <f t="shared" si="495"/>
        <v>12621754.377601396</v>
      </c>
      <c r="R1095" s="79">
        <f t="shared" si="495"/>
        <v>4935546.0146323107</v>
      </c>
      <c r="S1095" s="79">
        <f t="shared" si="495"/>
        <v>0</v>
      </c>
      <c r="T1095" s="79">
        <f t="shared" si="495"/>
        <v>0</v>
      </c>
      <c r="U1095" s="79">
        <f t="shared" si="495"/>
        <v>282200.67674187571</v>
      </c>
      <c r="V1095" s="79">
        <f t="shared" si="495"/>
        <v>0</v>
      </c>
      <c r="W1095" s="79">
        <f t="shared" si="495"/>
        <v>0</v>
      </c>
      <c r="X1095" s="164">
        <f t="shared" si="495"/>
        <v>0</v>
      </c>
      <c r="Y1095" s="164">
        <f t="shared" si="495"/>
        <v>0</v>
      </c>
      <c r="Z1095" s="164">
        <f t="shared" si="495"/>
        <v>0</v>
      </c>
      <c r="AA1095" s="170">
        <f>SUM(G1095:Z1095)</f>
        <v>1593301897.1525152</v>
      </c>
      <c r="AB1095" s="167" t="str">
        <f>IF(ABS(F1095-AA1095)&lt;0.01,"ok","err")</f>
        <v>ok</v>
      </c>
    </row>
    <row r="1096" spans="1:29" s="168" customFormat="1">
      <c r="A1096" s="60" t="s">
        <v>702</v>
      </c>
      <c r="B1096" s="60"/>
      <c r="C1096" s="60"/>
      <c r="D1096" s="60" t="s">
        <v>703</v>
      </c>
      <c r="E1096" s="60"/>
      <c r="F1096" s="82">
        <f t="shared" ref="F1096:Z1096" si="496">F233-F185</f>
        <v>220080914.45930403</v>
      </c>
      <c r="G1096" s="82">
        <f t="shared" si="496"/>
        <v>119554976.60438889</v>
      </c>
      <c r="H1096" s="82">
        <f t="shared" si="496"/>
        <v>30981091.213524744</v>
      </c>
      <c r="I1096" s="82">
        <f t="shared" si="496"/>
        <v>0</v>
      </c>
      <c r="J1096" s="82">
        <f t="shared" si="496"/>
        <v>1863596.5870694108</v>
      </c>
      <c r="K1096" s="82">
        <f t="shared" si="496"/>
        <v>23262037.045132309</v>
      </c>
      <c r="L1096" s="82">
        <f t="shared" si="496"/>
        <v>0</v>
      </c>
      <c r="M1096" s="82">
        <f t="shared" si="496"/>
        <v>0</v>
      </c>
      <c r="N1096" s="82">
        <f t="shared" si="496"/>
        <v>18736631.491786182</v>
      </c>
      <c r="O1096" s="82">
        <f t="shared" si="496"/>
        <v>11253738.168929908</v>
      </c>
      <c r="P1096" s="82">
        <f t="shared" si="496"/>
        <v>9480070.3585639372</v>
      </c>
      <c r="Q1096" s="82">
        <f t="shared" si="496"/>
        <v>1158790.1878297171</v>
      </c>
      <c r="R1096" s="82">
        <f t="shared" si="496"/>
        <v>542657.58803853905</v>
      </c>
      <c r="S1096" s="82">
        <f t="shared" si="496"/>
        <v>3149595.5748594347</v>
      </c>
      <c r="T1096" s="82">
        <f t="shared" si="496"/>
        <v>29826.011810412863</v>
      </c>
      <c r="U1096" s="82">
        <f t="shared" si="496"/>
        <v>67903.627370620365</v>
      </c>
      <c r="V1096" s="82">
        <f t="shared" si="496"/>
        <v>0</v>
      </c>
      <c r="W1096" s="82">
        <f t="shared" si="496"/>
        <v>0</v>
      </c>
      <c r="X1096" s="172">
        <f t="shared" si="496"/>
        <v>0</v>
      </c>
      <c r="Y1096" s="172">
        <f t="shared" si="496"/>
        <v>0</v>
      </c>
      <c r="Z1096" s="172">
        <f t="shared" si="496"/>
        <v>0</v>
      </c>
      <c r="AA1096" s="170">
        <f>SUM(G1096:Z1096)</f>
        <v>220080914.45930412</v>
      </c>
      <c r="AB1096" s="167" t="str">
        <f>IF(ABS(F1096-AA1096)&lt;0.01,"ok","err")</f>
        <v>ok</v>
      </c>
    </row>
    <row r="1097" spans="1:29" s="168" customFormat="1">
      <c r="A1097" s="60" t="s">
        <v>857</v>
      </c>
      <c r="B1097" s="60"/>
      <c r="C1097" s="60"/>
      <c r="D1097" s="60"/>
      <c r="E1097" s="60"/>
      <c r="F1097" s="79">
        <v>965204065.29999995</v>
      </c>
      <c r="G1097" s="79">
        <f>'Billing Det'!$F$8</f>
        <v>379200073</v>
      </c>
      <c r="H1097" s="79">
        <f>'Billing Det'!$F$10</f>
        <v>135825835</v>
      </c>
      <c r="I1097" s="79"/>
      <c r="J1097" s="79">
        <f>'Billing Det'!$F$12</f>
        <v>11517853</v>
      </c>
      <c r="K1097" s="79">
        <f>'Billing Det'!$F$14</f>
        <v>151571212</v>
      </c>
      <c r="L1097" s="79">
        <v>0</v>
      </c>
      <c r="M1097" s="79">
        <v>0</v>
      </c>
      <c r="N1097" s="79">
        <f>'Billing Det'!$F$16</f>
        <v>116918595</v>
      </c>
      <c r="O1097" s="79">
        <f>'Billing Det'!$F$18</f>
        <v>77629237</v>
      </c>
      <c r="P1097" s="79">
        <f>'Billing Det'!$F$20</f>
        <v>64284636</v>
      </c>
      <c r="Q1097" s="79">
        <f>'Billing Det'!$F$22</f>
        <v>6341748</v>
      </c>
      <c r="R1097" s="79">
        <f>'Billing Det'!$F$24</f>
        <v>3292762</v>
      </c>
      <c r="S1097" s="79">
        <f>'Billing Det'!$F$26</f>
        <v>18141167.300000001</v>
      </c>
      <c r="T1097" s="79">
        <f>'Billing Det'!$F$28</f>
        <v>210819</v>
      </c>
      <c r="U1097" s="79">
        <f>'Billing Det'!$F$30</f>
        <v>270128</v>
      </c>
      <c r="V1097" s="79">
        <v>0</v>
      </c>
      <c r="W1097" s="79">
        <v>0</v>
      </c>
      <c r="X1097" s="164">
        <v>0</v>
      </c>
      <c r="Y1097" s="164">
        <v>0</v>
      </c>
      <c r="Z1097" s="164">
        <v>0</v>
      </c>
      <c r="AA1097" s="164">
        <f>SUM(G1097:Z1097)</f>
        <v>965204065.29999995</v>
      </c>
      <c r="AB1097" s="167" t="str">
        <f>IF(ABS(F1097-AA1097)&lt;0.01,"ok","err")</f>
        <v>ok</v>
      </c>
    </row>
    <row r="1098" spans="1:29" s="168" customFormat="1">
      <c r="A1098" s="60"/>
      <c r="B1098" s="60"/>
      <c r="C1098" s="60"/>
      <c r="D1098" s="60"/>
      <c r="E1098" s="60"/>
      <c r="F1098" s="110"/>
      <c r="G1098" s="83"/>
      <c r="H1098" s="83"/>
      <c r="I1098" s="83"/>
      <c r="J1098" s="83"/>
      <c r="K1098" s="83"/>
      <c r="L1098" s="83"/>
      <c r="M1098" s="83"/>
      <c r="N1098" s="83"/>
      <c r="O1098" s="83"/>
      <c r="P1098" s="83"/>
      <c r="Q1098" s="83"/>
      <c r="R1098" s="83"/>
      <c r="S1098" s="83"/>
      <c r="T1098" s="83"/>
      <c r="U1098" s="83"/>
      <c r="V1098" s="83"/>
      <c r="W1098" s="83"/>
      <c r="X1098" s="171"/>
      <c r="Y1098" s="171"/>
      <c r="Z1098" s="171"/>
      <c r="AA1098" s="171"/>
      <c r="AB1098" s="167"/>
    </row>
    <row r="1099" spans="1:29" s="60" customFormat="1" ht="15">
      <c r="A1099" s="65" t="s">
        <v>880</v>
      </c>
      <c r="F1099" s="110"/>
      <c r="G1099" s="110"/>
      <c r="H1099" s="110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  <c r="W1099" s="110"/>
      <c r="X1099" s="110"/>
      <c r="Y1099" s="110"/>
      <c r="Z1099" s="110"/>
      <c r="AA1099" s="283"/>
      <c r="AB1099" s="93"/>
    </row>
    <row r="1100" spans="1:29" s="60" customFormat="1">
      <c r="A1100" s="60" t="s">
        <v>881</v>
      </c>
      <c r="F1100" s="79">
        <f>SUM(G1100:Z1100)</f>
        <v>799607.4418604651</v>
      </c>
      <c r="G1100" s="110"/>
      <c r="H1100" s="110"/>
      <c r="I1100" s="110"/>
      <c r="J1100" s="110"/>
      <c r="K1100" s="79"/>
      <c r="L1100" s="110"/>
      <c r="M1100" s="79"/>
      <c r="N1100" s="79"/>
      <c r="O1100" s="79"/>
      <c r="P1100" s="79">
        <f>P1102/P1101</f>
        <v>799607.4418604651</v>
      </c>
      <c r="Q1100" s="110"/>
      <c r="R1100" s="110"/>
      <c r="S1100" s="110"/>
      <c r="T1100" s="110"/>
      <c r="U1100" s="110"/>
      <c r="V1100" s="110"/>
      <c r="W1100" s="110"/>
      <c r="X1100" s="110"/>
      <c r="Y1100" s="110"/>
      <c r="Z1100" s="110"/>
      <c r="AA1100" s="283"/>
      <c r="AB1100" s="93"/>
    </row>
    <row r="1101" spans="1:29" s="60" customFormat="1">
      <c r="A1101" s="60" t="s">
        <v>882</v>
      </c>
      <c r="F1101" s="79"/>
      <c r="G1101" s="110"/>
      <c r="H1101" s="110"/>
      <c r="I1101" s="110"/>
      <c r="J1101" s="110"/>
      <c r="K1101" s="294"/>
      <c r="L1101" s="110"/>
      <c r="M1101" s="294"/>
      <c r="N1101" s="294"/>
      <c r="O1101" s="294"/>
      <c r="P1101" s="294">
        <v>4.3</v>
      </c>
      <c r="Q1101" s="110"/>
      <c r="R1101" s="110"/>
      <c r="S1101" s="110"/>
      <c r="T1101" s="110"/>
      <c r="U1101" s="110"/>
      <c r="V1101" s="110"/>
      <c r="W1101" s="110"/>
      <c r="X1101" s="110"/>
      <c r="Y1101" s="110"/>
      <c r="Z1101" s="110"/>
      <c r="AA1101" s="283"/>
      <c r="AB1101" s="93"/>
    </row>
    <row r="1102" spans="1:29" s="60" customFormat="1">
      <c r="A1102" s="60" t="s">
        <v>883</v>
      </c>
      <c r="F1102" s="79">
        <f>SUM(G1102:Z1102)</f>
        <v>3438312</v>
      </c>
      <c r="G1102" s="110"/>
      <c r="H1102" s="110"/>
      <c r="I1102" s="110"/>
      <c r="J1102" s="110"/>
      <c r="K1102" s="79"/>
      <c r="L1102" s="110"/>
      <c r="M1102" s="79"/>
      <c r="N1102" s="79"/>
      <c r="O1102" s="79"/>
      <c r="P1102" s="79">
        <f>3438312</f>
        <v>3438312</v>
      </c>
      <c r="Q1102" s="110"/>
      <c r="R1102" s="110"/>
      <c r="S1102" s="110"/>
      <c r="T1102" s="110"/>
      <c r="U1102" s="110"/>
      <c r="V1102" s="110"/>
      <c r="W1102" s="110"/>
      <c r="X1102" s="110"/>
      <c r="Y1102" s="110"/>
      <c r="Z1102" s="110"/>
      <c r="AA1102" s="283"/>
      <c r="AB1102" s="93"/>
    </row>
    <row r="1103" spans="1:29">
      <c r="D1103" s="166"/>
      <c r="F1103" s="79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6"/>
      <c r="S1103" s="76"/>
      <c r="T1103" s="76"/>
      <c r="U1103" s="76"/>
      <c r="V1103" s="76"/>
      <c r="W1103" s="76"/>
      <c r="X1103" s="76"/>
      <c r="Y1103" s="76"/>
      <c r="Z1103" s="76"/>
      <c r="AA1103" s="79"/>
      <c r="AB1103" s="93"/>
      <c r="AC1103" s="75"/>
    </row>
    <row r="1104" spans="1:29" ht="15">
      <c r="A1104" s="139"/>
      <c r="B1104" s="70"/>
      <c r="C1104" s="70"/>
      <c r="D1104" s="70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69"/>
      <c r="Y1104" s="69"/>
      <c r="Z1104" s="69"/>
      <c r="AA1104" s="69"/>
      <c r="AB1104" s="69"/>
    </row>
    <row r="1105" spans="1:28" ht="15">
      <c r="A1105" s="139"/>
      <c r="B1105" s="70"/>
      <c r="C1105" s="70"/>
      <c r="D1105" s="70"/>
      <c r="E1105" s="70"/>
      <c r="F1105" s="70"/>
      <c r="G1105" s="70"/>
      <c r="H1105" s="70"/>
      <c r="I1105" s="70"/>
      <c r="J1105" s="70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69"/>
      <c r="Y1105" s="69"/>
      <c r="Z1105" s="69"/>
      <c r="AA1105" s="69"/>
      <c r="AB1105" s="69"/>
    </row>
    <row r="1106" spans="1:28" ht="15">
      <c r="A1106" s="139"/>
      <c r="B1106" s="70"/>
      <c r="C1106" s="70"/>
      <c r="D1106" s="70"/>
      <c r="E1106" s="70"/>
      <c r="F1106" s="70"/>
      <c r="G1106" s="70"/>
      <c r="H1106" s="70"/>
      <c r="I1106" s="70"/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69"/>
      <c r="Y1106" s="69"/>
      <c r="Z1106" s="69"/>
      <c r="AA1106" s="69"/>
      <c r="AB1106" s="69"/>
    </row>
    <row r="1107" spans="1:28">
      <c r="A1107" s="70"/>
      <c r="B1107" s="70"/>
      <c r="C1107" s="70"/>
      <c r="D1107" s="70"/>
      <c r="E1107" s="70"/>
      <c r="F1107" s="153"/>
      <c r="G1107" s="153"/>
      <c r="H1107" s="153"/>
      <c r="I1107" s="153"/>
      <c r="J1107" s="153"/>
      <c r="K1107" s="153"/>
      <c r="L1107" s="153"/>
      <c r="M1107" s="153"/>
      <c r="N1107" s="153"/>
      <c r="O1107" s="153"/>
      <c r="P1107" s="153"/>
      <c r="Q1107" s="153"/>
      <c r="R1107" s="153"/>
      <c r="S1107" s="153"/>
      <c r="T1107" s="153"/>
      <c r="U1107" s="153"/>
      <c r="V1107" s="153"/>
      <c r="W1107" s="153"/>
      <c r="X1107" s="296"/>
      <c r="Y1107" s="296"/>
      <c r="Z1107" s="296"/>
      <c r="AA1107" s="296"/>
      <c r="AB1107" s="268"/>
    </row>
    <row r="1108" spans="1:28">
      <c r="A1108" s="70"/>
      <c r="B1108" s="70"/>
      <c r="C1108" s="70"/>
      <c r="D1108" s="70"/>
      <c r="E1108" s="70"/>
      <c r="F1108" s="153"/>
      <c r="G1108" s="153"/>
      <c r="H1108" s="153"/>
      <c r="I1108" s="153"/>
      <c r="J1108" s="153"/>
      <c r="K1108" s="153"/>
      <c r="L1108" s="153"/>
      <c r="M1108" s="153"/>
      <c r="N1108" s="153"/>
      <c r="O1108" s="153"/>
      <c r="P1108" s="153"/>
      <c r="Q1108" s="153"/>
      <c r="R1108" s="153"/>
      <c r="S1108" s="153"/>
      <c r="T1108" s="153"/>
      <c r="U1108" s="153"/>
      <c r="V1108" s="153"/>
      <c r="W1108" s="153"/>
      <c r="X1108" s="296"/>
      <c r="Y1108" s="296"/>
      <c r="Z1108" s="296"/>
      <c r="AA1108" s="296"/>
      <c r="AB1108" s="268"/>
    </row>
    <row r="1109" spans="1:28">
      <c r="A1109" s="70"/>
      <c r="B1109" s="70"/>
      <c r="C1109" s="70"/>
      <c r="D1109" s="70"/>
      <c r="E1109" s="70"/>
      <c r="F1109" s="153"/>
      <c r="G1109" s="153"/>
      <c r="H1109" s="153"/>
      <c r="I1109" s="153"/>
      <c r="J1109" s="153"/>
      <c r="K1109" s="153"/>
      <c r="L1109" s="153"/>
      <c r="M1109" s="153"/>
      <c r="N1109" s="153"/>
      <c r="O1109" s="153"/>
      <c r="P1109" s="153"/>
      <c r="Q1109" s="153"/>
      <c r="R1109" s="153"/>
      <c r="S1109" s="153"/>
      <c r="T1109" s="153"/>
      <c r="U1109" s="153"/>
      <c r="V1109" s="153"/>
      <c r="W1109" s="153"/>
      <c r="X1109" s="296"/>
      <c r="Y1109" s="296"/>
      <c r="Z1109" s="296"/>
      <c r="AA1109" s="296"/>
      <c r="AB1109" s="268"/>
    </row>
    <row r="1110" spans="1:28">
      <c r="A1110" s="70"/>
      <c r="B1110" s="70"/>
      <c r="C1110" s="70"/>
      <c r="D1110" s="70"/>
      <c r="E1110" s="70"/>
      <c r="F1110" s="153"/>
      <c r="G1110" s="153"/>
      <c r="H1110" s="153"/>
      <c r="I1110" s="153"/>
      <c r="J1110" s="153"/>
      <c r="K1110" s="153"/>
      <c r="L1110" s="153"/>
      <c r="M1110" s="153"/>
      <c r="N1110" s="153"/>
      <c r="O1110" s="153"/>
      <c r="P1110" s="153"/>
      <c r="Q1110" s="153"/>
      <c r="R1110" s="153"/>
      <c r="S1110" s="153"/>
      <c r="T1110" s="153"/>
      <c r="U1110" s="153"/>
      <c r="V1110" s="153"/>
      <c r="W1110" s="153"/>
      <c r="X1110" s="296"/>
      <c r="Y1110" s="296"/>
      <c r="Z1110" s="296"/>
      <c r="AA1110" s="296"/>
      <c r="AB1110" s="268"/>
    </row>
    <row r="1111" spans="1:28">
      <c r="A1111" s="70"/>
      <c r="B1111" s="70"/>
      <c r="C1111" s="70"/>
      <c r="D1111" s="70"/>
      <c r="E1111" s="70"/>
      <c r="F1111" s="153"/>
      <c r="G1111" s="153"/>
      <c r="H1111" s="153"/>
      <c r="I1111" s="153"/>
      <c r="J1111" s="153"/>
      <c r="K1111" s="153"/>
      <c r="L1111" s="153"/>
      <c r="M1111" s="153"/>
      <c r="N1111" s="153"/>
      <c r="O1111" s="153"/>
      <c r="P1111" s="153"/>
      <c r="Q1111" s="153"/>
      <c r="R1111" s="153"/>
      <c r="S1111" s="153"/>
      <c r="T1111" s="153"/>
      <c r="U1111" s="153"/>
      <c r="V1111" s="153"/>
      <c r="W1111" s="153"/>
      <c r="X1111" s="296"/>
      <c r="Y1111" s="296"/>
      <c r="Z1111" s="296"/>
      <c r="AA1111" s="296"/>
      <c r="AB1111" s="268"/>
    </row>
    <row r="1112" spans="1:28">
      <c r="A1112" s="70"/>
      <c r="B1112" s="70"/>
      <c r="C1112" s="70"/>
      <c r="D1112" s="70"/>
      <c r="E1112" s="70"/>
      <c r="F1112" s="153"/>
      <c r="G1112" s="153"/>
      <c r="H1112" s="153"/>
      <c r="I1112" s="153"/>
      <c r="J1112" s="153"/>
      <c r="K1112" s="153"/>
      <c r="L1112" s="153"/>
      <c r="M1112" s="153"/>
      <c r="N1112" s="153"/>
      <c r="O1112" s="153"/>
      <c r="P1112" s="153"/>
      <c r="Q1112" s="153"/>
      <c r="R1112" s="153"/>
      <c r="S1112" s="153"/>
      <c r="T1112" s="153"/>
      <c r="U1112" s="153"/>
      <c r="V1112" s="153"/>
      <c r="W1112" s="153"/>
      <c r="X1112" s="296"/>
      <c r="Y1112" s="296"/>
      <c r="Z1112" s="296"/>
      <c r="AA1112" s="296"/>
      <c r="AB1112" s="268"/>
    </row>
    <row r="1113" spans="1:28">
      <c r="A1113" s="70"/>
      <c r="B1113" s="70"/>
      <c r="C1113" s="70"/>
      <c r="D1113" s="70"/>
      <c r="E1113" s="70"/>
      <c r="F1113" s="153"/>
      <c r="G1113" s="153"/>
      <c r="H1113" s="153"/>
      <c r="I1113" s="153"/>
      <c r="J1113" s="153"/>
      <c r="K1113" s="153"/>
      <c r="L1113" s="153"/>
      <c r="M1113" s="153"/>
      <c r="N1113" s="153"/>
      <c r="O1113" s="153"/>
      <c r="P1113" s="153"/>
      <c r="Q1113" s="153"/>
      <c r="R1113" s="153"/>
      <c r="S1113" s="153"/>
      <c r="T1113" s="153"/>
      <c r="U1113" s="153"/>
      <c r="V1113" s="153"/>
      <c r="W1113" s="153"/>
      <c r="X1113" s="296"/>
      <c r="Y1113" s="296"/>
      <c r="Z1113" s="296"/>
      <c r="AA1113" s="296"/>
      <c r="AB1113" s="268"/>
    </row>
    <row r="1114" spans="1:28">
      <c r="A1114" s="70"/>
      <c r="B1114" s="70"/>
      <c r="C1114" s="70"/>
      <c r="D1114" s="70"/>
      <c r="E1114" s="70"/>
      <c r="F1114" s="153"/>
      <c r="G1114" s="153"/>
      <c r="H1114" s="153"/>
      <c r="I1114" s="153"/>
      <c r="J1114" s="153"/>
      <c r="K1114" s="153"/>
      <c r="L1114" s="153"/>
      <c r="M1114" s="153"/>
      <c r="N1114" s="153"/>
      <c r="O1114" s="153"/>
      <c r="P1114" s="153"/>
      <c r="Q1114" s="153"/>
      <c r="R1114" s="153"/>
      <c r="S1114" s="153"/>
      <c r="T1114" s="153"/>
      <c r="U1114" s="153"/>
      <c r="V1114" s="153"/>
      <c r="W1114" s="153"/>
      <c r="X1114" s="296"/>
      <c r="Y1114" s="296"/>
      <c r="Z1114" s="296"/>
      <c r="AA1114" s="296"/>
      <c r="AB1114" s="268"/>
    </row>
    <row r="1115" spans="1:28">
      <c r="A1115" s="70"/>
      <c r="B1115" s="70"/>
      <c r="C1115" s="70"/>
      <c r="D1115" s="70"/>
      <c r="E1115" s="70"/>
      <c r="F1115" s="297"/>
      <c r="G1115" s="297"/>
      <c r="H1115" s="297"/>
      <c r="I1115" s="297"/>
      <c r="J1115" s="297"/>
      <c r="K1115" s="297"/>
      <c r="L1115" s="297"/>
      <c r="M1115" s="297"/>
      <c r="N1115" s="297"/>
      <c r="O1115" s="297"/>
      <c r="P1115" s="297"/>
      <c r="Q1115" s="297"/>
      <c r="R1115" s="297"/>
      <c r="S1115" s="297"/>
      <c r="T1115" s="297"/>
      <c r="U1115" s="297"/>
      <c r="V1115" s="297"/>
      <c r="W1115" s="297"/>
      <c r="X1115" s="298"/>
      <c r="Y1115" s="298"/>
      <c r="Z1115" s="298"/>
      <c r="AA1115" s="296"/>
      <c r="AB1115" s="268"/>
    </row>
    <row r="1116" spans="1:28">
      <c r="A1116" s="70"/>
      <c r="B1116" s="70"/>
      <c r="C1116" s="70"/>
      <c r="D1116" s="70"/>
      <c r="E1116" s="299"/>
      <c r="F1116" s="153"/>
      <c r="G1116" s="153"/>
      <c r="H1116" s="153"/>
      <c r="I1116" s="153"/>
      <c r="J1116" s="153"/>
      <c r="K1116" s="153"/>
      <c r="L1116" s="153"/>
      <c r="M1116" s="153"/>
      <c r="N1116" s="153"/>
      <c r="O1116" s="153"/>
      <c r="P1116" s="153"/>
      <c r="Q1116" s="153"/>
      <c r="R1116" s="153"/>
      <c r="S1116" s="153"/>
      <c r="T1116" s="153"/>
      <c r="U1116" s="153"/>
      <c r="V1116" s="153"/>
      <c r="W1116" s="153"/>
      <c r="X1116" s="296"/>
      <c r="Y1116" s="296"/>
      <c r="Z1116" s="296"/>
      <c r="AA1116" s="296"/>
      <c r="AB1116" s="268"/>
    </row>
    <row r="1117" spans="1:28">
      <c r="A1117" s="70"/>
      <c r="B1117" s="70"/>
      <c r="C1117" s="70"/>
      <c r="D1117" s="70"/>
      <c r="E1117" s="70"/>
      <c r="F1117" s="153"/>
      <c r="G1117" s="70"/>
      <c r="H1117" s="70"/>
      <c r="I1117" s="70"/>
      <c r="J1117" s="70"/>
      <c r="K1117" s="70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69"/>
      <c r="Y1117" s="69"/>
      <c r="Z1117" s="69"/>
      <c r="AA1117" s="69"/>
      <c r="AB1117" s="69"/>
    </row>
    <row r="1118" spans="1:28" ht="15">
      <c r="A1118" s="139"/>
      <c r="B1118" s="70"/>
      <c r="C1118" s="70"/>
      <c r="D1118" s="70"/>
      <c r="E1118" s="300"/>
      <c r="F1118" s="153"/>
      <c r="G1118" s="70"/>
      <c r="H1118" s="70"/>
      <c r="I1118" s="70"/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69"/>
      <c r="Y1118" s="69"/>
      <c r="Z1118" s="69"/>
      <c r="AA1118" s="69"/>
      <c r="AB1118" s="69"/>
    </row>
    <row r="1119" spans="1:28">
      <c r="A1119" s="70"/>
      <c r="B1119" s="70"/>
      <c r="C1119" s="70"/>
      <c r="D1119" s="70"/>
      <c r="E1119" s="299"/>
      <c r="F1119" s="219"/>
      <c r="G1119" s="153"/>
      <c r="H1119" s="153"/>
      <c r="I1119" s="153"/>
      <c r="J1119" s="153"/>
      <c r="K1119" s="153"/>
      <c r="L1119" s="153"/>
      <c r="M1119" s="153"/>
      <c r="N1119" s="153"/>
      <c r="O1119" s="153"/>
      <c r="P1119" s="153"/>
      <c r="Q1119" s="153"/>
      <c r="R1119" s="153"/>
      <c r="S1119" s="153"/>
      <c r="T1119" s="153"/>
      <c r="U1119" s="153"/>
      <c r="V1119" s="153"/>
      <c r="W1119" s="153"/>
      <c r="X1119" s="296"/>
      <c r="Y1119" s="296"/>
      <c r="Z1119" s="296"/>
      <c r="AA1119" s="296"/>
      <c r="AB1119" s="268"/>
    </row>
    <row r="1120" spans="1:28">
      <c r="A1120" s="70"/>
      <c r="B1120" s="70"/>
      <c r="C1120" s="70"/>
      <c r="D1120" s="70"/>
      <c r="E1120" s="70"/>
      <c r="F1120" s="153"/>
      <c r="G1120" s="153"/>
      <c r="H1120" s="153"/>
      <c r="I1120" s="153"/>
      <c r="J1120" s="153"/>
      <c r="K1120" s="153"/>
      <c r="L1120" s="153"/>
      <c r="M1120" s="153"/>
      <c r="N1120" s="153"/>
      <c r="O1120" s="153"/>
      <c r="P1120" s="153"/>
      <c r="Q1120" s="153"/>
      <c r="R1120" s="153"/>
      <c r="S1120" s="153"/>
      <c r="T1120" s="153"/>
      <c r="U1120" s="153"/>
      <c r="V1120" s="153"/>
      <c r="W1120" s="153"/>
      <c r="X1120" s="296"/>
      <c r="Y1120" s="296"/>
      <c r="Z1120" s="296"/>
      <c r="AA1120" s="296"/>
      <c r="AB1120" s="268"/>
    </row>
    <row r="1121" spans="1:29">
      <c r="A1121" s="70"/>
      <c r="B1121" s="70"/>
      <c r="C1121" s="70"/>
      <c r="D1121" s="70"/>
      <c r="E1121" s="70"/>
      <c r="F1121" s="153"/>
      <c r="G1121" s="153"/>
      <c r="H1121" s="153"/>
      <c r="I1121" s="153"/>
      <c r="J1121" s="153"/>
      <c r="K1121" s="153"/>
      <c r="L1121" s="153"/>
      <c r="M1121" s="153"/>
      <c r="N1121" s="153"/>
      <c r="O1121" s="153"/>
      <c r="P1121" s="153"/>
      <c r="Q1121" s="153"/>
      <c r="R1121" s="153"/>
      <c r="S1121" s="153"/>
      <c r="T1121" s="153"/>
      <c r="U1121" s="153"/>
      <c r="V1121" s="153"/>
      <c r="W1121" s="153"/>
      <c r="X1121" s="296"/>
      <c r="Y1121" s="296"/>
      <c r="Z1121" s="296"/>
      <c r="AA1121" s="296"/>
      <c r="AB1121" s="268"/>
    </row>
    <row r="1122" spans="1:29">
      <c r="A1122" s="70"/>
      <c r="B1122" s="70"/>
      <c r="C1122" s="70"/>
      <c r="D1122" s="70"/>
      <c r="E1122" s="70"/>
      <c r="F1122" s="153"/>
      <c r="G1122" s="153"/>
      <c r="H1122" s="153"/>
      <c r="I1122" s="153"/>
      <c r="J1122" s="153"/>
      <c r="K1122" s="153"/>
      <c r="L1122" s="153"/>
      <c r="M1122" s="153"/>
      <c r="N1122" s="153"/>
      <c r="O1122" s="153"/>
      <c r="P1122" s="153"/>
      <c r="Q1122" s="153"/>
      <c r="R1122" s="153"/>
      <c r="S1122" s="153"/>
      <c r="T1122" s="153"/>
      <c r="U1122" s="153"/>
      <c r="V1122" s="153"/>
      <c r="W1122" s="153"/>
      <c r="X1122" s="296"/>
      <c r="Y1122" s="296"/>
      <c r="Z1122" s="296"/>
      <c r="AA1122" s="296"/>
      <c r="AB1122" s="268"/>
    </row>
    <row r="1123" spans="1:29">
      <c r="A1123" s="70"/>
      <c r="B1123" s="70"/>
      <c r="C1123" s="70"/>
      <c r="D1123" s="70"/>
      <c r="E1123" s="70"/>
      <c r="F1123" s="153"/>
      <c r="G1123" s="153"/>
      <c r="H1123" s="153"/>
      <c r="I1123" s="153"/>
      <c r="J1123" s="153"/>
      <c r="K1123" s="153"/>
      <c r="L1123" s="153"/>
      <c r="M1123" s="153"/>
      <c r="N1123" s="153"/>
      <c r="O1123" s="153"/>
      <c r="P1123" s="153"/>
      <c r="Q1123" s="153"/>
      <c r="R1123" s="153"/>
      <c r="S1123" s="153"/>
      <c r="T1123" s="153"/>
      <c r="U1123" s="153"/>
      <c r="V1123" s="153"/>
      <c r="W1123" s="153"/>
      <c r="X1123" s="296"/>
      <c r="Y1123" s="296"/>
      <c r="Z1123" s="296"/>
      <c r="AA1123" s="296"/>
      <c r="AB1123" s="268"/>
    </row>
    <row r="1124" spans="1:29">
      <c r="A1124" s="70"/>
      <c r="B1124" s="70"/>
      <c r="C1124" s="70"/>
      <c r="D1124" s="70"/>
      <c r="E1124" s="70"/>
      <c r="F1124" s="153"/>
      <c r="G1124" s="153"/>
      <c r="H1124" s="153"/>
      <c r="I1124" s="153"/>
      <c r="J1124" s="153"/>
      <c r="K1124" s="153"/>
      <c r="L1124" s="153"/>
      <c r="M1124" s="153"/>
      <c r="N1124" s="153"/>
      <c r="O1124" s="153"/>
      <c r="P1124" s="153"/>
      <c r="Q1124" s="153"/>
      <c r="R1124" s="153"/>
      <c r="S1124" s="153"/>
      <c r="T1124" s="153"/>
      <c r="U1124" s="153"/>
      <c r="V1124" s="153"/>
      <c r="W1124" s="153"/>
      <c r="X1124" s="296"/>
      <c r="Y1124" s="296"/>
      <c r="Z1124" s="296"/>
      <c r="AA1124" s="296"/>
      <c r="AB1124" s="268"/>
    </row>
    <row r="1125" spans="1:29">
      <c r="A1125" s="70"/>
      <c r="B1125" s="70"/>
      <c r="C1125" s="70"/>
      <c r="D1125" s="70"/>
      <c r="E1125" s="70"/>
      <c r="F1125" s="153"/>
      <c r="G1125" s="153"/>
      <c r="H1125" s="153"/>
      <c r="I1125" s="153"/>
      <c r="J1125" s="153"/>
      <c r="K1125" s="153"/>
      <c r="L1125" s="153"/>
      <c r="M1125" s="153"/>
      <c r="N1125" s="153"/>
      <c r="O1125" s="153"/>
      <c r="P1125" s="153"/>
      <c r="Q1125" s="153"/>
      <c r="R1125" s="153"/>
      <c r="S1125" s="153"/>
      <c r="T1125" s="153"/>
      <c r="U1125" s="153"/>
      <c r="V1125" s="153"/>
      <c r="W1125" s="153"/>
      <c r="X1125" s="296"/>
      <c r="Y1125" s="296"/>
      <c r="Z1125" s="296"/>
      <c r="AA1125" s="296"/>
      <c r="AB1125" s="268"/>
      <c r="AC1125" s="64"/>
    </row>
    <row r="1126" spans="1:29">
      <c r="A1126" s="70"/>
      <c r="B1126" s="70"/>
      <c r="C1126" s="70"/>
      <c r="D1126" s="70"/>
      <c r="E1126" s="70"/>
      <c r="F1126" s="153"/>
      <c r="G1126" s="153"/>
      <c r="H1126" s="153"/>
      <c r="I1126" s="153"/>
      <c r="J1126" s="153"/>
      <c r="K1126" s="153"/>
      <c r="L1126" s="153"/>
      <c r="M1126" s="153"/>
      <c r="N1126" s="153"/>
      <c r="O1126" s="153"/>
      <c r="P1126" s="153"/>
      <c r="Q1126" s="153"/>
      <c r="R1126" s="153"/>
      <c r="S1126" s="153"/>
      <c r="T1126" s="153"/>
      <c r="U1126" s="153"/>
      <c r="V1126" s="153"/>
      <c r="W1126" s="153"/>
      <c r="X1126" s="296"/>
      <c r="Y1126" s="296"/>
      <c r="Z1126" s="296"/>
      <c r="AA1126" s="296"/>
      <c r="AB1126" s="268"/>
    </row>
    <row r="1127" spans="1:29">
      <c r="A1127" s="70"/>
      <c r="B1127" s="70"/>
      <c r="C1127" s="70"/>
      <c r="D1127" s="70"/>
      <c r="E1127" s="70"/>
      <c r="F1127" s="297"/>
      <c r="G1127" s="297"/>
      <c r="H1127" s="297"/>
      <c r="I1127" s="297"/>
      <c r="J1127" s="297"/>
      <c r="K1127" s="297"/>
      <c r="L1127" s="297"/>
      <c r="M1127" s="297"/>
      <c r="N1127" s="297"/>
      <c r="O1127" s="297"/>
      <c r="P1127" s="297"/>
      <c r="Q1127" s="297"/>
      <c r="R1127" s="297"/>
      <c r="S1127" s="297"/>
      <c r="T1127" s="297"/>
      <c r="U1127" s="297"/>
      <c r="V1127" s="297"/>
      <c r="W1127" s="297"/>
      <c r="X1127" s="298"/>
      <c r="Y1127" s="298"/>
      <c r="Z1127" s="298"/>
      <c r="AA1127" s="296"/>
      <c r="AB1127" s="268"/>
    </row>
    <row r="1128" spans="1:29">
      <c r="A1128" s="70"/>
      <c r="B1128" s="70"/>
      <c r="C1128" s="70"/>
      <c r="D1128" s="70"/>
      <c r="E1128" s="70"/>
      <c r="F1128" s="153"/>
      <c r="G1128" s="153"/>
      <c r="H1128" s="153"/>
      <c r="I1128" s="153"/>
      <c r="J1128" s="153"/>
      <c r="K1128" s="153"/>
      <c r="L1128" s="153"/>
      <c r="M1128" s="153"/>
      <c r="N1128" s="153"/>
      <c r="O1128" s="153"/>
      <c r="P1128" s="153"/>
      <c r="Q1128" s="153"/>
      <c r="R1128" s="153"/>
      <c r="S1128" s="153"/>
      <c r="T1128" s="153"/>
      <c r="U1128" s="153"/>
      <c r="V1128" s="153"/>
      <c r="W1128" s="153"/>
      <c r="X1128" s="296"/>
      <c r="Y1128" s="296"/>
      <c r="Z1128" s="296"/>
      <c r="AA1128" s="296"/>
      <c r="AB1128" s="268"/>
      <c r="AC1128" s="44" t="s">
        <v>1360</v>
      </c>
    </row>
    <row r="1129" spans="1:29">
      <c r="A1129" s="70"/>
      <c r="B1129" s="70"/>
      <c r="C1129" s="70"/>
      <c r="D1129" s="70"/>
      <c r="E1129" s="70"/>
      <c r="F1129" s="153"/>
      <c r="G1129" s="70"/>
      <c r="H1129" s="70"/>
      <c r="I1129" s="70"/>
      <c r="J1129" s="70"/>
      <c r="K1129" s="70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69"/>
      <c r="Y1129" s="69"/>
      <c r="Z1129" s="69"/>
      <c r="AA1129" s="69"/>
      <c r="AB1129" s="69"/>
    </row>
    <row r="1130" spans="1:29">
      <c r="A1130" s="70"/>
      <c r="B1130" s="70"/>
      <c r="C1130" s="70"/>
      <c r="D1130" s="70"/>
      <c r="E1130" s="70"/>
      <c r="F1130" s="153"/>
      <c r="G1130" s="70"/>
      <c r="H1130" s="70"/>
      <c r="I1130" s="70"/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69"/>
      <c r="Y1130" s="69"/>
      <c r="Z1130" s="69"/>
      <c r="AA1130" s="69"/>
      <c r="AB1130" s="69"/>
    </row>
    <row r="1131" spans="1:29" ht="15">
      <c r="A1131" s="139"/>
      <c r="B1131" s="70"/>
      <c r="C1131" s="70"/>
      <c r="D1131" s="70"/>
      <c r="E1131" s="70"/>
      <c r="F1131" s="153"/>
      <c r="G1131" s="153"/>
      <c r="H1131" s="70"/>
      <c r="I1131" s="70"/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69"/>
      <c r="Y1131" s="69"/>
      <c r="Z1131" s="69"/>
      <c r="AA1131" s="69"/>
      <c r="AB1131" s="69"/>
    </row>
    <row r="1132" spans="1:29">
      <c r="A1132" s="70"/>
      <c r="B1132" s="70"/>
      <c r="C1132" s="70"/>
      <c r="D1132" s="70"/>
      <c r="E1132" s="70"/>
      <c r="F1132" s="153"/>
      <c r="G1132" s="153"/>
      <c r="H1132" s="153"/>
      <c r="I1132" s="153"/>
      <c r="J1132" s="153"/>
      <c r="K1132" s="153"/>
      <c r="L1132" s="153"/>
      <c r="M1132" s="153"/>
      <c r="N1132" s="153"/>
      <c r="O1132" s="153"/>
      <c r="P1132" s="153"/>
      <c r="Q1132" s="153"/>
      <c r="R1132" s="153"/>
      <c r="S1132" s="153"/>
      <c r="T1132" s="153"/>
      <c r="U1132" s="153"/>
      <c r="V1132" s="153"/>
      <c r="W1132" s="153"/>
      <c r="X1132" s="153"/>
      <c r="Y1132" s="153"/>
      <c r="Z1132" s="153"/>
      <c r="AA1132" s="296"/>
      <c r="AB1132" s="268"/>
    </row>
    <row r="1133" spans="1:29">
      <c r="A1133" s="70"/>
      <c r="B1133" s="70"/>
      <c r="C1133" s="70"/>
      <c r="D1133" s="70"/>
      <c r="E1133" s="70"/>
      <c r="F1133" s="153"/>
      <c r="G1133" s="153"/>
      <c r="H1133" s="153"/>
      <c r="I1133" s="153"/>
      <c r="J1133" s="153"/>
      <c r="K1133" s="153"/>
      <c r="L1133" s="153"/>
      <c r="M1133" s="153"/>
      <c r="N1133" s="153"/>
      <c r="O1133" s="153"/>
      <c r="P1133" s="153"/>
      <c r="Q1133" s="153"/>
      <c r="R1133" s="153"/>
      <c r="S1133" s="153"/>
      <c r="T1133" s="153"/>
      <c r="U1133" s="153"/>
      <c r="V1133" s="153"/>
      <c r="W1133" s="153"/>
      <c r="X1133" s="153"/>
      <c r="Y1133" s="153"/>
      <c r="Z1133" s="153"/>
      <c r="AA1133" s="296"/>
      <c r="AB1133" s="268"/>
    </row>
    <row r="1134" spans="1:29">
      <c r="A1134" s="70"/>
      <c r="B1134" s="70"/>
      <c r="C1134" s="70"/>
      <c r="D1134" s="70"/>
      <c r="E1134" s="70"/>
      <c r="F1134" s="153"/>
      <c r="G1134" s="153"/>
      <c r="H1134" s="153"/>
      <c r="I1134" s="153"/>
      <c r="J1134" s="153"/>
      <c r="K1134" s="153"/>
      <c r="L1134" s="153"/>
      <c r="M1134" s="153"/>
      <c r="N1134" s="153"/>
      <c r="O1134" s="153"/>
      <c r="P1134" s="153"/>
      <c r="Q1134" s="153"/>
      <c r="R1134" s="153"/>
      <c r="S1134" s="153"/>
      <c r="T1134" s="153"/>
      <c r="U1134" s="153"/>
      <c r="V1134" s="153"/>
      <c r="W1134" s="153"/>
      <c r="X1134" s="153"/>
      <c r="Y1134" s="153"/>
      <c r="Z1134" s="153"/>
      <c r="AA1134" s="296"/>
      <c r="AB1134" s="268"/>
    </row>
    <row r="1135" spans="1:29">
      <c r="A1135" s="70"/>
      <c r="B1135" s="70"/>
      <c r="C1135" s="70"/>
      <c r="D1135" s="70"/>
      <c r="E1135" s="70"/>
      <c r="F1135" s="153"/>
      <c r="G1135" s="153"/>
      <c r="H1135" s="153"/>
      <c r="I1135" s="153"/>
      <c r="J1135" s="153"/>
      <c r="K1135" s="153"/>
      <c r="L1135" s="153"/>
      <c r="M1135" s="153"/>
      <c r="N1135" s="153"/>
      <c r="O1135" s="153"/>
      <c r="P1135" s="153"/>
      <c r="Q1135" s="153"/>
      <c r="R1135" s="153"/>
      <c r="S1135" s="153"/>
      <c r="T1135" s="153"/>
      <c r="U1135" s="153"/>
      <c r="V1135" s="153"/>
      <c r="W1135" s="153"/>
      <c r="X1135" s="153"/>
      <c r="Y1135" s="153"/>
      <c r="Z1135" s="153"/>
      <c r="AA1135" s="296"/>
      <c r="AB1135" s="268"/>
    </row>
    <row r="1136" spans="1:29">
      <c r="A1136" s="70"/>
      <c r="B1136" s="70"/>
      <c r="C1136" s="70"/>
      <c r="D1136" s="70"/>
      <c r="E1136" s="70"/>
      <c r="F1136" s="153"/>
      <c r="G1136" s="153"/>
      <c r="H1136" s="153"/>
      <c r="I1136" s="153"/>
      <c r="J1136" s="153"/>
      <c r="K1136" s="153"/>
      <c r="L1136" s="153"/>
      <c r="M1136" s="153"/>
      <c r="N1136" s="153"/>
      <c r="O1136" s="153"/>
      <c r="P1136" s="153"/>
      <c r="Q1136" s="153"/>
      <c r="R1136" s="153"/>
      <c r="S1136" s="153"/>
      <c r="T1136" s="153"/>
      <c r="U1136" s="153"/>
      <c r="V1136" s="153"/>
      <c r="W1136" s="153"/>
      <c r="X1136" s="153"/>
      <c r="Y1136" s="153"/>
      <c r="Z1136" s="153"/>
      <c r="AA1136" s="296"/>
      <c r="AB1136" s="268"/>
    </row>
    <row r="1137" spans="1:28">
      <c r="A1137" s="70"/>
      <c r="B1137" s="70"/>
      <c r="C1137" s="70"/>
      <c r="D1137" s="70"/>
      <c r="E1137" s="70"/>
      <c r="F1137" s="153"/>
      <c r="G1137" s="153"/>
      <c r="H1137" s="153"/>
      <c r="I1137" s="153"/>
      <c r="J1137" s="153"/>
      <c r="K1137" s="153"/>
      <c r="L1137" s="153"/>
      <c r="M1137" s="153"/>
      <c r="N1137" s="153"/>
      <c r="O1137" s="153"/>
      <c r="P1137" s="153"/>
      <c r="Q1137" s="153"/>
      <c r="R1137" s="153"/>
      <c r="S1137" s="153"/>
      <c r="T1137" s="153"/>
      <c r="U1137" s="153"/>
      <c r="V1137" s="153"/>
      <c r="W1137" s="153"/>
      <c r="X1137" s="153"/>
      <c r="Y1137" s="153"/>
      <c r="Z1137" s="153"/>
      <c r="AA1137" s="296"/>
      <c r="AB1137" s="268"/>
    </row>
    <row r="1138" spans="1:28">
      <c r="A1138" s="70"/>
      <c r="B1138" s="70"/>
      <c r="C1138" s="70"/>
      <c r="D1138" s="70"/>
      <c r="E1138" s="70"/>
      <c r="F1138" s="153"/>
      <c r="G1138" s="153"/>
      <c r="H1138" s="153"/>
      <c r="I1138" s="153"/>
      <c r="J1138" s="153"/>
      <c r="K1138" s="153"/>
      <c r="L1138" s="153"/>
      <c r="M1138" s="153"/>
      <c r="N1138" s="153"/>
      <c r="O1138" s="153"/>
      <c r="P1138" s="153"/>
      <c r="Q1138" s="153"/>
      <c r="R1138" s="153"/>
      <c r="S1138" s="153"/>
      <c r="T1138" s="153"/>
      <c r="U1138" s="153"/>
      <c r="V1138" s="153"/>
      <c r="W1138" s="153"/>
      <c r="X1138" s="153"/>
      <c r="Y1138" s="153"/>
      <c r="Z1138" s="153"/>
      <c r="AA1138" s="296"/>
      <c r="AB1138" s="268"/>
    </row>
    <row r="1139" spans="1:28">
      <c r="A1139" s="70"/>
      <c r="B1139" s="70"/>
      <c r="C1139" s="70"/>
      <c r="D1139" s="70"/>
      <c r="E1139" s="70"/>
      <c r="F1139" s="153"/>
      <c r="G1139" s="153"/>
      <c r="H1139" s="153"/>
      <c r="I1139" s="153"/>
      <c r="J1139" s="153"/>
      <c r="K1139" s="153"/>
      <c r="L1139" s="153"/>
      <c r="M1139" s="153"/>
      <c r="N1139" s="153"/>
      <c r="O1139" s="153"/>
      <c r="P1139" s="153"/>
      <c r="Q1139" s="153"/>
      <c r="R1139" s="153"/>
      <c r="S1139" s="153"/>
      <c r="T1139" s="153"/>
      <c r="U1139" s="153"/>
      <c r="V1139" s="153"/>
      <c r="W1139" s="153"/>
      <c r="X1139" s="153"/>
      <c r="Y1139" s="153"/>
      <c r="Z1139" s="153"/>
      <c r="AA1139" s="296"/>
      <c r="AB1139" s="268"/>
    </row>
    <row r="1140" spans="1:28">
      <c r="A1140" s="70"/>
      <c r="B1140" s="70"/>
      <c r="C1140" s="70"/>
      <c r="D1140" s="70"/>
      <c r="E1140" s="70"/>
      <c r="F1140" s="297"/>
      <c r="G1140" s="297"/>
      <c r="H1140" s="297"/>
      <c r="I1140" s="297"/>
      <c r="J1140" s="297"/>
      <c r="K1140" s="297"/>
      <c r="L1140" s="297"/>
      <c r="M1140" s="297"/>
      <c r="N1140" s="297"/>
      <c r="O1140" s="297"/>
      <c r="P1140" s="297"/>
      <c r="Q1140" s="297"/>
      <c r="R1140" s="297"/>
      <c r="S1140" s="297"/>
      <c r="T1140" s="297"/>
      <c r="U1140" s="297"/>
      <c r="V1140" s="297"/>
      <c r="W1140" s="297"/>
      <c r="X1140" s="297"/>
      <c r="Y1140" s="297"/>
      <c r="Z1140" s="297"/>
      <c r="AA1140" s="296"/>
      <c r="AB1140" s="268"/>
    </row>
    <row r="1141" spans="1:28">
      <c r="A1141" s="70"/>
      <c r="B1141" s="70"/>
      <c r="C1141" s="70"/>
      <c r="D1141" s="70"/>
      <c r="E1141" s="70"/>
      <c r="F1141" s="153"/>
      <c r="G1141" s="153"/>
      <c r="H1141" s="153"/>
      <c r="I1141" s="153"/>
      <c r="J1141" s="153"/>
      <c r="K1141" s="153"/>
      <c r="L1141" s="153"/>
      <c r="M1141" s="153"/>
      <c r="N1141" s="153"/>
      <c r="O1141" s="153"/>
      <c r="P1141" s="153"/>
      <c r="Q1141" s="153"/>
      <c r="R1141" s="153"/>
      <c r="S1141" s="153"/>
      <c r="T1141" s="153"/>
      <c r="U1141" s="153"/>
      <c r="V1141" s="153"/>
      <c r="W1141" s="153"/>
      <c r="X1141" s="153"/>
      <c r="Y1141" s="153"/>
      <c r="Z1141" s="153"/>
      <c r="AA1141" s="296"/>
      <c r="AB1141" s="268"/>
    </row>
    <row r="1142" spans="1:28">
      <c r="A1142" s="70"/>
      <c r="B1142" s="70"/>
      <c r="C1142" s="70"/>
      <c r="D1142" s="70"/>
      <c r="E1142" s="70"/>
      <c r="F1142" s="153"/>
      <c r="G1142" s="70"/>
      <c r="H1142" s="70"/>
      <c r="I1142" s="70"/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69"/>
      <c r="Y1142" s="69"/>
      <c r="Z1142" s="69"/>
      <c r="AA1142" s="69"/>
      <c r="AB1142" s="69"/>
    </row>
    <row r="1143" spans="1:28">
      <c r="A1143" s="70"/>
      <c r="B1143" s="70"/>
      <c r="C1143" s="70"/>
      <c r="D1143" s="70"/>
      <c r="E1143" s="70"/>
      <c r="F1143" s="153"/>
      <c r="G1143" s="70"/>
      <c r="H1143" s="70"/>
      <c r="I1143" s="70"/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69"/>
      <c r="Y1143" s="69"/>
      <c r="Z1143" s="69"/>
      <c r="AA1143" s="69"/>
      <c r="AB1143" s="69"/>
    </row>
    <row r="1144" spans="1:28" ht="15">
      <c r="A1144" s="139"/>
      <c r="B1144" s="70"/>
      <c r="C1144" s="70"/>
      <c r="D1144" s="70"/>
      <c r="E1144" s="70"/>
      <c r="F1144" s="219"/>
      <c r="G1144" s="70"/>
      <c r="H1144" s="70"/>
      <c r="I1144" s="70"/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69"/>
      <c r="Y1144" s="69"/>
      <c r="Z1144" s="69"/>
      <c r="AA1144" s="69"/>
      <c r="AB1144" s="69"/>
    </row>
    <row r="1145" spans="1:28">
      <c r="A1145" s="70"/>
      <c r="B1145" s="70"/>
      <c r="C1145" s="70"/>
      <c r="D1145" s="70"/>
      <c r="E1145" s="70"/>
      <c r="F1145" s="70"/>
      <c r="G1145" s="162"/>
      <c r="H1145" s="162"/>
      <c r="I1145" s="301"/>
      <c r="J1145" s="301"/>
      <c r="K1145" s="301"/>
      <c r="L1145" s="301"/>
      <c r="M1145" s="301"/>
      <c r="N1145" s="301"/>
      <c r="O1145" s="301"/>
      <c r="P1145" s="301"/>
      <c r="Q1145" s="301"/>
      <c r="R1145" s="301"/>
      <c r="S1145" s="302"/>
      <c r="T1145" s="302"/>
      <c r="U1145" s="302"/>
      <c r="V1145" s="301"/>
      <c r="W1145" s="301"/>
      <c r="X1145" s="303"/>
      <c r="Y1145" s="303"/>
      <c r="Z1145" s="303"/>
      <c r="AA1145" s="69"/>
      <c r="AB1145" s="69"/>
    </row>
    <row r="1146" spans="1:28" s="60" customFormat="1">
      <c r="A1146" s="70"/>
      <c r="B1146" s="70"/>
      <c r="C1146" s="70"/>
      <c r="D1146" s="70"/>
      <c r="E1146" s="70"/>
      <c r="F1146" s="70"/>
      <c r="G1146" s="162"/>
      <c r="H1146" s="162"/>
      <c r="I1146" s="301"/>
      <c r="J1146" s="301"/>
      <c r="K1146" s="301"/>
      <c r="L1146" s="301"/>
      <c r="M1146" s="301"/>
      <c r="N1146" s="301"/>
      <c r="O1146" s="301"/>
      <c r="P1146" s="301"/>
      <c r="Q1146" s="301"/>
      <c r="R1146" s="301"/>
      <c r="S1146" s="302"/>
      <c r="T1146" s="302"/>
      <c r="U1146" s="302"/>
      <c r="V1146" s="301"/>
      <c r="W1146" s="301"/>
      <c r="X1146" s="70"/>
      <c r="Y1146" s="70"/>
      <c r="Z1146" s="70"/>
      <c r="AA1146" s="70"/>
      <c r="AB1146" s="70"/>
    </row>
    <row r="1147" spans="1:28" s="60" customFormat="1">
      <c r="A1147" s="70"/>
      <c r="B1147" s="70"/>
      <c r="C1147" s="70"/>
      <c r="D1147" s="70"/>
      <c r="E1147" s="70"/>
      <c r="F1147" s="70"/>
      <c r="G1147" s="304"/>
      <c r="H1147" s="304"/>
      <c r="I1147" s="301"/>
      <c r="J1147" s="301"/>
      <c r="K1147" s="301"/>
      <c r="L1147" s="301"/>
      <c r="M1147" s="301"/>
      <c r="N1147" s="301"/>
      <c r="O1147" s="301"/>
      <c r="P1147" s="301"/>
      <c r="Q1147" s="301"/>
      <c r="R1147" s="301"/>
      <c r="S1147" s="302"/>
      <c r="T1147" s="302"/>
      <c r="U1147" s="302"/>
      <c r="V1147" s="301"/>
      <c r="W1147" s="301"/>
      <c r="X1147" s="70"/>
      <c r="Y1147" s="70"/>
      <c r="Z1147" s="70"/>
      <c r="AA1147" s="70"/>
      <c r="AB1147" s="70"/>
    </row>
    <row r="1148" spans="1:28" s="60" customFormat="1">
      <c r="A1148" s="70"/>
      <c r="B1148" s="70"/>
      <c r="C1148" s="70"/>
      <c r="D1148" s="70"/>
      <c r="E1148" s="70"/>
      <c r="F1148" s="70"/>
      <c r="G1148" s="162"/>
      <c r="H1148" s="162"/>
      <c r="I1148" s="301"/>
      <c r="J1148" s="301"/>
      <c r="K1148" s="301"/>
      <c r="L1148" s="301"/>
      <c r="M1148" s="301"/>
      <c r="N1148" s="301"/>
      <c r="O1148" s="301"/>
      <c r="P1148" s="301"/>
      <c r="Q1148" s="301"/>
      <c r="R1148" s="301"/>
      <c r="S1148" s="302"/>
      <c r="T1148" s="302"/>
      <c r="U1148" s="302"/>
      <c r="V1148" s="301"/>
      <c r="W1148" s="301"/>
      <c r="X1148" s="70"/>
      <c r="Y1148" s="70"/>
      <c r="Z1148" s="70"/>
      <c r="AA1148" s="70"/>
      <c r="AB1148" s="70"/>
    </row>
    <row r="1149" spans="1:28" s="60" customFormat="1">
      <c r="A1149" s="70"/>
      <c r="B1149" s="70"/>
      <c r="C1149" s="70"/>
      <c r="D1149" s="70"/>
      <c r="E1149" s="70"/>
      <c r="F1149" s="70"/>
      <c r="G1149" s="162"/>
      <c r="H1149" s="162"/>
      <c r="I1149" s="301"/>
      <c r="J1149" s="301"/>
      <c r="K1149" s="301"/>
      <c r="L1149" s="301"/>
      <c r="M1149" s="301"/>
      <c r="N1149" s="301"/>
      <c r="O1149" s="301"/>
      <c r="P1149" s="301"/>
      <c r="Q1149" s="301"/>
      <c r="R1149" s="301"/>
      <c r="S1149" s="302"/>
      <c r="T1149" s="302"/>
      <c r="U1149" s="302"/>
      <c r="V1149" s="301"/>
      <c r="W1149" s="301"/>
      <c r="X1149" s="70"/>
      <c r="Y1149" s="70"/>
      <c r="Z1149" s="70"/>
      <c r="AA1149" s="70"/>
      <c r="AB1149" s="70"/>
    </row>
    <row r="1150" spans="1:28" s="60" customFormat="1">
      <c r="A1150" s="70"/>
      <c r="B1150" s="70"/>
      <c r="C1150" s="70"/>
      <c r="D1150" s="70"/>
      <c r="E1150" s="70"/>
      <c r="F1150" s="70"/>
      <c r="G1150" s="304"/>
      <c r="H1150" s="304"/>
      <c r="I1150" s="301"/>
      <c r="J1150" s="301"/>
      <c r="K1150" s="301"/>
      <c r="L1150" s="301"/>
      <c r="M1150" s="301"/>
      <c r="N1150" s="301"/>
      <c r="O1150" s="301"/>
      <c r="P1150" s="301"/>
      <c r="Q1150" s="301"/>
      <c r="R1150" s="301"/>
      <c r="S1150" s="302"/>
      <c r="T1150" s="302"/>
      <c r="U1150" s="302"/>
      <c r="V1150" s="301"/>
      <c r="W1150" s="301"/>
      <c r="X1150" s="70"/>
      <c r="Y1150" s="70"/>
      <c r="Z1150" s="70"/>
      <c r="AA1150" s="70"/>
      <c r="AB1150" s="70"/>
    </row>
    <row r="1151" spans="1:28">
      <c r="A1151" s="70"/>
      <c r="B1151" s="70"/>
      <c r="C1151" s="70"/>
      <c r="D1151" s="70"/>
      <c r="E1151" s="70"/>
      <c r="F1151" s="70"/>
      <c r="G1151" s="162"/>
      <c r="H1151" s="162"/>
      <c r="I1151" s="70"/>
      <c r="J1151" s="70"/>
      <c r="K1151" s="70"/>
      <c r="L1151" s="70"/>
      <c r="M1151" s="70"/>
      <c r="N1151" s="70"/>
      <c r="O1151" s="70"/>
      <c r="P1151" s="70"/>
      <c r="Q1151" s="70"/>
      <c r="R1151" s="70"/>
      <c r="S1151" s="302"/>
      <c r="T1151" s="302"/>
      <c r="U1151" s="302"/>
      <c r="V1151" s="70"/>
      <c r="W1151" s="70"/>
      <c r="X1151" s="69"/>
      <c r="Y1151" s="69"/>
      <c r="Z1151" s="69"/>
      <c r="AA1151" s="69"/>
      <c r="AB1151" s="69"/>
    </row>
    <row r="1152" spans="1:28">
      <c r="A1152" s="70"/>
      <c r="B1152" s="70"/>
      <c r="C1152" s="70"/>
      <c r="D1152" s="70"/>
      <c r="E1152" s="70"/>
      <c r="F1152" s="70"/>
      <c r="G1152" s="162"/>
      <c r="H1152" s="162"/>
      <c r="I1152" s="301"/>
      <c r="J1152" s="301"/>
      <c r="K1152" s="301"/>
      <c r="L1152" s="301"/>
      <c r="M1152" s="301"/>
      <c r="N1152" s="301"/>
      <c r="O1152" s="301"/>
      <c r="P1152" s="301"/>
      <c r="Q1152" s="301"/>
      <c r="R1152" s="301"/>
      <c r="S1152" s="302"/>
      <c r="T1152" s="302"/>
      <c r="U1152" s="302"/>
      <c r="V1152" s="301"/>
      <c r="W1152" s="301"/>
      <c r="X1152" s="69"/>
      <c r="Y1152" s="69"/>
      <c r="Z1152" s="69"/>
      <c r="AA1152" s="69"/>
      <c r="AB1152" s="69"/>
    </row>
    <row r="1153" spans="1:28">
      <c r="A1153" s="70"/>
      <c r="B1153" s="70"/>
      <c r="C1153" s="70"/>
      <c r="D1153" s="70"/>
      <c r="E1153" s="70"/>
      <c r="F1153" s="70"/>
      <c r="G1153" s="218"/>
      <c r="H1153" s="218"/>
      <c r="I1153" s="218"/>
      <c r="J1153" s="218"/>
      <c r="K1153" s="218"/>
      <c r="L1153" s="218"/>
      <c r="M1153" s="218"/>
      <c r="N1153" s="218"/>
      <c r="O1153" s="218"/>
      <c r="P1153" s="218"/>
      <c r="Q1153" s="218"/>
      <c r="R1153" s="218"/>
      <c r="S1153" s="218"/>
      <c r="T1153" s="302"/>
      <c r="U1153" s="302"/>
      <c r="V1153" s="218"/>
      <c r="W1153" s="218"/>
      <c r="X1153" s="305"/>
      <c r="Y1153" s="305"/>
      <c r="Z1153" s="305"/>
      <c r="AA1153" s="69"/>
      <c r="AB1153" s="69"/>
    </row>
    <row r="1154" spans="1:28">
      <c r="A1154" s="70"/>
      <c r="B1154" s="70"/>
      <c r="C1154" s="70"/>
      <c r="D1154" s="70"/>
      <c r="E1154" s="70"/>
      <c r="F1154" s="70"/>
      <c r="G1154" s="218"/>
      <c r="H1154" s="218"/>
      <c r="I1154" s="218"/>
      <c r="J1154" s="218"/>
      <c r="K1154" s="218"/>
      <c r="L1154" s="218"/>
      <c r="M1154" s="218"/>
      <c r="N1154" s="218"/>
      <c r="O1154" s="218"/>
      <c r="P1154" s="218"/>
      <c r="Q1154" s="218"/>
      <c r="R1154" s="218"/>
      <c r="S1154" s="218"/>
      <c r="T1154" s="302"/>
      <c r="U1154" s="302"/>
      <c r="V1154" s="218"/>
      <c r="W1154" s="218"/>
      <c r="X1154" s="305"/>
      <c r="Y1154" s="305"/>
      <c r="Z1154" s="305"/>
      <c r="AA1154" s="69"/>
      <c r="AB1154" s="69"/>
    </row>
    <row r="1155" spans="1:28">
      <c r="A1155" s="70"/>
      <c r="B1155" s="70"/>
      <c r="C1155" s="70"/>
      <c r="D1155" s="70"/>
      <c r="E1155" s="70"/>
      <c r="F1155" s="70"/>
      <c r="G1155" s="70"/>
      <c r="H1155" s="70"/>
      <c r="I1155" s="70"/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69"/>
      <c r="Y1155" s="69"/>
      <c r="Z1155" s="69"/>
      <c r="AA1155" s="69"/>
      <c r="AB1155" s="69"/>
    </row>
    <row r="1156" spans="1:28">
      <c r="A1156" s="70"/>
      <c r="B1156" s="70"/>
      <c r="C1156" s="70"/>
      <c r="D1156" s="70"/>
      <c r="E1156" s="70"/>
      <c r="F1156" s="70"/>
      <c r="G1156" s="70"/>
      <c r="H1156" s="70"/>
      <c r="I1156" s="70"/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69"/>
      <c r="Y1156" s="69"/>
      <c r="Z1156" s="69"/>
      <c r="AA1156" s="69"/>
      <c r="AB1156" s="69"/>
    </row>
    <row r="1157" spans="1:28" ht="15">
      <c r="A1157" s="139"/>
      <c r="B1157" s="70"/>
      <c r="C1157" s="70"/>
      <c r="D1157" s="70"/>
      <c r="E1157" s="70"/>
      <c r="F1157" s="70"/>
      <c r="G1157" s="70"/>
      <c r="H1157" s="70"/>
      <c r="I1157" s="70"/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69"/>
      <c r="Y1157" s="69"/>
      <c r="Z1157" s="69"/>
      <c r="AA1157" s="69"/>
      <c r="AB1157" s="69"/>
    </row>
    <row r="1158" spans="1:28">
      <c r="A1158" s="70"/>
      <c r="B1158" s="70"/>
      <c r="C1158" s="70"/>
      <c r="D1158" s="70"/>
      <c r="E1158" s="70"/>
      <c r="F1158" s="70"/>
      <c r="G1158" s="306"/>
      <c r="H1158" s="306"/>
      <c r="I1158" s="301"/>
      <c r="J1158" s="301"/>
      <c r="K1158" s="301"/>
      <c r="L1158" s="301"/>
      <c r="M1158" s="301"/>
      <c r="N1158" s="301"/>
      <c r="O1158" s="301"/>
      <c r="P1158" s="301"/>
      <c r="Q1158" s="301"/>
      <c r="R1158" s="301"/>
      <c r="S1158" s="306"/>
      <c r="T1158" s="306"/>
      <c r="U1158" s="306"/>
      <c r="V1158" s="301"/>
      <c r="W1158" s="301"/>
      <c r="X1158" s="69"/>
      <c r="Y1158" s="69"/>
      <c r="Z1158" s="69"/>
      <c r="AA1158" s="69"/>
      <c r="AB1158" s="69"/>
    </row>
    <row r="1159" spans="1:28" s="60" customFormat="1">
      <c r="A1159" s="70"/>
      <c r="B1159" s="70"/>
      <c r="C1159" s="70"/>
      <c r="D1159" s="70"/>
      <c r="E1159" s="70"/>
      <c r="F1159" s="70"/>
      <c r="G1159" s="306"/>
      <c r="H1159" s="306"/>
      <c r="I1159" s="301"/>
      <c r="J1159" s="301"/>
      <c r="K1159" s="301"/>
      <c r="L1159" s="301"/>
      <c r="M1159" s="301"/>
      <c r="N1159" s="301"/>
      <c r="O1159" s="301"/>
      <c r="P1159" s="301"/>
      <c r="Q1159" s="301"/>
      <c r="R1159" s="301"/>
      <c r="S1159" s="306"/>
      <c r="T1159" s="307"/>
      <c r="U1159" s="307"/>
      <c r="V1159" s="301"/>
      <c r="W1159" s="301"/>
      <c r="X1159" s="306"/>
      <c r="Y1159" s="306"/>
      <c r="Z1159" s="306"/>
      <c r="AA1159" s="70"/>
      <c r="AB1159" s="70"/>
    </row>
    <row r="1160" spans="1:28" s="60" customFormat="1">
      <c r="A1160" s="70"/>
      <c r="B1160" s="70"/>
      <c r="C1160" s="70"/>
      <c r="D1160" s="70"/>
      <c r="E1160" s="70"/>
      <c r="F1160" s="70"/>
      <c r="G1160" s="306"/>
      <c r="H1160" s="306"/>
      <c r="I1160" s="306"/>
      <c r="J1160" s="306"/>
      <c r="K1160" s="306"/>
      <c r="L1160" s="306"/>
      <c r="M1160" s="306"/>
      <c r="N1160" s="306"/>
      <c r="O1160" s="306"/>
      <c r="P1160" s="306"/>
      <c r="Q1160" s="306"/>
      <c r="R1160" s="306"/>
      <c r="S1160" s="306"/>
      <c r="T1160" s="306"/>
      <c r="U1160" s="306"/>
      <c r="V1160" s="306"/>
      <c r="W1160" s="306"/>
      <c r="X1160" s="306"/>
      <c r="Y1160" s="306"/>
      <c r="Z1160" s="306"/>
      <c r="AA1160" s="70"/>
      <c r="AB1160" s="70"/>
    </row>
    <row r="1161" spans="1:28" s="60" customFormat="1">
      <c r="A1161" s="70"/>
      <c r="B1161" s="70"/>
      <c r="C1161" s="70"/>
      <c r="D1161" s="70"/>
      <c r="E1161" s="70"/>
      <c r="F1161" s="70"/>
      <c r="G1161" s="306"/>
      <c r="H1161" s="306"/>
      <c r="I1161" s="301"/>
      <c r="J1161" s="301"/>
      <c r="K1161" s="301"/>
      <c r="L1161" s="301"/>
      <c r="M1161" s="301"/>
      <c r="N1161" s="301"/>
      <c r="O1161" s="301"/>
      <c r="P1161" s="301"/>
      <c r="Q1161" s="301"/>
      <c r="R1161" s="301"/>
      <c r="S1161" s="306"/>
      <c r="T1161" s="306"/>
      <c r="U1161" s="306"/>
      <c r="V1161" s="301"/>
      <c r="W1161" s="301"/>
      <c r="X1161" s="306"/>
      <c r="Y1161" s="306"/>
      <c r="Z1161" s="306"/>
      <c r="AA1161" s="70"/>
      <c r="AB1161" s="70"/>
    </row>
    <row r="1162" spans="1:28" s="60" customFormat="1">
      <c r="A1162" s="70"/>
      <c r="B1162" s="70"/>
      <c r="C1162" s="70"/>
      <c r="D1162" s="70"/>
      <c r="E1162" s="70"/>
      <c r="F1162" s="70"/>
      <c r="G1162" s="306"/>
      <c r="H1162" s="306"/>
      <c r="I1162" s="301"/>
      <c r="J1162" s="301"/>
      <c r="K1162" s="301"/>
      <c r="L1162" s="301"/>
      <c r="M1162" s="301"/>
      <c r="N1162" s="301"/>
      <c r="O1162" s="301"/>
      <c r="P1162" s="301"/>
      <c r="Q1162" s="301"/>
      <c r="R1162" s="301"/>
      <c r="S1162" s="306"/>
      <c r="T1162" s="306"/>
      <c r="U1162" s="306"/>
      <c r="V1162" s="301"/>
      <c r="W1162" s="301"/>
      <c r="X1162" s="70"/>
      <c r="Y1162" s="70"/>
      <c r="Z1162" s="70"/>
      <c r="AA1162" s="70"/>
      <c r="AB1162" s="70"/>
    </row>
    <row r="1163" spans="1:28" s="60" customFormat="1">
      <c r="A1163" s="70"/>
      <c r="B1163" s="70"/>
      <c r="C1163" s="70"/>
      <c r="D1163" s="70"/>
      <c r="E1163" s="70"/>
      <c r="F1163" s="70"/>
      <c r="G1163" s="306"/>
      <c r="H1163" s="306"/>
      <c r="I1163" s="301"/>
      <c r="J1163" s="301"/>
      <c r="K1163" s="301"/>
      <c r="L1163" s="301"/>
      <c r="M1163" s="301"/>
      <c r="N1163" s="301"/>
      <c r="O1163" s="301"/>
      <c r="P1163" s="301"/>
      <c r="Q1163" s="301"/>
      <c r="R1163" s="301"/>
      <c r="S1163" s="306"/>
      <c r="T1163" s="306"/>
      <c r="U1163" s="306"/>
      <c r="V1163" s="301"/>
      <c r="W1163" s="301"/>
      <c r="X1163" s="70"/>
      <c r="Y1163" s="70"/>
      <c r="Z1163" s="70"/>
      <c r="AA1163" s="70"/>
      <c r="AB1163" s="70"/>
    </row>
    <row r="1164" spans="1:28" s="60" customFormat="1">
      <c r="A1164" s="70"/>
      <c r="B1164" s="70"/>
      <c r="C1164" s="70"/>
      <c r="D1164" s="70"/>
      <c r="E1164" s="70"/>
      <c r="F1164" s="70"/>
      <c r="G1164" s="306"/>
      <c r="H1164" s="306"/>
      <c r="I1164" s="70"/>
      <c r="J1164" s="70"/>
      <c r="K1164" s="70"/>
      <c r="L1164" s="70"/>
      <c r="M1164" s="70"/>
      <c r="N1164" s="70"/>
      <c r="O1164" s="70"/>
      <c r="P1164" s="70"/>
      <c r="Q1164" s="70"/>
      <c r="R1164" s="70"/>
      <c r="S1164" s="306"/>
      <c r="T1164" s="306"/>
      <c r="U1164" s="306"/>
      <c r="V1164" s="70"/>
      <c r="W1164" s="70"/>
      <c r="X1164" s="70"/>
      <c r="Y1164" s="70"/>
      <c r="Z1164" s="70"/>
      <c r="AA1164" s="70"/>
      <c r="AB1164" s="70"/>
    </row>
    <row r="1165" spans="1:28" s="60" customFormat="1">
      <c r="A1165" s="70"/>
      <c r="B1165" s="70"/>
      <c r="C1165" s="70"/>
      <c r="D1165" s="70"/>
      <c r="E1165" s="70"/>
      <c r="F1165" s="70"/>
      <c r="G1165" s="306"/>
      <c r="H1165" s="306"/>
      <c r="I1165" s="299"/>
      <c r="J1165" s="299"/>
      <c r="K1165" s="299"/>
      <c r="L1165" s="299"/>
      <c r="M1165" s="299"/>
      <c r="N1165" s="299"/>
      <c r="O1165" s="299"/>
      <c r="P1165" s="299"/>
      <c r="Q1165" s="299"/>
      <c r="R1165" s="299"/>
      <c r="S1165" s="306"/>
      <c r="T1165" s="306"/>
      <c r="U1165" s="306"/>
      <c r="V1165" s="299"/>
      <c r="W1165" s="299"/>
      <c r="X1165" s="70"/>
      <c r="Y1165" s="70"/>
      <c r="Z1165" s="70"/>
      <c r="AA1165" s="70"/>
      <c r="AB1165" s="70"/>
    </row>
    <row r="1166" spans="1:28" s="60" customFormat="1">
      <c r="A1166" s="70"/>
      <c r="B1166" s="70"/>
      <c r="C1166" s="70"/>
      <c r="D1166" s="70"/>
      <c r="E1166" s="70"/>
      <c r="F1166" s="70"/>
      <c r="G1166" s="306"/>
      <c r="H1166" s="306"/>
      <c r="I1166" s="306"/>
      <c r="J1166" s="306"/>
      <c r="K1166" s="306"/>
      <c r="L1166" s="306"/>
      <c r="M1166" s="306"/>
      <c r="N1166" s="306"/>
      <c r="O1166" s="306"/>
      <c r="P1166" s="306"/>
      <c r="Q1166" s="306"/>
      <c r="R1166" s="306"/>
      <c r="S1166" s="306"/>
      <c r="T1166" s="306"/>
      <c r="U1166" s="306"/>
      <c r="V1166" s="306"/>
      <c r="W1166" s="306"/>
      <c r="X1166" s="70"/>
      <c r="Y1166" s="70"/>
      <c r="Z1166" s="70"/>
      <c r="AA1166" s="70"/>
      <c r="AB1166" s="70"/>
    </row>
    <row r="1167" spans="1:28">
      <c r="A1167" s="70"/>
      <c r="B1167" s="70"/>
      <c r="C1167" s="70"/>
      <c r="D1167" s="70"/>
      <c r="E1167" s="70"/>
      <c r="F1167" s="70"/>
      <c r="G1167" s="300"/>
      <c r="H1167" s="300"/>
      <c r="I1167" s="300"/>
      <c r="J1167" s="300"/>
      <c r="K1167" s="300"/>
      <c r="L1167" s="300"/>
      <c r="M1167" s="300"/>
      <c r="N1167" s="300"/>
      <c r="O1167" s="300"/>
      <c r="P1167" s="300"/>
      <c r="Q1167" s="300"/>
      <c r="R1167" s="300"/>
      <c r="S1167" s="300"/>
      <c r="T1167" s="300"/>
      <c r="U1167" s="300"/>
      <c r="V1167" s="300"/>
      <c r="W1167" s="300"/>
      <c r="X1167" s="69"/>
      <c r="Y1167" s="69"/>
      <c r="Z1167" s="69"/>
      <c r="AA1167" s="69"/>
      <c r="AB1167" s="69"/>
    </row>
    <row r="1168" spans="1:28">
      <c r="A1168" s="70"/>
      <c r="B1168" s="70"/>
      <c r="C1168" s="70"/>
      <c r="D1168" s="70"/>
      <c r="E1168" s="70"/>
      <c r="F1168" s="70"/>
      <c r="G1168" s="300"/>
      <c r="H1168" s="300"/>
      <c r="I1168" s="300"/>
      <c r="J1168" s="300"/>
      <c r="K1168" s="300"/>
      <c r="L1168" s="300"/>
      <c r="M1168" s="300"/>
      <c r="N1168" s="300"/>
      <c r="O1168" s="300"/>
      <c r="P1168" s="300"/>
      <c r="Q1168" s="300"/>
      <c r="R1168" s="300"/>
      <c r="S1168" s="300"/>
      <c r="T1168" s="300"/>
      <c r="U1168" s="300"/>
      <c r="V1168" s="300"/>
      <c r="W1168" s="300"/>
      <c r="X1168" s="69"/>
      <c r="Y1168" s="69"/>
      <c r="Z1168" s="69"/>
      <c r="AA1168" s="69"/>
      <c r="AB1168" s="69"/>
    </row>
    <row r="1169" spans="1:28">
      <c r="A1169" s="308"/>
      <c r="B1169" s="70"/>
      <c r="C1169" s="70"/>
      <c r="D1169" s="70"/>
      <c r="E1169" s="70"/>
      <c r="F1169" s="70"/>
      <c r="G1169" s="300"/>
      <c r="H1169" s="300"/>
      <c r="I1169" s="300"/>
      <c r="J1169" s="300"/>
      <c r="K1169" s="300"/>
      <c r="L1169" s="300"/>
      <c r="M1169" s="300"/>
      <c r="N1169" s="300"/>
      <c r="O1169" s="300"/>
      <c r="P1169" s="300"/>
      <c r="Q1169" s="300"/>
      <c r="R1169" s="300"/>
      <c r="S1169" s="300"/>
      <c r="T1169" s="300"/>
      <c r="U1169" s="300"/>
      <c r="V1169" s="300"/>
      <c r="W1169" s="300"/>
      <c r="X1169" s="69"/>
      <c r="Y1169" s="69"/>
      <c r="Z1169" s="69"/>
      <c r="AA1169" s="69"/>
      <c r="AB1169" s="69"/>
    </row>
    <row r="1170" spans="1:28">
      <c r="A1170" s="308"/>
      <c r="B1170" s="70"/>
      <c r="C1170" s="70"/>
      <c r="D1170" s="70"/>
      <c r="E1170" s="70"/>
      <c r="F1170" s="70"/>
      <c r="G1170" s="300"/>
      <c r="H1170" s="300"/>
      <c r="I1170" s="300"/>
      <c r="J1170" s="300"/>
      <c r="K1170" s="300"/>
      <c r="L1170" s="300"/>
      <c r="M1170" s="300"/>
      <c r="N1170" s="300"/>
      <c r="O1170" s="300"/>
      <c r="P1170" s="300"/>
      <c r="Q1170" s="300"/>
      <c r="R1170" s="300"/>
      <c r="S1170" s="300"/>
      <c r="T1170" s="300"/>
      <c r="U1170" s="300"/>
      <c r="V1170" s="300"/>
      <c r="W1170" s="300"/>
      <c r="X1170" s="69"/>
      <c r="Y1170" s="69"/>
      <c r="Z1170" s="69"/>
      <c r="AA1170" s="69"/>
      <c r="AB1170" s="69"/>
    </row>
    <row r="1171" spans="1:28">
      <c r="A1171" s="308"/>
      <c r="B1171" s="70"/>
      <c r="C1171" s="70"/>
      <c r="D1171" s="70"/>
      <c r="E1171" s="70"/>
      <c r="F1171" s="70"/>
      <c r="G1171" s="300"/>
      <c r="H1171" s="300"/>
      <c r="I1171" s="300"/>
      <c r="J1171" s="300"/>
      <c r="K1171" s="300"/>
      <c r="L1171" s="300"/>
      <c r="M1171" s="300"/>
      <c r="N1171" s="300"/>
      <c r="O1171" s="300"/>
      <c r="P1171" s="300"/>
      <c r="Q1171" s="300"/>
      <c r="R1171" s="300"/>
      <c r="S1171" s="300"/>
      <c r="T1171" s="300"/>
      <c r="U1171" s="300"/>
      <c r="V1171" s="300"/>
      <c r="W1171" s="300"/>
      <c r="X1171" s="69"/>
      <c r="Y1171" s="69"/>
      <c r="Z1171" s="69"/>
      <c r="AA1171" s="69"/>
      <c r="AB1171" s="69"/>
    </row>
    <row r="1172" spans="1:28">
      <c r="A1172" s="308"/>
      <c r="B1172" s="70"/>
      <c r="C1172" s="70"/>
      <c r="D1172" s="70"/>
      <c r="E1172" s="70"/>
      <c r="F1172" s="70"/>
      <c r="G1172" s="300"/>
      <c r="H1172" s="300"/>
      <c r="I1172" s="300"/>
      <c r="J1172" s="300"/>
      <c r="K1172" s="300"/>
      <c r="L1172" s="300"/>
      <c r="M1172" s="300"/>
      <c r="N1172" s="300"/>
      <c r="O1172" s="300"/>
      <c r="P1172" s="300"/>
      <c r="Q1172" s="300"/>
      <c r="R1172" s="300"/>
      <c r="S1172" s="300"/>
      <c r="T1172" s="300"/>
      <c r="U1172" s="300"/>
      <c r="V1172" s="300"/>
      <c r="W1172" s="300"/>
      <c r="X1172" s="69"/>
      <c r="Y1172" s="69"/>
      <c r="Z1172" s="69"/>
      <c r="AA1172" s="69"/>
      <c r="AB1172" s="69"/>
    </row>
    <row r="1173" spans="1:28" ht="15">
      <c r="A1173" s="139"/>
      <c r="B1173" s="70"/>
      <c r="C1173" s="70"/>
      <c r="D1173" s="70"/>
      <c r="E1173" s="70"/>
      <c r="F1173" s="70"/>
      <c r="G1173" s="70"/>
      <c r="H1173" s="70"/>
      <c r="I1173" s="70"/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69"/>
      <c r="Y1173" s="69"/>
      <c r="Z1173" s="69"/>
      <c r="AA1173" s="69"/>
      <c r="AB1173" s="69"/>
    </row>
    <row r="1174" spans="1:28" ht="15">
      <c r="A1174" s="139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69"/>
      <c r="Y1174" s="69"/>
      <c r="Z1174" s="69"/>
      <c r="AA1174" s="69"/>
      <c r="AB1174" s="69"/>
    </row>
    <row r="1175" spans="1:28" ht="15">
      <c r="A1175" s="139"/>
      <c r="B1175" s="70"/>
      <c r="C1175" s="70"/>
      <c r="D1175" s="70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69"/>
      <c r="Y1175" s="69"/>
      <c r="Z1175" s="69"/>
      <c r="AA1175" s="69"/>
      <c r="AB1175" s="69"/>
    </row>
    <row r="1176" spans="1:28">
      <c r="A1176" s="70"/>
      <c r="B1176" s="70"/>
      <c r="C1176" s="70"/>
      <c r="D1176" s="70"/>
      <c r="E1176" s="70"/>
      <c r="F1176" s="70"/>
      <c r="G1176" s="162"/>
      <c r="H1176" s="162"/>
      <c r="I1176" s="162"/>
      <c r="J1176" s="162"/>
      <c r="K1176" s="162"/>
      <c r="L1176" s="162"/>
      <c r="M1176" s="162"/>
      <c r="N1176" s="162"/>
      <c r="O1176" s="162"/>
      <c r="P1176" s="162"/>
      <c r="Q1176" s="162"/>
      <c r="R1176" s="162"/>
      <c r="S1176" s="162"/>
      <c r="T1176" s="162"/>
      <c r="U1176" s="162"/>
      <c r="V1176" s="162"/>
      <c r="W1176" s="162"/>
      <c r="X1176" s="303"/>
      <c r="Y1176" s="303"/>
      <c r="Z1176" s="303"/>
      <c r="AA1176" s="69"/>
      <c r="AB1176" s="69"/>
    </row>
    <row r="1177" spans="1:28" ht="16.5">
      <c r="A1177" s="70"/>
      <c r="B1177" s="70"/>
      <c r="C1177" s="70"/>
      <c r="D1177" s="70"/>
      <c r="E1177" s="70"/>
      <c r="F1177" s="70"/>
      <c r="G1177" s="309"/>
      <c r="H1177" s="309"/>
      <c r="I1177" s="309"/>
      <c r="J1177" s="309"/>
      <c r="K1177" s="309"/>
      <c r="L1177" s="309"/>
      <c r="M1177" s="309"/>
      <c r="N1177" s="309"/>
      <c r="O1177" s="309"/>
      <c r="P1177" s="309"/>
      <c r="Q1177" s="309"/>
      <c r="R1177" s="309"/>
      <c r="S1177" s="309"/>
      <c r="T1177" s="309"/>
      <c r="U1177" s="309"/>
      <c r="V1177" s="309"/>
      <c r="W1177" s="309"/>
      <c r="X1177" s="303"/>
      <c r="Y1177" s="303"/>
      <c r="Z1177" s="303"/>
      <c r="AA1177" s="69"/>
      <c r="AB1177" s="69"/>
    </row>
    <row r="1178" spans="1:28">
      <c r="A1178" s="70"/>
      <c r="B1178" s="70"/>
      <c r="C1178" s="70"/>
      <c r="D1178" s="70"/>
      <c r="E1178" s="70"/>
      <c r="F1178" s="70"/>
      <c r="G1178" s="162"/>
      <c r="H1178" s="162"/>
      <c r="I1178" s="162"/>
      <c r="J1178" s="162"/>
      <c r="K1178" s="162"/>
      <c r="L1178" s="162"/>
      <c r="M1178" s="162"/>
      <c r="N1178" s="162"/>
      <c r="O1178" s="162"/>
      <c r="P1178" s="162"/>
      <c r="Q1178" s="162"/>
      <c r="R1178" s="162"/>
      <c r="S1178" s="162"/>
      <c r="T1178" s="162"/>
      <c r="U1178" s="162"/>
      <c r="V1178" s="162"/>
      <c r="W1178" s="162"/>
      <c r="X1178" s="303"/>
      <c r="Y1178" s="303"/>
      <c r="Z1178" s="303"/>
      <c r="AA1178" s="69"/>
      <c r="AB1178" s="69"/>
    </row>
    <row r="1179" spans="1:28" ht="15">
      <c r="A1179" s="139"/>
      <c r="B1179" s="70"/>
      <c r="C1179" s="70"/>
      <c r="D1179" s="70"/>
      <c r="E1179" s="70"/>
      <c r="F1179" s="70"/>
      <c r="G1179" s="70"/>
      <c r="H1179" s="70"/>
      <c r="I1179" s="70"/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69"/>
      <c r="Y1179" s="69"/>
      <c r="Z1179" s="69"/>
      <c r="AA1179" s="69"/>
      <c r="AB1179" s="69"/>
    </row>
    <row r="1180" spans="1:28" ht="15">
      <c r="A1180" s="139"/>
      <c r="B1180" s="70"/>
      <c r="C1180" s="70"/>
      <c r="D1180" s="70"/>
      <c r="E1180" s="70"/>
      <c r="F1180" s="70"/>
      <c r="G1180" s="70"/>
      <c r="H1180" s="70"/>
      <c r="I1180" s="70"/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69"/>
      <c r="Y1180" s="69"/>
      <c r="Z1180" s="69"/>
      <c r="AA1180" s="69"/>
      <c r="AB1180" s="69"/>
    </row>
    <row r="1181" spans="1:28">
      <c r="A1181" s="70"/>
      <c r="B1181" s="70"/>
      <c r="C1181" s="70"/>
      <c r="D1181" s="70"/>
      <c r="E1181" s="70"/>
      <c r="F1181" s="70"/>
      <c r="G1181" s="162"/>
      <c r="H1181" s="162"/>
      <c r="I1181" s="162"/>
      <c r="J1181" s="162"/>
      <c r="K1181" s="162"/>
      <c r="L1181" s="162"/>
      <c r="M1181" s="162"/>
      <c r="N1181" s="162"/>
      <c r="O1181" s="162"/>
      <c r="P1181" s="162"/>
      <c r="Q1181" s="162"/>
      <c r="R1181" s="162"/>
      <c r="S1181" s="162"/>
      <c r="T1181" s="162"/>
      <c r="U1181" s="162"/>
      <c r="V1181" s="162"/>
      <c r="W1181" s="162"/>
      <c r="X1181" s="303"/>
      <c r="Y1181" s="303"/>
      <c r="Z1181" s="303"/>
      <c r="AA1181" s="69"/>
      <c r="AB1181" s="69"/>
    </row>
    <row r="1182" spans="1:28" ht="16.5">
      <c r="A1182" s="70"/>
      <c r="B1182" s="70"/>
      <c r="C1182" s="70"/>
      <c r="D1182" s="70"/>
      <c r="E1182" s="70"/>
      <c r="F1182" s="70"/>
      <c r="G1182" s="309"/>
      <c r="H1182" s="309"/>
      <c r="I1182" s="309"/>
      <c r="J1182" s="309"/>
      <c r="K1182" s="309"/>
      <c r="L1182" s="309"/>
      <c r="M1182" s="309"/>
      <c r="N1182" s="309"/>
      <c r="O1182" s="309"/>
      <c r="P1182" s="309"/>
      <c r="Q1182" s="309"/>
      <c r="R1182" s="309"/>
      <c r="S1182" s="309"/>
      <c r="T1182" s="309"/>
      <c r="U1182" s="309"/>
      <c r="V1182" s="309"/>
      <c r="W1182" s="309"/>
      <c r="X1182" s="303"/>
      <c r="Y1182" s="303"/>
      <c r="Z1182" s="303"/>
      <c r="AA1182" s="69"/>
      <c r="AB1182" s="69"/>
    </row>
    <row r="1183" spans="1:28">
      <c r="A1183" s="70"/>
      <c r="B1183" s="70"/>
      <c r="C1183" s="70"/>
      <c r="D1183" s="70"/>
      <c r="E1183" s="70"/>
      <c r="F1183" s="70"/>
      <c r="G1183" s="162"/>
      <c r="H1183" s="162"/>
      <c r="I1183" s="162"/>
      <c r="J1183" s="162"/>
      <c r="K1183" s="162"/>
      <c r="L1183" s="162"/>
      <c r="M1183" s="162"/>
      <c r="N1183" s="162"/>
      <c r="O1183" s="162"/>
      <c r="P1183" s="162"/>
      <c r="Q1183" s="162"/>
      <c r="R1183" s="162"/>
      <c r="S1183" s="162"/>
      <c r="T1183" s="162"/>
      <c r="U1183" s="162"/>
      <c r="V1183" s="162"/>
      <c r="W1183" s="162"/>
      <c r="X1183" s="303"/>
      <c r="Y1183" s="303"/>
      <c r="Z1183" s="303"/>
      <c r="AA1183" s="69"/>
      <c r="AB1183" s="69"/>
    </row>
    <row r="1184" spans="1:28">
      <c r="A1184" s="70"/>
      <c r="B1184" s="70"/>
      <c r="C1184" s="70"/>
      <c r="D1184" s="70"/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69"/>
      <c r="Y1184" s="69"/>
      <c r="Z1184" s="69"/>
      <c r="AA1184" s="69"/>
      <c r="AB1184" s="69"/>
    </row>
    <row r="1185" spans="1:28" ht="15">
      <c r="A1185" s="139"/>
      <c r="B1185" s="70"/>
      <c r="C1185" s="70"/>
      <c r="D1185" s="70"/>
      <c r="E1185" s="70"/>
      <c r="F1185" s="70"/>
      <c r="G1185" s="70"/>
      <c r="H1185" s="70"/>
      <c r="I1185" s="70"/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69"/>
      <c r="Y1185" s="69"/>
      <c r="Z1185" s="69"/>
      <c r="AA1185" s="69"/>
      <c r="AB1185" s="69"/>
    </row>
    <row r="1186" spans="1:28">
      <c r="A1186" s="70"/>
      <c r="B1186" s="70"/>
      <c r="C1186" s="70"/>
      <c r="D1186" s="70"/>
      <c r="E1186" s="70"/>
      <c r="F1186" s="70"/>
      <c r="G1186" s="162"/>
      <c r="H1186" s="162"/>
      <c r="I1186" s="162"/>
      <c r="J1186" s="162"/>
      <c r="K1186" s="162"/>
      <c r="L1186" s="162"/>
      <c r="M1186" s="162"/>
      <c r="N1186" s="162"/>
      <c r="O1186" s="162"/>
      <c r="P1186" s="162"/>
      <c r="Q1186" s="162"/>
      <c r="R1186" s="162"/>
      <c r="S1186" s="162"/>
      <c r="T1186" s="162"/>
      <c r="U1186" s="162"/>
      <c r="V1186" s="162"/>
      <c r="W1186" s="162"/>
      <c r="X1186" s="303"/>
      <c r="Y1186" s="303"/>
      <c r="Z1186" s="303"/>
      <c r="AA1186" s="69"/>
      <c r="AB1186" s="69"/>
    </row>
    <row r="1187" spans="1:28" ht="16.5">
      <c r="A1187" s="70"/>
      <c r="B1187" s="70"/>
      <c r="C1187" s="70"/>
      <c r="D1187" s="70"/>
      <c r="E1187" s="70"/>
      <c r="F1187" s="70"/>
      <c r="G1187" s="309"/>
      <c r="H1187" s="309"/>
      <c r="I1187" s="309"/>
      <c r="J1187" s="309"/>
      <c r="K1187" s="309"/>
      <c r="L1187" s="309"/>
      <c r="M1187" s="309"/>
      <c r="N1187" s="309"/>
      <c r="O1187" s="309"/>
      <c r="P1187" s="309"/>
      <c r="Q1187" s="309"/>
      <c r="R1187" s="309"/>
      <c r="S1187" s="309"/>
      <c r="T1187" s="309"/>
      <c r="U1187" s="309"/>
      <c r="V1187" s="309"/>
      <c r="W1187" s="309"/>
      <c r="X1187" s="303"/>
      <c r="Y1187" s="303"/>
      <c r="Z1187" s="303"/>
      <c r="AA1187" s="69"/>
      <c r="AB1187" s="69"/>
    </row>
    <row r="1188" spans="1:28">
      <c r="A1188" s="70"/>
      <c r="B1188" s="70"/>
      <c r="C1188" s="70"/>
      <c r="D1188" s="70"/>
      <c r="E1188" s="70"/>
      <c r="F1188" s="70"/>
      <c r="G1188" s="162"/>
      <c r="H1188" s="162"/>
      <c r="I1188" s="162"/>
      <c r="J1188" s="162"/>
      <c r="K1188" s="162"/>
      <c r="L1188" s="162"/>
      <c r="M1188" s="162"/>
      <c r="N1188" s="162"/>
      <c r="O1188" s="162"/>
      <c r="P1188" s="162"/>
      <c r="Q1188" s="162"/>
      <c r="R1188" s="162"/>
      <c r="S1188" s="162"/>
      <c r="T1188" s="162"/>
      <c r="U1188" s="162"/>
      <c r="V1188" s="162"/>
      <c r="W1188" s="162"/>
      <c r="X1188" s="303"/>
      <c r="Y1188" s="303"/>
      <c r="Z1188" s="303"/>
      <c r="AA1188" s="69"/>
      <c r="AB1188" s="69"/>
    </row>
    <row r="1189" spans="1:28">
      <c r="A1189" s="70"/>
      <c r="B1189" s="70"/>
      <c r="C1189" s="70"/>
      <c r="D1189" s="70"/>
      <c r="E1189" s="70"/>
      <c r="F1189" s="70"/>
      <c r="G1189" s="162"/>
      <c r="H1189" s="162"/>
      <c r="I1189" s="162"/>
      <c r="J1189" s="162"/>
      <c r="K1189" s="162"/>
      <c r="L1189" s="162"/>
      <c r="M1189" s="162"/>
      <c r="N1189" s="162"/>
      <c r="O1189" s="162"/>
      <c r="P1189" s="162"/>
      <c r="Q1189" s="162"/>
      <c r="R1189" s="162"/>
      <c r="S1189" s="162"/>
      <c r="T1189" s="162"/>
      <c r="U1189" s="162"/>
      <c r="V1189" s="162"/>
      <c r="W1189" s="162"/>
      <c r="X1189" s="303"/>
      <c r="Y1189" s="303"/>
      <c r="Z1189" s="303"/>
      <c r="AA1189" s="69"/>
      <c r="AB1189" s="69"/>
    </row>
    <row r="1190" spans="1:28" ht="15">
      <c r="A1190" s="139"/>
      <c r="B1190" s="70"/>
      <c r="C1190" s="70"/>
      <c r="D1190" s="70"/>
      <c r="E1190" s="70"/>
      <c r="F1190" s="70"/>
      <c r="G1190" s="70"/>
      <c r="H1190" s="70"/>
      <c r="I1190" s="70"/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69"/>
      <c r="Y1190" s="69"/>
      <c r="Z1190" s="69"/>
      <c r="AA1190" s="69"/>
      <c r="AB1190" s="69"/>
    </row>
    <row r="1191" spans="1:28">
      <c r="A1191" s="70"/>
      <c r="B1191" s="70"/>
      <c r="C1191" s="70"/>
      <c r="D1191" s="70"/>
      <c r="E1191" s="70"/>
      <c r="F1191" s="70"/>
      <c r="G1191" s="162"/>
      <c r="H1191" s="162"/>
      <c r="I1191" s="162"/>
      <c r="J1191" s="162"/>
      <c r="K1191" s="162"/>
      <c r="L1191" s="162"/>
      <c r="M1191" s="162"/>
      <c r="N1191" s="162"/>
      <c r="O1191" s="162"/>
      <c r="P1191" s="162"/>
      <c r="Q1191" s="162"/>
      <c r="R1191" s="162"/>
      <c r="S1191" s="162"/>
      <c r="T1191" s="162"/>
      <c r="U1191" s="162"/>
      <c r="V1191" s="162"/>
      <c r="W1191" s="162"/>
      <c r="X1191" s="303"/>
      <c r="Y1191" s="303"/>
      <c r="Z1191" s="303"/>
      <c r="AA1191" s="69"/>
      <c r="AB1191" s="69"/>
    </row>
    <row r="1192" spans="1:28" ht="16.5">
      <c r="A1192" s="70"/>
      <c r="B1192" s="70"/>
      <c r="C1192" s="70"/>
      <c r="D1192" s="70"/>
      <c r="E1192" s="70"/>
      <c r="F1192" s="70"/>
      <c r="G1192" s="309"/>
      <c r="H1192" s="309"/>
      <c r="I1192" s="309"/>
      <c r="J1192" s="309"/>
      <c r="K1192" s="309"/>
      <c r="L1192" s="309"/>
      <c r="M1192" s="309"/>
      <c r="N1192" s="309"/>
      <c r="O1192" s="309"/>
      <c r="P1192" s="309"/>
      <c r="Q1192" s="309"/>
      <c r="R1192" s="309"/>
      <c r="S1192" s="309"/>
      <c r="T1192" s="309"/>
      <c r="U1192" s="309"/>
      <c r="V1192" s="309"/>
      <c r="W1192" s="309"/>
      <c r="X1192" s="303"/>
      <c r="Y1192" s="303"/>
      <c r="Z1192" s="303"/>
      <c r="AA1192" s="69"/>
      <c r="AB1192" s="69"/>
    </row>
    <row r="1193" spans="1:28">
      <c r="A1193" s="70"/>
      <c r="B1193" s="70"/>
      <c r="C1193" s="70"/>
      <c r="D1193" s="70"/>
      <c r="E1193" s="70"/>
      <c r="F1193" s="70"/>
      <c r="G1193" s="162"/>
      <c r="H1193" s="162"/>
      <c r="I1193" s="162"/>
      <c r="J1193" s="162"/>
      <c r="K1193" s="162"/>
      <c r="L1193" s="162"/>
      <c r="M1193" s="162"/>
      <c r="N1193" s="162"/>
      <c r="O1193" s="162"/>
      <c r="P1193" s="162"/>
      <c r="Q1193" s="162"/>
      <c r="R1193" s="162"/>
      <c r="S1193" s="162"/>
      <c r="T1193" s="162"/>
      <c r="U1193" s="162"/>
      <c r="V1193" s="162"/>
      <c r="W1193" s="162"/>
      <c r="X1193" s="303"/>
      <c r="Y1193" s="303"/>
      <c r="Z1193" s="303"/>
      <c r="AA1193" s="69"/>
      <c r="AB1193" s="69"/>
    </row>
    <row r="1194" spans="1:28">
      <c r="A1194" s="70"/>
      <c r="B1194" s="70"/>
      <c r="C1194" s="70"/>
      <c r="D1194" s="70"/>
      <c r="E1194" s="70"/>
      <c r="F1194" s="70"/>
      <c r="G1194" s="162"/>
      <c r="H1194" s="162"/>
      <c r="I1194" s="162"/>
      <c r="J1194" s="162"/>
      <c r="K1194" s="162"/>
      <c r="L1194" s="162"/>
      <c r="M1194" s="162"/>
      <c r="N1194" s="162"/>
      <c r="O1194" s="162"/>
      <c r="P1194" s="162"/>
      <c r="Q1194" s="162"/>
      <c r="R1194" s="162"/>
      <c r="S1194" s="162"/>
      <c r="T1194" s="162"/>
      <c r="U1194" s="162"/>
      <c r="V1194" s="162"/>
      <c r="W1194" s="162"/>
      <c r="X1194" s="303"/>
      <c r="Y1194" s="303"/>
      <c r="Z1194" s="303"/>
      <c r="AA1194" s="69"/>
      <c r="AB1194" s="69"/>
    </row>
    <row r="1195" spans="1:28" ht="15">
      <c r="A1195" s="139"/>
      <c r="B1195" s="70"/>
      <c r="C1195" s="70"/>
      <c r="D1195" s="70"/>
      <c r="E1195" s="70"/>
      <c r="F1195" s="70"/>
      <c r="G1195" s="70"/>
      <c r="H1195" s="70"/>
      <c r="I1195" s="70"/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69"/>
      <c r="Y1195" s="69"/>
      <c r="Z1195" s="69"/>
      <c r="AA1195" s="69"/>
      <c r="AB1195" s="69"/>
    </row>
    <row r="1196" spans="1:28">
      <c r="A1196" s="70"/>
      <c r="B1196" s="70"/>
      <c r="C1196" s="70"/>
      <c r="D1196" s="70"/>
      <c r="E1196" s="70"/>
      <c r="F1196" s="70"/>
      <c r="G1196" s="162"/>
      <c r="H1196" s="162"/>
      <c r="I1196" s="162"/>
      <c r="J1196" s="162"/>
      <c r="K1196" s="162"/>
      <c r="L1196" s="162"/>
      <c r="M1196" s="162"/>
      <c r="N1196" s="162"/>
      <c r="O1196" s="162"/>
      <c r="P1196" s="162"/>
      <c r="Q1196" s="162"/>
      <c r="R1196" s="162"/>
      <c r="S1196" s="162"/>
      <c r="T1196" s="162"/>
      <c r="U1196" s="162"/>
      <c r="V1196" s="162"/>
      <c r="W1196" s="162"/>
      <c r="X1196" s="303"/>
      <c r="Y1196" s="303"/>
      <c r="Z1196" s="303"/>
      <c r="AA1196" s="69"/>
      <c r="AB1196" s="69"/>
    </row>
    <row r="1197" spans="1:28" ht="16.5">
      <c r="A1197" s="70"/>
      <c r="B1197" s="70"/>
      <c r="C1197" s="70"/>
      <c r="D1197" s="70"/>
      <c r="E1197" s="70"/>
      <c r="F1197" s="70"/>
      <c r="G1197" s="309"/>
      <c r="H1197" s="309"/>
      <c r="I1197" s="309"/>
      <c r="J1197" s="309"/>
      <c r="K1197" s="309"/>
      <c r="L1197" s="309"/>
      <c r="M1197" s="309"/>
      <c r="N1197" s="309"/>
      <c r="O1197" s="309"/>
      <c r="P1197" s="309"/>
      <c r="Q1197" s="309"/>
      <c r="R1197" s="309"/>
      <c r="S1197" s="309"/>
      <c r="T1197" s="309"/>
      <c r="U1197" s="309"/>
      <c r="V1197" s="309"/>
      <c r="W1197" s="309"/>
      <c r="X1197" s="303"/>
      <c r="Y1197" s="303"/>
      <c r="Z1197" s="303"/>
      <c r="AA1197" s="69"/>
      <c r="AB1197" s="69"/>
    </row>
    <row r="1198" spans="1:28">
      <c r="A1198" s="70"/>
      <c r="B1198" s="70"/>
      <c r="C1198" s="70"/>
      <c r="D1198" s="70"/>
      <c r="E1198" s="70"/>
      <c r="F1198" s="70"/>
      <c r="G1198" s="162"/>
      <c r="H1198" s="162"/>
      <c r="I1198" s="162"/>
      <c r="J1198" s="162"/>
      <c r="K1198" s="162"/>
      <c r="L1198" s="162"/>
      <c r="M1198" s="162"/>
      <c r="N1198" s="162"/>
      <c r="O1198" s="162"/>
      <c r="P1198" s="162"/>
      <c r="Q1198" s="162"/>
      <c r="R1198" s="162"/>
      <c r="S1198" s="162"/>
      <c r="T1198" s="162"/>
      <c r="U1198" s="162"/>
      <c r="V1198" s="162"/>
      <c r="W1198" s="162"/>
      <c r="X1198" s="303"/>
      <c r="Y1198" s="303"/>
      <c r="Z1198" s="303"/>
      <c r="AA1198" s="69"/>
      <c r="AB1198" s="69"/>
    </row>
    <row r="1199" spans="1:28">
      <c r="A1199" s="70"/>
      <c r="B1199" s="70"/>
      <c r="C1199" s="70"/>
      <c r="D1199" s="70"/>
      <c r="E1199" s="70"/>
      <c r="F1199" s="70"/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69"/>
      <c r="Y1199" s="69"/>
      <c r="Z1199" s="69"/>
      <c r="AA1199" s="69"/>
      <c r="AB1199" s="69"/>
    </row>
    <row r="1200" spans="1:28" ht="15">
      <c r="A1200" s="139"/>
      <c r="B1200" s="70"/>
      <c r="C1200" s="70"/>
      <c r="D1200" s="70"/>
      <c r="E1200" s="70"/>
      <c r="F1200" s="70"/>
      <c r="G1200" s="70"/>
      <c r="H1200" s="70"/>
      <c r="I1200" s="70"/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69"/>
      <c r="Y1200" s="69"/>
      <c r="Z1200" s="69"/>
      <c r="AA1200" s="69"/>
      <c r="AB1200" s="69"/>
    </row>
    <row r="1201" spans="1:28">
      <c r="A1201" s="70"/>
      <c r="B1201" s="70"/>
      <c r="C1201" s="70"/>
      <c r="D1201" s="70"/>
      <c r="E1201" s="70"/>
      <c r="F1201" s="70"/>
      <c r="G1201" s="162"/>
      <c r="H1201" s="162"/>
      <c r="I1201" s="162"/>
      <c r="J1201" s="162"/>
      <c r="K1201" s="162"/>
      <c r="L1201" s="162"/>
      <c r="M1201" s="162"/>
      <c r="N1201" s="162"/>
      <c r="O1201" s="162"/>
      <c r="P1201" s="162"/>
      <c r="Q1201" s="162"/>
      <c r="R1201" s="162"/>
      <c r="S1201" s="162"/>
      <c r="T1201" s="162"/>
      <c r="U1201" s="162"/>
      <c r="V1201" s="162"/>
      <c r="W1201" s="162"/>
      <c r="X1201" s="303"/>
      <c r="Y1201" s="303"/>
      <c r="Z1201" s="303"/>
      <c r="AA1201" s="69"/>
      <c r="AB1201" s="69"/>
    </row>
    <row r="1202" spans="1:28" ht="16.5">
      <c r="A1202" s="70"/>
      <c r="B1202" s="70"/>
      <c r="C1202" s="70"/>
      <c r="D1202" s="70"/>
      <c r="E1202" s="70"/>
      <c r="F1202" s="70"/>
      <c r="G1202" s="309"/>
      <c r="H1202" s="309"/>
      <c r="I1202" s="309"/>
      <c r="J1202" s="309"/>
      <c r="K1202" s="309"/>
      <c r="L1202" s="309"/>
      <c r="M1202" s="309"/>
      <c r="N1202" s="309"/>
      <c r="O1202" s="309"/>
      <c r="P1202" s="309"/>
      <c r="Q1202" s="309"/>
      <c r="R1202" s="309"/>
      <c r="S1202" s="309"/>
      <c r="T1202" s="309"/>
      <c r="U1202" s="309"/>
      <c r="V1202" s="309"/>
      <c r="W1202" s="309"/>
      <c r="X1202" s="303"/>
      <c r="Y1202" s="303"/>
      <c r="Z1202" s="303"/>
      <c r="AA1202" s="69"/>
      <c r="AB1202" s="69"/>
    </row>
    <row r="1203" spans="1:28">
      <c r="A1203" s="70"/>
      <c r="B1203" s="70"/>
      <c r="C1203" s="70"/>
      <c r="D1203" s="70"/>
      <c r="E1203" s="70"/>
      <c r="F1203" s="70"/>
      <c r="G1203" s="162"/>
      <c r="H1203" s="162"/>
      <c r="I1203" s="162"/>
      <c r="J1203" s="162"/>
      <c r="K1203" s="162"/>
      <c r="L1203" s="162"/>
      <c r="M1203" s="162"/>
      <c r="N1203" s="162"/>
      <c r="O1203" s="162"/>
      <c r="P1203" s="162"/>
      <c r="Q1203" s="162"/>
      <c r="R1203" s="162"/>
      <c r="S1203" s="162"/>
      <c r="T1203" s="162"/>
      <c r="U1203" s="162"/>
      <c r="V1203" s="162"/>
      <c r="W1203" s="162"/>
      <c r="X1203" s="303"/>
      <c r="Y1203" s="303"/>
      <c r="Z1203" s="303"/>
      <c r="AA1203" s="69"/>
      <c r="AB1203" s="69"/>
    </row>
    <row r="1204" spans="1:28">
      <c r="A1204" s="70"/>
      <c r="B1204" s="70"/>
      <c r="C1204" s="70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69"/>
      <c r="Y1204" s="69"/>
      <c r="Z1204" s="69"/>
      <c r="AA1204" s="69"/>
      <c r="AB1204" s="69"/>
    </row>
    <row r="1205" spans="1:28" ht="15">
      <c r="A1205" s="139"/>
      <c r="B1205" s="70"/>
      <c r="C1205" s="70"/>
      <c r="D1205" s="70"/>
      <c r="E1205" s="70"/>
      <c r="F1205" s="70"/>
      <c r="G1205" s="70"/>
      <c r="H1205" s="70"/>
      <c r="I1205" s="70"/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69"/>
      <c r="Y1205" s="69"/>
      <c r="Z1205" s="69"/>
      <c r="AA1205" s="69"/>
      <c r="AB1205" s="69"/>
    </row>
    <row r="1206" spans="1:28">
      <c r="A1206" s="70"/>
      <c r="B1206" s="70"/>
      <c r="C1206" s="70"/>
      <c r="D1206" s="70"/>
      <c r="E1206" s="70"/>
      <c r="F1206" s="70"/>
      <c r="G1206" s="162"/>
      <c r="H1206" s="162"/>
      <c r="I1206" s="162"/>
      <c r="J1206" s="162"/>
      <c r="K1206" s="162"/>
      <c r="L1206" s="162"/>
      <c r="M1206" s="162"/>
      <c r="N1206" s="162"/>
      <c r="O1206" s="162"/>
      <c r="P1206" s="162"/>
      <c r="Q1206" s="162"/>
      <c r="R1206" s="162"/>
      <c r="S1206" s="162"/>
      <c r="T1206" s="162"/>
      <c r="U1206" s="162"/>
      <c r="V1206" s="162"/>
      <c r="W1206" s="162"/>
      <c r="X1206" s="303"/>
      <c r="Y1206" s="303"/>
      <c r="Z1206" s="303"/>
      <c r="AA1206" s="69"/>
      <c r="AB1206" s="69"/>
    </row>
    <row r="1207" spans="1:28" ht="16.5">
      <c r="A1207" s="70"/>
      <c r="B1207" s="70"/>
      <c r="C1207" s="70"/>
      <c r="D1207" s="70"/>
      <c r="E1207" s="70"/>
      <c r="F1207" s="70"/>
      <c r="G1207" s="309"/>
      <c r="H1207" s="309"/>
      <c r="I1207" s="309"/>
      <c r="J1207" s="309"/>
      <c r="K1207" s="309"/>
      <c r="L1207" s="309"/>
      <c r="M1207" s="309"/>
      <c r="N1207" s="309"/>
      <c r="O1207" s="309"/>
      <c r="P1207" s="309"/>
      <c r="Q1207" s="309"/>
      <c r="R1207" s="309"/>
      <c r="S1207" s="309"/>
      <c r="T1207" s="309"/>
      <c r="U1207" s="309"/>
      <c r="V1207" s="309"/>
      <c r="W1207" s="309"/>
      <c r="X1207" s="303"/>
      <c r="Y1207" s="303"/>
      <c r="Z1207" s="303"/>
      <c r="AA1207" s="69"/>
      <c r="AB1207" s="69"/>
    </row>
    <row r="1208" spans="1:28">
      <c r="A1208" s="70"/>
      <c r="B1208" s="70"/>
      <c r="C1208" s="70"/>
      <c r="D1208" s="70"/>
      <c r="E1208" s="70"/>
      <c r="F1208" s="70"/>
      <c r="G1208" s="162"/>
      <c r="H1208" s="162"/>
      <c r="I1208" s="162"/>
      <c r="J1208" s="162"/>
      <c r="K1208" s="162"/>
      <c r="L1208" s="162"/>
      <c r="M1208" s="162"/>
      <c r="N1208" s="162"/>
      <c r="O1208" s="162"/>
      <c r="P1208" s="162"/>
      <c r="Q1208" s="162"/>
      <c r="R1208" s="162"/>
      <c r="S1208" s="162"/>
      <c r="T1208" s="162"/>
      <c r="U1208" s="162"/>
      <c r="V1208" s="162"/>
      <c r="W1208" s="162"/>
      <c r="X1208" s="303"/>
      <c r="Y1208" s="303"/>
      <c r="Z1208" s="303"/>
      <c r="AA1208" s="69"/>
      <c r="AB1208" s="69"/>
    </row>
    <row r="1209" spans="1:28">
      <c r="A1209" s="70"/>
      <c r="B1209" s="70"/>
      <c r="C1209" s="70"/>
      <c r="D1209" s="70"/>
      <c r="E1209" s="70"/>
      <c r="F1209" s="70"/>
      <c r="G1209" s="70"/>
      <c r="H1209" s="70"/>
      <c r="I1209" s="70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69"/>
      <c r="Y1209" s="69"/>
      <c r="Z1209" s="69"/>
      <c r="AA1209" s="69"/>
      <c r="AB1209" s="69"/>
    </row>
    <row r="1210" spans="1:28" ht="15">
      <c r="A1210" s="139"/>
      <c r="B1210" s="70"/>
      <c r="C1210" s="70"/>
      <c r="D1210" s="70"/>
      <c r="E1210" s="70"/>
      <c r="F1210" s="70"/>
      <c r="G1210" s="70"/>
      <c r="H1210" s="70"/>
      <c r="I1210" s="70"/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69"/>
      <c r="Y1210" s="69"/>
      <c r="Z1210" s="69"/>
      <c r="AA1210" s="69"/>
      <c r="AB1210" s="69"/>
    </row>
    <row r="1211" spans="1:28">
      <c r="A1211" s="70"/>
      <c r="B1211" s="70"/>
      <c r="C1211" s="70"/>
      <c r="D1211" s="70"/>
      <c r="E1211" s="70"/>
      <c r="F1211" s="70"/>
      <c r="G1211" s="162"/>
      <c r="H1211" s="162"/>
      <c r="I1211" s="162"/>
      <c r="J1211" s="162"/>
      <c r="K1211" s="162"/>
      <c r="L1211" s="162"/>
      <c r="M1211" s="162"/>
      <c r="N1211" s="162"/>
      <c r="O1211" s="162"/>
      <c r="P1211" s="162"/>
      <c r="Q1211" s="162"/>
      <c r="R1211" s="162"/>
      <c r="S1211" s="162"/>
      <c r="T1211" s="162"/>
      <c r="U1211" s="162"/>
      <c r="V1211" s="162"/>
      <c r="W1211" s="162"/>
      <c r="X1211" s="303"/>
      <c r="Y1211" s="303"/>
      <c r="Z1211" s="303"/>
      <c r="AA1211" s="69"/>
      <c r="AB1211" s="69"/>
    </row>
    <row r="1212" spans="1:28" ht="16.5">
      <c r="A1212" s="70"/>
      <c r="B1212" s="70"/>
      <c r="C1212" s="70"/>
      <c r="D1212" s="70"/>
      <c r="E1212" s="70"/>
      <c r="F1212" s="70"/>
      <c r="G1212" s="309"/>
      <c r="H1212" s="309"/>
      <c r="I1212" s="309"/>
      <c r="J1212" s="309"/>
      <c r="K1212" s="309"/>
      <c r="L1212" s="309"/>
      <c r="M1212" s="309"/>
      <c r="N1212" s="309"/>
      <c r="O1212" s="309"/>
      <c r="P1212" s="309"/>
      <c r="Q1212" s="309"/>
      <c r="R1212" s="309"/>
      <c r="S1212" s="309"/>
      <c r="T1212" s="309"/>
      <c r="U1212" s="309"/>
      <c r="V1212" s="309"/>
      <c r="W1212" s="309"/>
      <c r="X1212" s="310"/>
      <c r="Y1212" s="310"/>
      <c r="Z1212" s="310"/>
      <c r="AA1212" s="69"/>
      <c r="AB1212" s="69"/>
    </row>
    <row r="1213" spans="1:28">
      <c r="A1213" s="70"/>
      <c r="B1213" s="70"/>
      <c r="C1213" s="70"/>
      <c r="D1213" s="70"/>
      <c r="E1213" s="70"/>
      <c r="F1213" s="70"/>
      <c r="G1213" s="162"/>
      <c r="H1213" s="162"/>
      <c r="I1213" s="162"/>
      <c r="J1213" s="162"/>
      <c r="K1213" s="162"/>
      <c r="L1213" s="162"/>
      <c r="M1213" s="162"/>
      <c r="N1213" s="162"/>
      <c r="O1213" s="162"/>
      <c r="P1213" s="162"/>
      <c r="Q1213" s="162"/>
      <c r="R1213" s="162"/>
      <c r="S1213" s="162"/>
      <c r="T1213" s="162"/>
      <c r="U1213" s="162"/>
      <c r="V1213" s="162"/>
      <c r="W1213" s="162"/>
      <c r="X1213" s="303"/>
      <c r="Y1213" s="303"/>
      <c r="Z1213" s="303"/>
      <c r="AA1213" s="69"/>
      <c r="AB1213" s="69"/>
    </row>
    <row r="1214" spans="1:28">
      <c r="A1214" s="70"/>
      <c r="B1214" s="70"/>
      <c r="C1214" s="70"/>
      <c r="D1214" s="70"/>
      <c r="E1214" s="70"/>
      <c r="F1214" s="70"/>
      <c r="G1214" s="70"/>
      <c r="H1214" s="70"/>
      <c r="I1214" s="70"/>
      <c r="J1214" s="162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69"/>
      <c r="Y1214" s="69"/>
      <c r="Z1214" s="69"/>
      <c r="AA1214" s="69"/>
      <c r="AB1214" s="69"/>
    </row>
    <row r="1215" spans="1:28" ht="15">
      <c r="A1215" s="139"/>
      <c r="B1215" s="70"/>
      <c r="C1215" s="70"/>
      <c r="D1215" s="70"/>
      <c r="E1215" s="70"/>
      <c r="F1215" s="70"/>
      <c r="G1215" s="70"/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69"/>
      <c r="Y1215" s="69"/>
      <c r="Z1215" s="69"/>
      <c r="AA1215" s="69"/>
      <c r="AB1215" s="69"/>
    </row>
    <row r="1216" spans="1:28">
      <c r="A1216" s="70"/>
      <c r="B1216" s="70"/>
      <c r="C1216" s="70"/>
      <c r="D1216" s="70"/>
      <c r="E1216" s="70"/>
      <c r="F1216" s="70"/>
      <c r="G1216" s="299"/>
      <c r="H1216" s="299"/>
      <c r="I1216" s="299"/>
      <c r="J1216" s="299"/>
      <c r="K1216" s="299"/>
      <c r="L1216" s="299"/>
      <c r="M1216" s="299"/>
      <c r="N1216" s="299"/>
      <c r="O1216" s="299"/>
      <c r="P1216" s="299"/>
      <c r="Q1216" s="299"/>
      <c r="R1216" s="299"/>
      <c r="S1216" s="299"/>
      <c r="T1216" s="299"/>
      <c r="U1216" s="299"/>
      <c r="V1216" s="299"/>
      <c r="W1216" s="299"/>
      <c r="X1216" s="311"/>
      <c r="Y1216" s="311"/>
      <c r="Z1216" s="311"/>
      <c r="AA1216" s="69"/>
      <c r="AB1216" s="69"/>
    </row>
    <row r="1217" spans="1:28" ht="16.5">
      <c r="A1217" s="70"/>
      <c r="B1217" s="70"/>
      <c r="C1217" s="70"/>
      <c r="D1217" s="70"/>
      <c r="E1217" s="70"/>
      <c r="F1217" s="70"/>
      <c r="G1217" s="312"/>
      <c r="H1217" s="312"/>
      <c r="I1217" s="312"/>
      <c r="J1217" s="312"/>
      <c r="K1217" s="312"/>
      <c r="L1217" s="312"/>
      <c r="M1217" s="312"/>
      <c r="N1217" s="312"/>
      <c r="O1217" s="312"/>
      <c r="P1217" s="312"/>
      <c r="Q1217" s="312"/>
      <c r="R1217" s="312"/>
      <c r="S1217" s="312"/>
      <c r="T1217" s="312"/>
      <c r="U1217" s="313"/>
      <c r="V1217" s="312"/>
      <c r="W1217" s="312"/>
      <c r="X1217" s="314"/>
      <c r="Y1217" s="314"/>
      <c r="Z1217" s="314"/>
      <c r="AA1217" s="69"/>
      <c r="AB1217" s="69"/>
    </row>
    <row r="1218" spans="1:28">
      <c r="A1218" s="70"/>
      <c r="B1218" s="70"/>
      <c r="C1218" s="70"/>
      <c r="D1218" s="70"/>
      <c r="E1218" s="70"/>
      <c r="F1218" s="70"/>
      <c r="G1218" s="299"/>
      <c r="H1218" s="299"/>
      <c r="I1218" s="299"/>
      <c r="J1218" s="299"/>
      <c r="K1218" s="299"/>
      <c r="L1218" s="299"/>
      <c r="M1218" s="299"/>
      <c r="N1218" s="299"/>
      <c r="O1218" s="299"/>
      <c r="P1218" s="299"/>
      <c r="Q1218" s="299"/>
      <c r="R1218" s="299"/>
      <c r="S1218" s="299"/>
      <c r="T1218" s="299"/>
      <c r="U1218" s="299"/>
      <c r="V1218" s="299"/>
      <c r="W1218" s="299"/>
      <c r="X1218" s="311"/>
      <c r="Y1218" s="311"/>
      <c r="Z1218" s="311"/>
      <c r="AA1218" s="69"/>
      <c r="AB1218" s="69"/>
    </row>
    <row r="1219" spans="1:28">
      <c r="A1219" s="70"/>
      <c r="B1219" s="70"/>
      <c r="C1219" s="70"/>
      <c r="D1219" s="70"/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69"/>
      <c r="Y1219" s="69"/>
      <c r="Z1219" s="69"/>
      <c r="AA1219" s="69"/>
      <c r="AB1219" s="69"/>
    </row>
    <row r="1220" spans="1:28">
      <c r="A1220" s="70"/>
      <c r="B1220" s="70"/>
      <c r="C1220" s="70"/>
      <c r="D1220" s="70"/>
      <c r="E1220" s="70"/>
      <c r="F1220" s="70"/>
      <c r="G1220" s="70"/>
      <c r="H1220" s="70"/>
      <c r="I1220" s="70"/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69"/>
      <c r="Y1220" s="69"/>
      <c r="Z1220" s="69"/>
      <c r="AA1220" s="69"/>
      <c r="AB1220" s="69"/>
    </row>
    <row r="1221" spans="1:28">
      <c r="A1221" s="70"/>
      <c r="B1221" s="70"/>
      <c r="C1221" s="70"/>
      <c r="D1221" s="70"/>
      <c r="E1221" s="70"/>
      <c r="F1221" s="70"/>
      <c r="G1221" s="218"/>
      <c r="H1221" s="70"/>
      <c r="I1221" s="70"/>
      <c r="J1221" s="70"/>
      <c r="K1221" s="218"/>
      <c r="L1221" s="218"/>
      <c r="M1221" s="70"/>
      <c r="N1221" s="70"/>
      <c r="O1221" s="218"/>
      <c r="P1221" s="218"/>
      <c r="Q1221" s="70"/>
      <c r="R1221" s="70"/>
      <c r="S1221" s="219"/>
      <c r="T1221" s="70"/>
      <c r="U1221" s="70"/>
      <c r="V1221" s="70"/>
      <c r="W1221" s="70"/>
      <c r="X1221" s="69"/>
      <c r="Y1221" s="69"/>
      <c r="Z1221" s="69"/>
      <c r="AA1221" s="69"/>
      <c r="AB1221" s="69"/>
    </row>
    <row r="1222" spans="1:28">
      <c r="A1222" s="70"/>
      <c r="B1222" s="70"/>
      <c r="C1222" s="70"/>
      <c r="D1222" s="70"/>
      <c r="E1222" s="70"/>
      <c r="F1222" s="70"/>
      <c r="G1222" s="218"/>
      <c r="H1222" s="70"/>
      <c r="I1222" s="70"/>
      <c r="J1222" s="70"/>
      <c r="K1222" s="218"/>
      <c r="L1222" s="218"/>
      <c r="M1222" s="70"/>
      <c r="N1222" s="70"/>
      <c r="O1222" s="218"/>
      <c r="P1222" s="218"/>
      <c r="Q1222" s="70"/>
      <c r="R1222" s="70"/>
      <c r="S1222" s="219"/>
      <c r="T1222" s="70"/>
      <c r="U1222" s="70"/>
      <c r="V1222" s="70"/>
      <c r="W1222" s="70"/>
      <c r="X1222" s="69"/>
      <c r="Y1222" s="69"/>
      <c r="Z1222" s="69"/>
      <c r="AA1222" s="69"/>
      <c r="AB1222" s="69"/>
    </row>
    <row r="1223" spans="1:28">
      <c r="A1223" s="70"/>
      <c r="B1223" s="70"/>
      <c r="C1223" s="70"/>
      <c r="D1223" s="70"/>
      <c r="E1223" s="70"/>
      <c r="F1223" s="70"/>
      <c r="G1223" s="218"/>
      <c r="H1223" s="70"/>
      <c r="I1223" s="70"/>
      <c r="J1223" s="70"/>
      <c r="K1223" s="218"/>
      <c r="L1223" s="218"/>
      <c r="M1223" s="70"/>
      <c r="N1223" s="70"/>
      <c r="O1223" s="218"/>
      <c r="P1223" s="218"/>
      <c r="Q1223" s="70"/>
      <c r="R1223" s="70"/>
      <c r="S1223" s="219"/>
      <c r="T1223" s="70"/>
      <c r="U1223" s="70"/>
      <c r="V1223" s="70"/>
      <c r="W1223" s="70"/>
      <c r="X1223" s="69"/>
      <c r="Y1223" s="69"/>
      <c r="Z1223" s="69"/>
      <c r="AA1223" s="69"/>
      <c r="AB1223" s="69"/>
    </row>
    <row r="1224" spans="1:28">
      <c r="A1224" s="70"/>
      <c r="B1224" s="70"/>
      <c r="C1224" s="70"/>
      <c r="D1224" s="70"/>
      <c r="E1224" s="70"/>
      <c r="F1224" s="70"/>
      <c r="G1224" s="219"/>
      <c r="H1224" s="70"/>
      <c r="I1224" s="70"/>
      <c r="J1224" s="70"/>
      <c r="K1224" s="219"/>
      <c r="L1224" s="219"/>
      <c r="M1224" s="70"/>
      <c r="N1224" s="70"/>
      <c r="O1224" s="219"/>
      <c r="P1224" s="219"/>
      <c r="Q1224" s="70"/>
      <c r="R1224" s="70"/>
      <c r="S1224" s="153"/>
      <c r="T1224" s="70"/>
      <c r="U1224" s="70"/>
      <c r="V1224" s="70"/>
      <c r="W1224" s="70"/>
      <c r="X1224" s="69"/>
      <c r="Y1224" s="69"/>
      <c r="Z1224" s="69"/>
      <c r="AA1224" s="69"/>
      <c r="AB1224" s="69"/>
    </row>
    <row r="1225" spans="1:28">
      <c r="A1225" s="70"/>
      <c r="B1225" s="70"/>
      <c r="C1225" s="70"/>
      <c r="D1225" s="70"/>
      <c r="E1225" s="70"/>
      <c r="F1225" s="70"/>
      <c r="G1225" s="70"/>
      <c r="H1225" s="70"/>
      <c r="I1225" s="70"/>
      <c r="J1225" s="70"/>
      <c r="K1225" s="70"/>
      <c r="L1225" s="70"/>
      <c r="M1225" s="70"/>
      <c r="N1225" s="70"/>
      <c r="O1225" s="70"/>
      <c r="P1225" s="70"/>
      <c r="Q1225" s="70"/>
      <c r="R1225" s="70"/>
      <c r="S1225" s="299"/>
      <c r="T1225" s="70"/>
      <c r="U1225" s="70"/>
      <c r="V1225" s="70"/>
      <c r="W1225" s="70"/>
      <c r="X1225" s="69"/>
      <c r="Y1225" s="69"/>
      <c r="Z1225" s="69"/>
      <c r="AA1225" s="69"/>
      <c r="AB1225" s="69"/>
    </row>
    <row r="1226" spans="1:28">
      <c r="A1226" s="70"/>
      <c r="B1226" s="70"/>
      <c r="C1226" s="70"/>
      <c r="D1226" s="70"/>
      <c r="E1226" s="70"/>
      <c r="F1226" s="70"/>
      <c r="G1226" s="215"/>
      <c r="H1226" s="70"/>
      <c r="I1226" s="70"/>
      <c r="J1226" s="70"/>
      <c r="K1226" s="215"/>
      <c r="L1226" s="215"/>
      <c r="M1226" s="70"/>
      <c r="N1226" s="70"/>
      <c r="O1226" s="215"/>
      <c r="P1226" s="215"/>
      <c r="Q1226" s="70"/>
      <c r="R1226" s="70"/>
      <c r="S1226" s="153"/>
      <c r="T1226" s="70"/>
      <c r="U1226" s="70"/>
      <c r="V1226" s="70"/>
      <c r="W1226" s="70"/>
      <c r="X1226" s="69"/>
      <c r="Y1226" s="69"/>
      <c r="Z1226" s="69"/>
      <c r="AA1226" s="69"/>
      <c r="AB1226" s="69"/>
    </row>
    <row r="1227" spans="1:28">
      <c r="A1227" s="70"/>
      <c r="B1227" s="70"/>
      <c r="C1227" s="70"/>
      <c r="D1227" s="70"/>
      <c r="E1227" s="70"/>
      <c r="F1227" s="70"/>
      <c r="G1227" s="215"/>
      <c r="H1227" s="70"/>
      <c r="I1227" s="70"/>
      <c r="J1227" s="70"/>
      <c r="K1227" s="215"/>
      <c r="L1227" s="215"/>
      <c r="M1227" s="70"/>
      <c r="N1227" s="70"/>
      <c r="O1227" s="215"/>
      <c r="P1227" s="215"/>
      <c r="Q1227" s="70"/>
      <c r="R1227" s="70"/>
      <c r="S1227" s="218"/>
      <c r="T1227" s="70"/>
      <c r="U1227" s="70"/>
      <c r="V1227" s="70"/>
      <c r="W1227" s="70"/>
      <c r="X1227" s="69"/>
      <c r="Y1227" s="69"/>
      <c r="Z1227" s="69"/>
      <c r="AA1227" s="69"/>
      <c r="AB1227" s="69"/>
    </row>
    <row r="1228" spans="1:28">
      <c r="A1228" s="70"/>
      <c r="B1228" s="70"/>
      <c r="C1228" s="70"/>
      <c r="D1228" s="70"/>
      <c r="E1228" s="70"/>
      <c r="F1228" s="70"/>
      <c r="G1228" s="215"/>
      <c r="H1228" s="70"/>
      <c r="I1228" s="70"/>
      <c r="J1228" s="70"/>
      <c r="K1228" s="215"/>
      <c r="L1228" s="215"/>
      <c r="M1228" s="70"/>
      <c r="N1228" s="70"/>
      <c r="O1228" s="215"/>
      <c r="P1228" s="215"/>
      <c r="Q1228" s="70"/>
      <c r="R1228" s="70"/>
      <c r="S1228" s="70"/>
      <c r="T1228" s="70"/>
      <c r="U1228" s="70"/>
      <c r="V1228" s="70"/>
      <c r="W1228" s="70"/>
      <c r="X1228" s="69"/>
      <c r="Y1228" s="69"/>
      <c r="Z1228" s="69"/>
      <c r="AA1228" s="69"/>
      <c r="AB1228" s="69"/>
    </row>
    <row r="1229" spans="1:28">
      <c r="A1229" s="70"/>
      <c r="B1229" s="70"/>
      <c r="C1229" s="70"/>
      <c r="D1229" s="70"/>
      <c r="E1229" s="70"/>
      <c r="F1229" s="70"/>
      <c r="G1229" s="220"/>
      <c r="H1229" s="70"/>
      <c r="I1229" s="70"/>
      <c r="J1229" s="70"/>
      <c r="K1229" s="220"/>
      <c r="L1229" s="220"/>
      <c r="M1229" s="70"/>
      <c r="N1229" s="70"/>
      <c r="O1229" s="220"/>
      <c r="P1229" s="220"/>
      <c r="Q1229" s="70"/>
      <c r="R1229" s="70"/>
      <c r="S1229" s="70"/>
      <c r="T1229" s="70"/>
      <c r="U1229" s="70"/>
      <c r="V1229" s="70"/>
      <c r="W1229" s="70"/>
      <c r="X1229" s="69"/>
      <c r="Y1229" s="69"/>
      <c r="Z1229" s="69"/>
      <c r="AA1229" s="69"/>
      <c r="AB1229" s="69"/>
    </row>
    <row r="1230" spans="1:28">
      <c r="A1230" s="70"/>
      <c r="B1230" s="70"/>
      <c r="C1230" s="70"/>
      <c r="D1230" s="70"/>
      <c r="E1230" s="70"/>
      <c r="F1230" s="70"/>
      <c r="G1230" s="70"/>
      <c r="H1230" s="70"/>
      <c r="I1230" s="70"/>
      <c r="J1230" s="70"/>
      <c r="K1230" s="70"/>
      <c r="L1230" s="70"/>
      <c r="M1230" s="70"/>
      <c r="N1230" s="70"/>
      <c r="O1230" s="70"/>
      <c r="P1230" s="70"/>
      <c r="Q1230" s="70"/>
      <c r="R1230" s="70"/>
      <c r="S1230" s="315"/>
      <c r="T1230" s="70"/>
      <c r="U1230" s="70"/>
      <c r="V1230" s="70"/>
      <c r="W1230" s="70"/>
      <c r="X1230" s="69"/>
      <c r="Y1230" s="69"/>
      <c r="Z1230" s="69"/>
      <c r="AA1230" s="69"/>
      <c r="AB1230" s="69"/>
    </row>
    <row r="1231" spans="1:28">
      <c r="A1231" s="70"/>
      <c r="B1231" s="70"/>
      <c r="C1231" s="70"/>
      <c r="D1231" s="70"/>
      <c r="E1231" s="70"/>
      <c r="F1231" s="70"/>
      <c r="G1231" s="70"/>
      <c r="H1231" s="70"/>
      <c r="I1231" s="70"/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69"/>
      <c r="Y1231" s="69"/>
      <c r="Z1231" s="69"/>
      <c r="AA1231" s="69"/>
      <c r="AB1231" s="69"/>
    </row>
    <row r="1232" spans="1:28"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80"/>
      <c r="V1232" s="80"/>
      <c r="W1232" s="80"/>
      <c r="X1232" s="64"/>
      <c r="Y1232" s="64"/>
      <c r="Z1232" s="64"/>
      <c r="AA1232" s="64"/>
      <c r="AB1232" s="58"/>
    </row>
    <row r="1233" spans="6:28"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80"/>
      <c r="V1233" s="80"/>
      <c r="W1233" s="80"/>
      <c r="X1233" s="64"/>
      <c r="Y1233" s="64"/>
      <c r="Z1233" s="64"/>
      <c r="AA1233" s="64"/>
      <c r="AB1233" s="58"/>
    </row>
    <row r="1234" spans="6:28"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  <c r="U1234" s="80"/>
      <c r="V1234" s="80"/>
      <c r="W1234" s="80"/>
      <c r="X1234" s="64"/>
      <c r="Y1234" s="64"/>
      <c r="Z1234" s="64"/>
      <c r="AA1234" s="64"/>
      <c r="AB1234" s="58"/>
    </row>
    <row r="1235" spans="6:28"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  <c r="U1235" s="80"/>
      <c r="V1235" s="80"/>
      <c r="W1235" s="80"/>
      <c r="X1235" s="80"/>
      <c r="Y1235" s="80"/>
      <c r="Z1235" s="80"/>
      <c r="AA1235" s="64"/>
      <c r="AB1235" s="58"/>
    </row>
    <row r="1236" spans="6:28"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  <c r="U1236" s="80"/>
      <c r="V1236" s="80"/>
      <c r="W1236" s="80"/>
      <c r="X1236" s="80"/>
      <c r="Y1236" s="80"/>
      <c r="Z1236" s="80"/>
      <c r="AA1236" s="64"/>
      <c r="AB1236" s="58"/>
    </row>
    <row r="1237" spans="6:28"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  <c r="U1237" s="80"/>
      <c r="V1237" s="80"/>
      <c r="W1237" s="80"/>
      <c r="X1237" s="80"/>
      <c r="Y1237" s="80"/>
      <c r="Z1237" s="80"/>
      <c r="AA1237" s="64"/>
      <c r="AB1237" s="58"/>
    </row>
    <row r="1238" spans="6:28">
      <c r="F1238" s="112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 s="112"/>
      <c r="U1238" s="112"/>
      <c r="V1238" s="112"/>
      <c r="W1238" s="112"/>
      <c r="X1238" s="112"/>
      <c r="Y1238" s="112"/>
      <c r="Z1238" s="112"/>
      <c r="AA1238" s="64"/>
      <c r="AB1238" s="58"/>
    </row>
    <row r="1239" spans="6:28"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  <c r="U1239" s="80"/>
      <c r="V1239" s="80"/>
      <c r="W1239" s="80"/>
      <c r="X1239" s="80"/>
      <c r="Y1239" s="80"/>
      <c r="Z1239" s="80"/>
      <c r="AA1239" s="64"/>
      <c r="AB1239" s="58"/>
    </row>
    <row r="1240" spans="6:28"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  <c r="U1240" s="80"/>
      <c r="V1240" s="80"/>
      <c r="W1240" s="80"/>
      <c r="X1240" s="80"/>
      <c r="Y1240" s="80"/>
      <c r="Z1240" s="80"/>
      <c r="AA1240" s="64"/>
      <c r="AB1240" s="58"/>
    </row>
    <row r="1241" spans="6:28">
      <c r="X1241" s="60"/>
      <c r="Y1241" s="60"/>
      <c r="Z1241" s="60"/>
      <c r="AA1241" s="64"/>
      <c r="AB1241" s="58"/>
    </row>
    <row r="1242" spans="6:28">
      <c r="F1242" s="152"/>
      <c r="G1242" s="152"/>
      <c r="H1242" s="152"/>
      <c r="I1242" s="152"/>
      <c r="J1242" s="152"/>
      <c r="K1242" s="152"/>
      <c r="L1242" s="152"/>
      <c r="M1242" s="152"/>
      <c r="N1242" s="152"/>
      <c r="O1242" s="152"/>
      <c r="P1242" s="152"/>
      <c r="Q1242" s="152"/>
      <c r="R1242" s="152"/>
      <c r="S1242" s="152"/>
      <c r="T1242" s="152"/>
      <c r="U1242" s="152"/>
      <c r="V1242" s="152"/>
      <c r="W1242" s="152"/>
      <c r="X1242" s="74"/>
      <c r="Y1242" s="74"/>
      <c r="Z1242" s="74"/>
      <c r="AA1242" s="64"/>
      <c r="AB1242" s="58"/>
    </row>
    <row r="1243" spans="6:28">
      <c r="F1243" s="134"/>
      <c r="G1243" s="134"/>
      <c r="H1243" s="134"/>
      <c r="I1243" s="134"/>
      <c r="J1243" s="134"/>
      <c r="K1243" s="134"/>
      <c r="L1243" s="134"/>
      <c r="M1243" s="134"/>
      <c r="N1243" s="134"/>
      <c r="O1243" s="134"/>
      <c r="P1243" s="134"/>
      <c r="Q1243" s="134"/>
      <c r="R1243" s="134"/>
      <c r="S1243" s="134"/>
      <c r="T1243" s="134"/>
      <c r="U1243" s="134"/>
      <c r="V1243" s="134"/>
      <c r="W1243" s="134"/>
      <c r="X1243" s="134"/>
      <c r="Y1243" s="134"/>
      <c r="Z1243" s="134"/>
      <c r="AA1243" s="64"/>
      <c r="AB1243" s="58"/>
    </row>
    <row r="1244" spans="6:28"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  <c r="U1244" s="80"/>
      <c r="V1244" s="80"/>
      <c r="W1244" s="80"/>
      <c r="X1244" s="80"/>
      <c r="Y1244" s="80"/>
      <c r="Z1244" s="80"/>
      <c r="AA1244" s="64"/>
      <c r="AB1244" s="58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2018&amp;R&amp;"Times New Roman,Bold"&amp;12Exhibit WSS-23
Page &amp;P of &amp;N</oddHeader>
  </headerFooter>
  <rowBreaks count="26" manualBreakCount="26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35" max="20" man="1"/>
    <brk id="751" max="20" man="1"/>
    <brk id="837" max="20" man="1"/>
    <brk id="849" max="16383" man="1"/>
    <brk id="879" max="20" man="1"/>
    <brk id="914" max="20" man="1"/>
    <brk id="955" max="20" man="1"/>
    <brk id="990" max="20" man="1"/>
    <brk id="1039" max="20" man="1"/>
    <brk id="1063" max="20" man="1"/>
    <brk id="1103" max="16383" man="1"/>
    <brk id="1154" max="16383" man="1"/>
    <brk id="1172" max="16383" man="1"/>
    <brk id="1220" max="34" man="1"/>
  </rowBreaks>
  <colBreaks count="2" manualBreakCount="2">
    <brk id="11" max="1101" man="1"/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view="pageBreakPreview" topLeftCell="A24" zoomScale="80" zoomScaleNormal="90" zoomScaleSheetLayoutView="80" workbookViewId="0">
      <selection activeCell="A24" sqref="A24"/>
    </sheetView>
  </sheetViews>
  <sheetFormatPr defaultRowHeight="15"/>
  <cols>
    <col min="1" max="1" width="38.28515625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8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 hidden="1">
      <c r="A1" s="27" t="s">
        <v>617</v>
      </c>
    </row>
    <row r="2" spans="1:74" hidden="1">
      <c r="A2" s="5" t="s">
        <v>1281</v>
      </c>
      <c r="B2" s="20"/>
      <c r="C2" s="252"/>
      <c r="D2" s="252"/>
      <c r="E2" s="252"/>
      <c r="F2" s="252"/>
      <c r="H2" s="390"/>
      <c r="I2" s="390"/>
      <c r="J2" s="390"/>
      <c r="K2" s="390"/>
      <c r="M2" s="390"/>
      <c r="N2" s="390"/>
      <c r="O2" s="390"/>
      <c r="P2" s="390"/>
    </row>
    <row r="3" spans="1:74" hidden="1">
      <c r="A3" s="20"/>
      <c r="B3" s="20"/>
      <c r="C3" s="15"/>
      <c r="D3" s="21"/>
      <c r="E3" s="21"/>
      <c r="F3" s="22"/>
      <c r="G3" s="20"/>
      <c r="H3" s="23"/>
      <c r="I3" s="23"/>
      <c r="J3" s="23"/>
      <c r="K3" s="24"/>
      <c r="L3" s="20"/>
      <c r="M3" s="23"/>
      <c r="N3" s="23"/>
      <c r="O3" s="23"/>
      <c r="P3" s="2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hidden="1"/>
    <row r="5" spans="1:74" hidden="1">
      <c r="A5" s="10"/>
      <c r="B5" s="12"/>
      <c r="K5" s="8"/>
      <c r="P5" s="8"/>
    </row>
    <row r="6" spans="1:74" hidden="1">
      <c r="A6" s="13"/>
      <c r="B6" s="12"/>
      <c r="K6" s="8"/>
      <c r="P6" s="8"/>
    </row>
    <row r="7" spans="1:74" hidden="1">
      <c r="A7" s="13"/>
      <c r="B7" s="12"/>
      <c r="D7" s="14" t="s">
        <v>167</v>
      </c>
      <c r="E7" s="14" t="s">
        <v>169</v>
      </c>
      <c r="F7" s="29"/>
      <c r="G7" s="1"/>
      <c r="K7" s="8"/>
      <c r="P7" s="8"/>
    </row>
    <row r="8" spans="1:74" ht="15.75" hidden="1" thickBot="1">
      <c r="A8" s="25"/>
      <c r="B8" s="26"/>
      <c r="C8" s="28" t="s">
        <v>1129</v>
      </c>
      <c r="D8" s="28" t="s">
        <v>168</v>
      </c>
      <c r="E8" s="28" t="s">
        <v>1128</v>
      </c>
      <c r="F8" s="30" t="s">
        <v>965</v>
      </c>
      <c r="G8" s="28" t="s">
        <v>170</v>
      </c>
      <c r="K8" s="8"/>
      <c r="P8" s="8"/>
    </row>
    <row r="9" spans="1:74" hidden="1">
      <c r="A9" s="13"/>
      <c r="B9" s="12"/>
      <c r="K9" s="8"/>
      <c r="P9" s="8"/>
    </row>
    <row r="10" spans="1:74" hidden="1">
      <c r="A10" s="31" t="s">
        <v>1278</v>
      </c>
      <c r="B10" s="12"/>
      <c r="C10" s="2">
        <f>Allocation!G710</f>
        <v>405988994.16238278</v>
      </c>
      <c r="D10" s="2">
        <f>Allocation!G726</f>
        <v>372721995.42893672</v>
      </c>
      <c r="E10" s="2">
        <f>C10-D10</f>
        <v>33266998.733446062</v>
      </c>
      <c r="F10" s="2">
        <f>Allocation!G730</f>
        <v>1151746077.2153518</v>
      </c>
      <c r="G10" s="18">
        <f>E10/F10</f>
        <v>2.8883969645355993E-2</v>
      </c>
      <c r="H10" s="18"/>
      <c r="K10" s="8"/>
      <c r="P10" s="8"/>
    </row>
    <row r="11" spans="1:74" hidden="1">
      <c r="A11" s="31" t="s">
        <v>1341</v>
      </c>
      <c r="B11" s="12"/>
      <c r="C11" s="4">
        <f>Allocation!H710</f>
        <v>142823559.18654126</v>
      </c>
      <c r="D11" s="4">
        <f>Allocation!H726</f>
        <v>119725786.46773888</v>
      </c>
      <c r="E11" s="4">
        <f>C11-D11</f>
        <v>23097772.718802378</v>
      </c>
      <c r="F11" s="4">
        <f>Allocation!H730</f>
        <v>302071164.72748941</v>
      </c>
      <c r="G11" s="18">
        <f>E11/F11</f>
        <v>7.6464672619909982E-2</v>
      </c>
      <c r="H11" s="18"/>
      <c r="K11" s="8"/>
      <c r="P11" s="8"/>
    </row>
    <row r="12" spans="1:74" hidden="1">
      <c r="A12" s="32" t="s">
        <v>1279</v>
      </c>
      <c r="C12" s="4">
        <f>Allocation!J710</f>
        <v>12222622.640936047</v>
      </c>
      <c r="D12" s="4">
        <f>Allocation!J726</f>
        <v>10733031.328126846</v>
      </c>
      <c r="E12" s="36">
        <f>C12-D12</f>
        <v>1489591.312809201</v>
      </c>
      <c r="F12" s="4">
        <f>Allocation!J730</f>
        <v>22598765.024464671</v>
      </c>
      <c r="G12" s="18">
        <f>E12/F12</f>
        <v>6.5914721941514015E-2</v>
      </c>
      <c r="H12" s="18"/>
    </row>
    <row r="13" spans="1:74" hidden="1">
      <c r="A13" s="32" t="s">
        <v>1280</v>
      </c>
      <c r="C13" s="4">
        <f>Allocation!K710</f>
        <v>159865881.54324916</v>
      </c>
      <c r="D13" s="4">
        <f>Allocation!K726</f>
        <v>134301383.34892192</v>
      </c>
      <c r="E13" s="4">
        <f>C13-D13</f>
        <v>25564498.194327235</v>
      </c>
      <c r="F13" s="4">
        <f>Allocation!K730</f>
        <v>290318355.05589318</v>
      </c>
      <c r="G13" s="18">
        <f>E13/F13</f>
        <v>8.8056775429874085E-2</v>
      </c>
      <c r="H13" s="18"/>
    </row>
    <row r="14" spans="1:74" hidden="1">
      <c r="A14" s="32" t="s">
        <v>1340</v>
      </c>
      <c r="B14" s="12"/>
      <c r="C14" s="4">
        <f>Allocation!N710</f>
        <v>124721696.03527898</v>
      </c>
      <c r="D14" s="4">
        <f>Allocation!N726</f>
        <v>113220697.46382819</v>
      </c>
      <c r="E14" s="4">
        <f t="shared" ref="E14:E21" si="0">C14-D14</f>
        <v>11500998.571450785</v>
      </c>
      <c r="F14" s="4">
        <f>Allocation!N730</f>
        <v>242194583.63978818</v>
      </c>
      <c r="G14" s="18">
        <f t="shared" ref="G14:G22" si="1">E14/F14</f>
        <v>4.7486605185836944E-2</v>
      </c>
      <c r="H14" s="18"/>
    </row>
    <row r="15" spans="1:74" hidden="1">
      <c r="A15" s="32" t="s">
        <v>1339</v>
      </c>
      <c r="B15" s="12"/>
      <c r="C15" s="4">
        <f>Allocation!O710</f>
        <v>81216847.279131055</v>
      </c>
      <c r="D15" s="4">
        <f>Allocation!O726</f>
        <v>64331240.389036208</v>
      </c>
      <c r="E15" s="4">
        <f t="shared" si="0"/>
        <v>16885606.890094846</v>
      </c>
      <c r="F15" s="4">
        <f>Allocation!O730</f>
        <v>143524479.34195939</v>
      </c>
      <c r="G15" s="18">
        <f t="shared" si="1"/>
        <v>0.1176496648342715</v>
      </c>
      <c r="H15" s="18"/>
    </row>
    <row r="16" spans="1:74" hidden="1">
      <c r="A16" s="32" t="s">
        <v>1343</v>
      </c>
      <c r="B16" s="12"/>
      <c r="C16" s="4">
        <f>Allocation!P710</f>
        <v>68908304.470544368</v>
      </c>
      <c r="D16" s="4">
        <f>Allocation!P726</f>
        <v>64162435.572467119</v>
      </c>
      <c r="E16" s="4">
        <f t="shared" si="0"/>
        <v>4745868.8980772495</v>
      </c>
      <c r="F16" s="4">
        <f>Allocation!P730</f>
        <v>127237257.44781397</v>
      </c>
      <c r="G16" s="18">
        <f t="shared" si="1"/>
        <v>3.7299364928733668E-2</v>
      </c>
      <c r="H16" s="18"/>
    </row>
    <row r="17" spans="1:16" hidden="1">
      <c r="A17" s="31" t="s">
        <v>1345</v>
      </c>
      <c r="B17" s="12"/>
      <c r="C17" s="4">
        <f>Allocation!Q710</f>
        <v>6805597.9195119208</v>
      </c>
      <c r="D17" s="4">
        <f>Allocation!Q726</f>
        <v>6505771.9677781062</v>
      </c>
      <c r="E17" s="4">
        <f t="shared" si="0"/>
        <v>299825.95173381455</v>
      </c>
      <c r="F17" s="4">
        <f>Allocation!Q730</f>
        <v>15203335.994018935</v>
      </c>
      <c r="G17" s="18">
        <f t="shared" si="1"/>
        <v>1.9721063314772989E-2</v>
      </c>
      <c r="H17" s="18"/>
    </row>
    <row r="18" spans="1:16" hidden="1">
      <c r="A18" s="31" t="s">
        <v>1348</v>
      </c>
      <c r="B18" s="12"/>
      <c r="C18" s="36">
        <f>Allocation!R710</f>
        <v>3536392.0676816972</v>
      </c>
      <c r="D18" s="36">
        <f>Allocation!R726</f>
        <v>3343411.1257372517</v>
      </c>
      <c r="E18" s="36">
        <f t="shared" si="0"/>
        <v>192980.94194444548</v>
      </c>
      <c r="F18" s="36">
        <f>Allocation!R730</f>
        <v>7082689.0574253704</v>
      </c>
      <c r="G18" s="37">
        <f t="shared" si="1"/>
        <v>2.7246846554999836E-2</v>
      </c>
      <c r="H18" s="18"/>
    </row>
    <row r="19" spans="1:16" hidden="1">
      <c r="A19" s="32" t="s">
        <v>1311</v>
      </c>
      <c r="B19" s="12"/>
      <c r="C19" s="4">
        <f>Allocation!S710</f>
        <v>19025879.11428098</v>
      </c>
      <c r="D19" s="4">
        <f>Allocation!S726</f>
        <v>14656231.903749093</v>
      </c>
      <c r="E19" s="36">
        <f t="shared" si="0"/>
        <v>4369647.2105318867</v>
      </c>
      <c r="F19" s="4">
        <f>Allocation!S730</f>
        <v>78174244.52773416</v>
      </c>
      <c r="G19" s="18">
        <f t="shared" si="1"/>
        <v>5.5896251213296354E-2</v>
      </c>
      <c r="H19" s="18"/>
    </row>
    <row r="20" spans="1:16" hidden="1">
      <c r="A20" s="32" t="s">
        <v>1312</v>
      </c>
      <c r="B20" s="12"/>
      <c r="C20" s="4">
        <f>Allocation!T710</f>
        <v>225151.42482732132</v>
      </c>
      <c r="D20" s="4">
        <f>Allocation!T726</f>
        <v>199175.56339998255</v>
      </c>
      <c r="E20" s="36">
        <f t="shared" si="0"/>
        <v>25975.861427338765</v>
      </c>
      <c r="F20" s="4">
        <f>Allocation!T730</f>
        <v>308732.70736411982</v>
      </c>
      <c r="G20" s="18">
        <f t="shared" si="1"/>
        <v>8.4137057097428927E-2</v>
      </c>
      <c r="H20" s="18"/>
    </row>
    <row r="21" spans="1:16" hidden="1">
      <c r="A21" s="41" t="s">
        <v>1313</v>
      </c>
      <c r="B21" s="40"/>
      <c r="C21" s="33">
        <f>Allocation!U710</f>
        <v>283986.15563438524</v>
      </c>
      <c r="D21" s="33">
        <f>Allocation!U726</f>
        <v>247028.68297776376</v>
      </c>
      <c r="E21" s="33">
        <f t="shared" si="0"/>
        <v>36957.472656621481</v>
      </c>
      <c r="F21" s="33">
        <f>Allocation!U730</f>
        <v>474242.50220579916</v>
      </c>
      <c r="G21" s="34">
        <f t="shared" si="1"/>
        <v>7.7929482247425519E-2</v>
      </c>
      <c r="H21" s="18"/>
    </row>
    <row r="22" spans="1:16" hidden="1">
      <c r="C22" s="4">
        <f>SUM(C10:C21)</f>
        <v>1025624911.9999999</v>
      </c>
      <c r="D22" s="3">
        <f>SUM(D10:D21)</f>
        <v>904148189.24269819</v>
      </c>
      <c r="E22" s="3">
        <f>SUM(E10:E21)</f>
        <v>121476722.75730187</v>
      </c>
      <c r="F22" s="3">
        <f>SUM(F10:F21)</f>
        <v>2380933927.2415094</v>
      </c>
      <c r="G22" s="18">
        <f t="shared" si="1"/>
        <v>5.1020618996362392E-2</v>
      </c>
    </row>
    <row r="23" spans="1:16" hidden="1">
      <c r="B23" s="12"/>
      <c r="C23" s="236"/>
      <c r="D23" s="236"/>
      <c r="E23" s="35"/>
      <c r="F23" s="36"/>
      <c r="G23" s="37"/>
    </row>
    <row r="24" spans="1:16" ht="18.75">
      <c r="A24" s="27" t="s">
        <v>617</v>
      </c>
      <c r="B24" s="12"/>
    </row>
    <row r="25" spans="1:16">
      <c r="A25" s="5" t="s">
        <v>1309</v>
      </c>
    </row>
    <row r="29" spans="1:16">
      <c r="A29" s="13"/>
      <c r="B29" s="12"/>
      <c r="D29" s="14" t="s">
        <v>167</v>
      </c>
      <c r="E29" s="14" t="s">
        <v>169</v>
      </c>
      <c r="F29" s="29"/>
      <c r="G29" s="1"/>
      <c r="I29" s="289"/>
      <c r="J29" s="290"/>
      <c r="K29" s="8"/>
      <c r="P29" s="8"/>
    </row>
    <row r="30" spans="1:16" ht="15.75" thickBot="1">
      <c r="A30" s="25"/>
      <c r="B30" s="26"/>
      <c r="C30" s="28" t="s">
        <v>1129</v>
      </c>
      <c r="D30" s="28" t="s">
        <v>168</v>
      </c>
      <c r="E30" s="28" t="s">
        <v>1128</v>
      </c>
      <c r="F30" s="30" t="s">
        <v>965</v>
      </c>
      <c r="G30" s="28" t="s">
        <v>170</v>
      </c>
      <c r="I30" s="291"/>
      <c r="J30" s="290"/>
      <c r="K30" s="8"/>
      <c r="P30" s="8"/>
    </row>
    <row r="31" spans="1:16">
      <c r="A31" s="13"/>
      <c r="B31" s="12"/>
      <c r="I31" s="292"/>
      <c r="J31" s="290"/>
      <c r="K31" s="8"/>
      <c r="P31" s="8"/>
    </row>
    <row r="32" spans="1:16">
      <c r="A32" s="184" t="str">
        <f t="shared" ref="A32:A37" si="2">A10</f>
        <v>Residential Rate RS</v>
      </c>
      <c r="B32" s="12"/>
      <c r="C32" s="2">
        <f>Allocation!G770</f>
        <v>402691157.59861892</v>
      </c>
      <c r="D32" s="2">
        <f>Allocation!G821</f>
        <v>372178374.85302812</v>
      </c>
      <c r="E32" s="2">
        <f t="shared" ref="E32:E37" si="3">C32-D32</f>
        <v>30512782.745590806</v>
      </c>
      <c r="F32" s="2">
        <f>Allocation!G834</f>
        <v>1151746077.2153518</v>
      </c>
      <c r="G32" s="18">
        <f t="shared" ref="G32:G37" si="4">E32/F32</f>
        <v>2.6492630059017402E-2</v>
      </c>
      <c r="H32" s="18"/>
      <c r="I32" s="292"/>
      <c r="J32" s="292"/>
      <c r="K32" s="8"/>
      <c r="P32" s="8"/>
    </row>
    <row r="33" spans="1:16">
      <c r="A33" s="184" t="str">
        <f t="shared" si="2"/>
        <v xml:space="preserve">General Service </v>
      </c>
      <c r="B33" s="12"/>
      <c r="C33" s="4">
        <f>Allocation!H770</f>
        <v>140975017.27178732</v>
      </c>
      <c r="D33" s="4">
        <f>Allocation!H821</f>
        <v>118798755.85954961</v>
      </c>
      <c r="E33" s="4">
        <f t="shared" si="3"/>
        <v>22176261.412237704</v>
      </c>
      <c r="F33" s="4">
        <f>Allocation!H834</f>
        <v>302071164.72748941</v>
      </c>
      <c r="G33" s="18">
        <f t="shared" si="4"/>
        <v>7.3414029545798606E-2</v>
      </c>
      <c r="H33" s="18"/>
      <c r="I33" s="292"/>
      <c r="J33" s="292"/>
      <c r="K33" s="8"/>
      <c r="P33" s="8"/>
    </row>
    <row r="34" spans="1:16">
      <c r="A34" s="184" t="str">
        <f t="shared" si="2"/>
        <v>Power Service Primary Rate PS</v>
      </c>
      <c r="C34" s="4">
        <f>Allocation!J770</f>
        <v>12142004.094456457</v>
      </c>
      <c r="D34" s="4">
        <f>Allocation!J821</f>
        <v>10674314.055227157</v>
      </c>
      <c r="E34" s="36">
        <f t="shared" si="3"/>
        <v>1467690.0392292999</v>
      </c>
      <c r="F34" s="4">
        <f>Allocation!J834</f>
        <v>22598765.024464671</v>
      </c>
      <c r="G34" s="18">
        <f t="shared" si="4"/>
        <v>6.4945586081382206E-2</v>
      </c>
      <c r="H34" s="18"/>
      <c r="I34" s="292"/>
      <c r="J34" s="292"/>
    </row>
    <row r="35" spans="1:16">
      <c r="A35" s="184" t="str">
        <f t="shared" si="2"/>
        <v>Power Service Secondary Rate PS</v>
      </c>
      <c r="C35" s="4">
        <f>Allocation!K770</f>
        <v>158862991.66252178</v>
      </c>
      <c r="D35" s="4">
        <f>Allocation!K821</f>
        <v>133211477.61188452</v>
      </c>
      <c r="E35" s="4">
        <f t="shared" si="3"/>
        <v>25651514.05063726</v>
      </c>
      <c r="F35" s="4">
        <f>Allocation!K834</f>
        <v>290318355.05589318</v>
      </c>
      <c r="G35" s="18">
        <f t="shared" si="4"/>
        <v>8.8356501075168792E-2</v>
      </c>
      <c r="H35" s="18"/>
      <c r="I35" s="292"/>
      <c r="J35" s="292"/>
    </row>
    <row r="36" spans="1:16">
      <c r="A36" s="184" t="str">
        <f t="shared" si="2"/>
        <v>TOD Rate TOD Primary</v>
      </c>
      <c r="B36" s="12"/>
      <c r="C36" s="4">
        <f>Allocation!N770</f>
        <v>123888502.46207795</v>
      </c>
      <c r="D36" s="4">
        <f>Allocation!N821</f>
        <v>112829253.62369046</v>
      </c>
      <c r="E36" s="4">
        <f t="shared" si="3"/>
        <v>11059248.838387489</v>
      </c>
      <c r="F36" s="4">
        <f>Allocation!N834</f>
        <v>242194583.63978818</v>
      </c>
      <c r="G36" s="18">
        <f t="shared" si="4"/>
        <v>4.5662659635839417E-2</v>
      </c>
      <c r="H36" s="18"/>
      <c r="I36" s="292"/>
      <c r="J36" s="292"/>
    </row>
    <row r="37" spans="1:16">
      <c r="A37" s="184" t="str">
        <f t="shared" si="2"/>
        <v>TOD Rate TOD Secondary</v>
      </c>
      <c r="B37" s="12"/>
      <c r="C37" s="4">
        <f>Allocation!O770</f>
        <v>80679093.725201458</v>
      </c>
      <c r="D37" s="4">
        <f>Allocation!O821</f>
        <v>63570257.386154547</v>
      </c>
      <c r="E37" s="4">
        <f t="shared" si="3"/>
        <v>17108836.33904691</v>
      </c>
      <c r="F37" s="4">
        <f>Allocation!O834</f>
        <v>143524479.34195939</v>
      </c>
      <c r="G37" s="18">
        <f t="shared" si="4"/>
        <v>0.11920500542826315</v>
      </c>
      <c r="H37" s="18"/>
      <c r="I37" s="292"/>
      <c r="J37" s="292"/>
    </row>
    <row r="38" spans="1:16">
      <c r="A38" s="184" t="str">
        <f t="shared" ref="A38:A43" si="5">A16</f>
        <v>Retail Transmission Service Rate RTS</v>
      </c>
      <c r="B38" s="12"/>
      <c r="C38" s="4">
        <f>Allocation!P770</f>
        <v>68446605.210421458</v>
      </c>
      <c r="D38" s="4">
        <f>Allocation!P821</f>
        <v>64020027.56778039</v>
      </c>
      <c r="E38" s="4">
        <f t="shared" ref="E38:E43" si="6">C38-D38</f>
        <v>4426577.6426410675</v>
      </c>
      <c r="F38" s="4">
        <f>Allocation!P834</f>
        <v>127237257.44781397</v>
      </c>
      <c r="G38" s="18">
        <f t="shared" ref="G38:G44" si="7">E38/F38</f>
        <v>3.4789948568772135E-2</v>
      </c>
      <c r="H38" s="18"/>
      <c r="I38" s="290"/>
      <c r="J38" s="292"/>
    </row>
    <row r="39" spans="1:16">
      <c r="A39" s="184" t="str">
        <f t="shared" si="5"/>
        <v>Special Contract #1</v>
      </c>
      <c r="B39" s="12"/>
      <c r="C39" s="4">
        <f>Allocation!Q770</f>
        <v>6762885.5315703759</v>
      </c>
      <c r="D39" s="4">
        <f>Allocation!Q821</f>
        <v>6504147.9048345136</v>
      </c>
      <c r="E39" s="4">
        <f t="shared" si="6"/>
        <v>258737.62673586234</v>
      </c>
      <c r="F39" s="4">
        <f>Allocation!Q834</f>
        <v>15203335.994018935</v>
      </c>
      <c r="G39" s="18">
        <f t="shared" si="7"/>
        <v>1.7018477184063484E-2</v>
      </c>
      <c r="H39" s="18">
        <f>(E39+E40)/(F39+F40)</f>
        <v>1.940728836501103E-2</v>
      </c>
      <c r="I39" s="292"/>
      <c r="J39" s="292"/>
    </row>
    <row r="40" spans="1:16">
      <c r="A40" s="184" t="str">
        <f t="shared" si="5"/>
        <v>Special Contract #2</v>
      </c>
      <c r="B40" s="12"/>
      <c r="C40" s="36">
        <f>Allocation!R770</f>
        <v>3513275.1177982604</v>
      </c>
      <c r="D40" s="36">
        <f>Allocation!R821</f>
        <v>3339501.4298508833</v>
      </c>
      <c r="E40" s="36">
        <f t="shared" si="6"/>
        <v>173773.6879473771</v>
      </c>
      <c r="F40" s="36">
        <f>Allocation!R834</f>
        <v>7082689.0574253704</v>
      </c>
      <c r="G40" s="37">
        <f t="shared" si="7"/>
        <v>2.4534987564531825E-2</v>
      </c>
      <c r="H40" s="18"/>
      <c r="I40" s="292"/>
      <c r="J40" s="292"/>
    </row>
    <row r="41" spans="1:16">
      <c r="A41" s="184" t="str">
        <f t="shared" si="5"/>
        <v>Lighting Rate RLS &amp; LS</v>
      </c>
      <c r="B41" s="12"/>
      <c r="C41" s="4">
        <f>Allocation!S770</f>
        <v>18735746.033272326</v>
      </c>
      <c r="D41" s="4">
        <f>Allocation!S821</f>
        <v>14519175.249503555</v>
      </c>
      <c r="E41" s="36">
        <f t="shared" si="6"/>
        <v>4216570.7837687712</v>
      </c>
      <c r="F41" s="4">
        <f>Allocation!S834</f>
        <v>78174244.52773416</v>
      </c>
      <c r="G41" s="18">
        <f t="shared" si="7"/>
        <v>5.3938107227538903E-2</v>
      </c>
      <c r="H41" s="18"/>
      <c r="I41" s="292"/>
      <c r="J41" s="292"/>
    </row>
    <row r="42" spans="1:16">
      <c r="A42" s="184" t="str">
        <f t="shared" si="5"/>
        <v>Lighting Rate LE</v>
      </c>
      <c r="B42" s="12"/>
      <c r="C42" s="4">
        <f>Allocation!T770</f>
        <v>222752.47327662929</v>
      </c>
      <c r="D42" s="4">
        <f>Allocation!T821</f>
        <v>198019.37477549116</v>
      </c>
      <c r="E42" s="36">
        <f t="shared" si="6"/>
        <v>24733.098501138127</v>
      </c>
      <c r="F42" s="4">
        <f>Allocation!T834</f>
        <v>308732.70736411982</v>
      </c>
      <c r="G42" s="18">
        <f t="shared" si="7"/>
        <v>8.0111688561613506E-2</v>
      </c>
      <c r="H42" s="18"/>
      <c r="I42" s="292"/>
      <c r="J42" s="292"/>
    </row>
    <row r="43" spans="1:16">
      <c r="A43" s="41" t="str">
        <f t="shared" si="5"/>
        <v>Lighting Rate TLE</v>
      </c>
      <c r="B43" s="40"/>
      <c r="C43" s="33">
        <f>Allocation!U770</f>
        <v>281621.28024605225</v>
      </c>
      <c r="D43" s="33">
        <f>Allocation!U821</f>
        <v>245470.20641885977</v>
      </c>
      <c r="E43" s="33">
        <f t="shared" si="6"/>
        <v>36151.073827192478</v>
      </c>
      <c r="F43" s="33">
        <f>Allocation!U834</f>
        <v>474242.50220579916</v>
      </c>
      <c r="G43" s="34">
        <f t="shared" si="7"/>
        <v>7.6229088829125227E-2</v>
      </c>
      <c r="H43" s="18"/>
      <c r="I43" s="292"/>
      <c r="J43" s="292"/>
    </row>
    <row r="44" spans="1:16">
      <c r="C44" s="4">
        <f>SUM(C32:C43)</f>
        <v>1017201652.4612489</v>
      </c>
      <c r="D44" s="4">
        <f>SUM(D32:D43)</f>
        <v>900088775.12269819</v>
      </c>
      <c r="E44" s="4">
        <f>SUM(E32:E43)</f>
        <v>117112877.33855088</v>
      </c>
      <c r="F44" s="4">
        <f>SUM(F32:F43)</f>
        <v>2380933927.2415094</v>
      </c>
      <c r="G44" s="18">
        <f t="shared" si="7"/>
        <v>4.918778971503629E-2</v>
      </c>
      <c r="I44" s="292"/>
      <c r="J44" s="292"/>
    </row>
    <row r="45" spans="1:16">
      <c r="I45" s="292"/>
      <c r="J45" s="292"/>
    </row>
    <row r="47" spans="1:16" ht="18.75">
      <c r="A47" s="27" t="s">
        <v>617</v>
      </c>
      <c r="B47" s="12"/>
    </row>
    <row r="48" spans="1:16">
      <c r="A48" s="5" t="s">
        <v>1310</v>
      </c>
    </row>
    <row r="49" spans="1:16">
      <c r="A49" s="213"/>
    </row>
    <row r="52" spans="1:16">
      <c r="A52" s="13"/>
      <c r="B52" s="12"/>
      <c r="D52" s="14" t="s">
        <v>167</v>
      </c>
      <c r="E52" s="14" t="s">
        <v>169</v>
      </c>
      <c r="F52" s="29"/>
      <c r="G52" s="1"/>
      <c r="K52" s="8"/>
      <c r="P52" s="8"/>
    </row>
    <row r="53" spans="1:16" ht="15.75" thickBot="1">
      <c r="A53" s="25"/>
      <c r="B53" s="26"/>
      <c r="C53" s="28" t="s">
        <v>1129</v>
      </c>
      <c r="D53" s="28" t="s">
        <v>168</v>
      </c>
      <c r="E53" s="28" t="s">
        <v>1128</v>
      </c>
      <c r="F53" s="30" t="s">
        <v>965</v>
      </c>
      <c r="G53" s="28" t="s">
        <v>170</v>
      </c>
      <c r="K53" s="8"/>
      <c r="P53" s="8"/>
    </row>
    <row r="54" spans="1:16">
      <c r="A54" s="13"/>
      <c r="B54" s="12"/>
      <c r="K54" s="8"/>
      <c r="P54" s="8"/>
    </row>
    <row r="55" spans="1:16">
      <c r="A55" s="184" t="str">
        <f>A32</f>
        <v>Residential Rate RS</v>
      </c>
      <c r="B55" s="12"/>
      <c r="C55" s="2">
        <f>Allocation!G968</f>
        <v>445591204.63707763</v>
      </c>
      <c r="D55" s="2">
        <f>Allocation!G981</f>
        <v>388979971.65075392</v>
      </c>
      <c r="E55" s="2">
        <f t="shared" ref="E55:E60" si="8">C55-D55</f>
        <v>56611232.986323714</v>
      </c>
      <c r="F55" s="2">
        <f>Allocation!G986</f>
        <v>1151746077.2153518</v>
      </c>
      <c r="G55" s="18">
        <f t="shared" ref="G55:G60" si="9">E55/F55</f>
        <v>4.9152529456142117E-2</v>
      </c>
      <c r="H55" s="18"/>
      <c r="K55" s="8"/>
      <c r="P55" s="8"/>
    </row>
    <row r="56" spans="1:16">
      <c r="A56" s="184" t="str">
        <f t="shared" ref="A56:A66" si="10">A33</f>
        <v xml:space="preserve">General Service </v>
      </c>
      <c r="B56" s="12"/>
      <c r="C56" s="4">
        <f>Allocation!H968</f>
        <v>153424171.16245684</v>
      </c>
      <c r="D56" s="4">
        <f>Allocation!H981</f>
        <v>123653698.09199904</v>
      </c>
      <c r="E56" s="4">
        <f t="shared" si="8"/>
        <v>29770473.070457801</v>
      </c>
      <c r="F56" s="4">
        <f>Allocation!H986</f>
        <v>302071164.72748941</v>
      </c>
      <c r="G56" s="18">
        <f t="shared" si="9"/>
        <v>9.8554501543750284E-2</v>
      </c>
      <c r="H56" s="18"/>
      <c r="K56" s="8"/>
      <c r="P56" s="8"/>
    </row>
    <row r="57" spans="1:16">
      <c r="A57" s="184" t="str">
        <f t="shared" si="10"/>
        <v>Power Service Primary Rate PS</v>
      </c>
      <c r="C57" s="4">
        <f>Allocation!J968</f>
        <v>13198072.913746819</v>
      </c>
      <c r="D57" s="4">
        <f>Allocation!J981</f>
        <v>11084567.686499422</v>
      </c>
      <c r="E57" s="36">
        <f t="shared" si="8"/>
        <v>2113505.2272473965</v>
      </c>
      <c r="F57" s="4">
        <f>Allocation!J986</f>
        <v>22598765.024464671</v>
      </c>
      <c r="G57" s="18">
        <f t="shared" si="9"/>
        <v>9.3523040969689539E-2</v>
      </c>
      <c r="H57" s="18"/>
    </row>
    <row r="58" spans="1:16">
      <c r="A58" s="184" t="str">
        <f t="shared" si="10"/>
        <v>Power Service Secondary Rate PS</v>
      </c>
      <c r="C58" s="4">
        <f>Allocation!K968</f>
        <v>170790688.24888542</v>
      </c>
      <c r="D58" s="4">
        <f>Allocation!K981</f>
        <v>137849954.492441</v>
      </c>
      <c r="E58" s="4">
        <f t="shared" si="8"/>
        <v>32940733.756444424</v>
      </c>
      <c r="F58" s="4">
        <f>Allocation!K986</f>
        <v>290318355.05589318</v>
      </c>
      <c r="G58" s="18">
        <f t="shared" si="9"/>
        <v>0.11346417883258725</v>
      </c>
      <c r="H58" s="18"/>
    </row>
    <row r="59" spans="1:16">
      <c r="A59" s="184" t="str">
        <f t="shared" si="10"/>
        <v>TOD Rate TOD Primary</v>
      </c>
      <c r="B59" s="12"/>
      <c r="C59" s="4">
        <f>Allocation!N968</f>
        <v>134504326.27380323</v>
      </c>
      <c r="D59" s="4">
        <f>Allocation!N981</f>
        <v>116953161.42539504</v>
      </c>
      <c r="E59" s="4">
        <f t="shared" si="8"/>
        <v>17551164.848408192</v>
      </c>
      <c r="F59" s="4">
        <f>Allocation!N986</f>
        <v>242194583.63978818</v>
      </c>
      <c r="G59" s="18">
        <f t="shared" si="9"/>
        <v>7.2467206263009315E-2</v>
      </c>
      <c r="H59" s="18"/>
    </row>
    <row r="60" spans="1:16">
      <c r="A60" s="184" t="str">
        <f t="shared" si="10"/>
        <v>TOD Rate TOD Secondary</v>
      </c>
      <c r="B60" s="12"/>
      <c r="C60" s="253">
        <f>Allocation!O968</f>
        <v>86532337.36381042</v>
      </c>
      <c r="D60" s="4">
        <f>Allocation!O981</f>
        <v>65846625.717306003</v>
      </c>
      <c r="E60" s="4">
        <f t="shared" si="8"/>
        <v>20685711.646504417</v>
      </c>
      <c r="F60" s="4">
        <f>Allocation!O986</f>
        <v>143524479.34195939</v>
      </c>
      <c r="G60" s="18">
        <f t="shared" si="9"/>
        <v>0.14412671442074307</v>
      </c>
      <c r="H60" s="18"/>
    </row>
    <row r="61" spans="1:16">
      <c r="A61" s="184" t="str">
        <f t="shared" si="10"/>
        <v>Retail Transmission Service Rate RTS</v>
      </c>
      <c r="B61" s="12"/>
      <c r="C61" s="4">
        <f>Allocation!P968</f>
        <v>74406863.450469092</v>
      </c>
      <c r="D61" s="4">
        <f>Allocation!P981</f>
        <v>66335121.657956801</v>
      </c>
      <c r="E61" s="4">
        <f t="shared" ref="E61:E66" si="11">C61-D61</f>
        <v>8071741.7925122902</v>
      </c>
      <c r="F61" s="4">
        <f>Allocation!P986</f>
        <v>127237257.44781397</v>
      </c>
      <c r="G61" s="18">
        <f t="shared" ref="G61:G67" si="12">E61/F61</f>
        <v>6.3438508141555106E-2</v>
      </c>
      <c r="H61" s="18"/>
    </row>
    <row r="62" spans="1:16">
      <c r="A62" s="184" t="str">
        <f t="shared" si="10"/>
        <v>Special Contract #1</v>
      </c>
      <c r="B62" s="12"/>
      <c r="C62" s="4">
        <f>Allocation!Q968</f>
        <v>7382738.4565318329</v>
      </c>
      <c r="D62" s="4">
        <f>Allocation!Q981</f>
        <v>6744847.4210493099</v>
      </c>
      <c r="E62" s="4">
        <f t="shared" si="11"/>
        <v>637891.03548252303</v>
      </c>
      <c r="F62" s="4">
        <f>Allocation!Q986</f>
        <v>15203335.994018935</v>
      </c>
      <c r="G62" s="18">
        <f t="shared" si="12"/>
        <v>4.195730698403774E-2</v>
      </c>
      <c r="H62" s="18">
        <f>(E62+E63)/(F62+F63)</f>
        <v>4.449939529968152E-2</v>
      </c>
    </row>
    <row r="63" spans="1:16">
      <c r="A63" s="184" t="str">
        <f t="shared" si="10"/>
        <v>Special Contract #2</v>
      </c>
      <c r="B63" s="12"/>
      <c r="C63" s="36">
        <f>Allocation!R968</f>
        <v>3807713.5108165592</v>
      </c>
      <c r="D63" s="36">
        <f>Allocation!R981</f>
        <v>3453889.9078762569</v>
      </c>
      <c r="E63" s="36">
        <f t="shared" si="11"/>
        <v>353823.60294030234</v>
      </c>
      <c r="F63" s="36">
        <f>Allocation!R986</f>
        <v>7082689.0574253704</v>
      </c>
      <c r="G63" s="37">
        <f t="shared" si="12"/>
        <v>4.9956111311897804E-2</v>
      </c>
      <c r="H63" s="18"/>
    </row>
    <row r="64" spans="1:16">
      <c r="A64" s="184" t="str">
        <f t="shared" si="10"/>
        <v>Lighting Rate RLS &amp; LS</v>
      </c>
      <c r="B64" s="12"/>
      <c r="C64" s="4">
        <f>Allocation!S968</f>
        <v>20655969.577701136</v>
      </c>
      <c r="D64" s="4">
        <f>Allocation!S981</f>
        <v>15301100.641292028</v>
      </c>
      <c r="E64" s="36">
        <f t="shared" si="11"/>
        <v>5354868.9364091083</v>
      </c>
      <c r="F64" s="4">
        <f>Allocation!S986</f>
        <v>78174244.52773416</v>
      </c>
      <c r="G64" s="18">
        <f t="shared" si="12"/>
        <v>6.8499145322847885E-2</v>
      </c>
      <c r="H64" s="18"/>
    </row>
    <row r="65" spans="1:8">
      <c r="A65" s="184" t="str">
        <f t="shared" si="10"/>
        <v>Lighting Rate LE</v>
      </c>
      <c r="B65" s="12"/>
      <c r="C65" s="4">
        <f>Allocation!T968</f>
        <v>222752.47327662929</v>
      </c>
      <c r="D65" s="4">
        <f>Allocation!T981</f>
        <v>198128.87234756624</v>
      </c>
      <c r="E65" s="36">
        <f t="shared" si="11"/>
        <v>24623.600929063046</v>
      </c>
      <c r="F65" s="4">
        <f>Allocation!T986</f>
        <v>308732.70736411982</v>
      </c>
      <c r="G65" s="18">
        <f t="shared" si="12"/>
        <v>7.975702069046392E-2</v>
      </c>
      <c r="H65" s="18"/>
    </row>
    <row r="66" spans="1:8">
      <c r="A66" s="184" t="str">
        <f t="shared" si="10"/>
        <v>Lighting Rate TLE</v>
      </c>
      <c r="B66" s="40"/>
      <c r="C66" s="33">
        <f>Allocation!U968</f>
        <v>302541.39267339342</v>
      </c>
      <c r="D66" s="33">
        <f>Allocation!U981</f>
        <v>253987.27131263947</v>
      </c>
      <c r="E66" s="33">
        <f t="shared" si="11"/>
        <v>48554.121360753954</v>
      </c>
      <c r="F66" s="33">
        <f>Allocation!U986</f>
        <v>474242.50220579916</v>
      </c>
      <c r="G66" s="34">
        <f t="shared" si="12"/>
        <v>0.10238247549496043</v>
      </c>
      <c r="H66" s="18"/>
    </row>
    <row r="67" spans="1:8">
      <c r="C67" s="4">
        <f>SUM(C55:C66)</f>
        <v>1110819379.4612489</v>
      </c>
      <c r="D67" s="4">
        <f>SUM(D55:D66)</f>
        <v>936655054.83622897</v>
      </c>
      <c r="E67" s="4">
        <f>SUM(E55:E66)</f>
        <v>174164324.62502</v>
      </c>
      <c r="F67" s="4">
        <f>SUM(F55:F66)</f>
        <v>2380933927.2415094</v>
      </c>
      <c r="G67" s="18">
        <f t="shared" si="12"/>
        <v>7.3149583292637793E-2</v>
      </c>
    </row>
    <row r="70" spans="1:8">
      <c r="A70" s="214"/>
    </row>
    <row r="71" spans="1:8">
      <c r="A71" s="214"/>
    </row>
    <row r="72" spans="1:8">
      <c r="A72" s="214"/>
    </row>
    <row r="73" spans="1:8">
      <c r="A73" s="214"/>
    </row>
    <row r="74" spans="1:8">
      <c r="A74" s="214"/>
    </row>
    <row r="75" spans="1:8">
      <c r="A75" s="214"/>
    </row>
    <row r="76" spans="1:8">
      <c r="A76" s="184"/>
    </row>
    <row r="77" spans="1:8">
      <c r="A77" s="184"/>
    </row>
    <row r="78" spans="1:8">
      <c r="A78" s="214"/>
    </row>
    <row r="79" spans="1:8">
      <c r="A79" s="214"/>
    </row>
    <row r="80" spans="1:8">
      <c r="A80" s="184"/>
    </row>
    <row r="81" spans="1:1">
      <c r="A81" s="20"/>
    </row>
  </sheetData>
  <mergeCells count="2">
    <mergeCell ref="H2:K2"/>
    <mergeCell ref="M2:P2"/>
  </mergeCells>
  <phoneticPr fontId="0" type="noConversion"/>
  <conditionalFormatting sqref="H32:H43 H10:H21 H55:H66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6"/>
  <sheetViews>
    <sheetView zoomScale="75" workbookViewId="0">
      <pane xSplit="1" topLeftCell="B1" activePane="topRight" state="frozen"/>
      <selection activeCell="F767" sqref="F767"/>
      <selection pane="topRight" activeCell="B1" sqref="B1"/>
    </sheetView>
  </sheetViews>
  <sheetFormatPr defaultColWidth="9.140625" defaultRowHeight="15"/>
  <cols>
    <col min="1" max="1" width="49.85546875" style="113" bestFit="1" customWidth="1"/>
    <col min="2" max="2" width="17.42578125" style="6" bestFit="1" customWidth="1"/>
    <col min="3" max="3" width="22.7109375" style="113" customWidth="1"/>
    <col min="4" max="5" width="22.7109375" style="113" hidden="1" customWidth="1"/>
    <col min="6" max="14" width="22.7109375" style="113" customWidth="1"/>
    <col min="15" max="15" width="18.42578125" style="113" bestFit="1" customWidth="1"/>
    <col min="16" max="16" width="16.140625" style="113" bestFit="1" customWidth="1"/>
    <col min="17" max="17" width="14.28515625" style="113" bestFit="1" customWidth="1"/>
    <col min="18" max="21" width="12" style="113" bestFit="1" customWidth="1"/>
    <col min="22" max="22" width="9.140625" style="113"/>
    <col min="23" max="23" width="11.85546875" style="113" bestFit="1" customWidth="1"/>
    <col min="24" max="16384" width="9.140625" style="113"/>
  </cols>
  <sheetData>
    <row r="1" spans="1:24">
      <c r="A1" s="5" t="s">
        <v>617</v>
      </c>
      <c r="B1" s="5"/>
    </row>
    <row r="2" spans="1:24" ht="15" customHeight="1">
      <c r="A2" s="6" t="s">
        <v>706</v>
      </c>
      <c r="E2" s="345"/>
    </row>
    <row r="3" spans="1:24">
      <c r="E3" s="345"/>
    </row>
    <row r="4" spans="1:24">
      <c r="A4" s="114"/>
      <c r="B4" s="9" t="s">
        <v>1321</v>
      </c>
      <c r="C4" s="39"/>
      <c r="D4" s="39"/>
      <c r="E4" s="345"/>
      <c r="F4" s="115"/>
      <c r="G4" s="9" t="s">
        <v>176</v>
      </c>
      <c r="H4" s="9"/>
      <c r="I4" s="9" t="s">
        <v>1296</v>
      </c>
      <c r="J4" s="9" t="s">
        <v>1297</v>
      </c>
      <c r="K4" s="9" t="s">
        <v>176</v>
      </c>
      <c r="L4" s="11"/>
      <c r="M4" s="11"/>
      <c r="N4" s="11"/>
      <c r="O4" s="11"/>
      <c r="P4" s="114"/>
      <c r="Q4" s="114"/>
      <c r="R4" s="114"/>
      <c r="U4" s="114"/>
    </row>
    <row r="5" spans="1:24">
      <c r="A5" s="114"/>
      <c r="B5" s="9" t="s">
        <v>871</v>
      </c>
      <c r="C5" s="9"/>
      <c r="D5" s="234" t="s">
        <v>922</v>
      </c>
      <c r="E5" s="38"/>
      <c r="F5" s="38" t="s">
        <v>630</v>
      </c>
      <c r="G5" s="9" t="s">
        <v>166</v>
      </c>
      <c r="H5" s="9" t="s">
        <v>183</v>
      </c>
      <c r="I5" s="9" t="s">
        <v>1294</v>
      </c>
      <c r="J5" s="9" t="s">
        <v>1295</v>
      </c>
      <c r="K5" s="9" t="s">
        <v>179</v>
      </c>
      <c r="L5" s="11"/>
      <c r="M5" s="11"/>
      <c r="N5" s="11"/>
      <c r="O5" s="11"/>
      <c r="P5" s="114"/>
      <c r="Q5" s="114"/>
      <c r="R5" s="114"/>
      <c r="U5" s="114"/>
      <c r="V5" s="114"/>
      <c r="W5" s="114"/>
      <c r="X5" s="114"/>
    </row>
    <row r="6" spans="1:24" ht="15.75" thickBot="1">
      <c r="A6" s="116"/>
      <c r="B6" s="245">
        <v>43281</v>
      </c>
      <c r="C6" s="246" t="s">
        <v>141</v>
      </c>
      <c r="D6" s="246" t="s">
        <v>1129</v>
      </c>
      <c r="E6" s="339"/>
      <c r="F6" s="235" t="s">
        <v>631</v>
      </c>
      <c r="G6" s="233" t="s">
        <v>929</v>
      </c>
      <c r="H6" s="233" t="s">
        <v>929</v>
      </c>
      <c r="I6" s="233" t="s">
        <v>929</v>
      </c>
      <c r="J6" s="233" t="s">
        <v>929</v>
      </c>
      <c r="K6" s="233" t="s">
        <v>180</v>
      </c>
      <c r="L6" s="11"/>
      <c r="M6" s="11"/>
      <c r="N6" s="11"/>
      <c r="O6" s="11"/>
      <c r="R6" s="117"/>
    </row>
    <row r="7" spans="1:24" s="123" customFormat="1">
      <c r="A7" s="122"/>
      <c r="B7" s="316"/>
      <c r="C7" s="243"/>
      <c r="D7" s="243"/>
      <c r="E7" s="243"/>
      <c r="F7" s="243"/>
      <c r="G7" s="243"/>
      <c r="H7" s="243"/>
      <c r="J7" s="243"/>
      <c r="L7" s="317"/>
      <c r="M7" s="317"/>
      <c r="N7" s="317"/>
      <c r="O7" s="317"/>
      <c r="P7" s="243"/>
      <c r="Q7" s="243"/>
      <c r="R7" s="244"/>
    </row>
    <row r="8" spans="1:24" s="123" customFormat="1">
      <c r="A8" s="65" t="s">
        <v>1278</v>
      </c>
      <c r="B8" s="318">
        <f>(4368714+596)/12</f>
        <v>364109.16666666669</v>
      </c>
      <c r="C8" s="318">
        <f>4179523067+503093+62671</f>
        <v>4180088831</v>
      </c>
      <c r="D8" s="319">
        <f>379152166+47907</f>
        <v>379200073</v>
      </c>
      <c r="E8" s="319"/>
      <c r="F8" s="320">
        <f>D8+E8</f>
        <v>379200073</v>
      </c>
      <c r="G8" s="318">
        <v>1559289.3204656634</v>
      </c>
      <c r="H8" s="318">
        <f>ROUND(C8/8760,2)</f>
        <v>477179.09</v>
      </c>
      <c r="I8" s="321">
        <v>798297.34339007991</v>
      </c>
      <c r="J8" s="321">
        <v>1069021.6735769615</v>
      </c>
      <c r="K8" s="318">
        <v>3273931.5009418679</v>
      </c>
      <c r="L8" s="127"/>
      <c r="M8" s="127"/>
      <c r="N8" s="322"/>
      <c r="O8" s="322"/>
      <c r="P8" s="323"/>
      <c r="Q8" s="243"/>
      <c r="R8" s="323"/>
    </row>
    <row r="9" spans="1:24" s="123" customFormat="1">
      <c r="A9" s="122"/>
      <c r="B9" s="318"/>
      <c r="C9" s="318"/>
      <c r="D9" s="324"/>
      <c r="E9" s="324"/>
      <c r="F9" s="324"/>
      <c r="G9" s="318"/>
      <c r="H9" s="318"/>
      <c r="I9" s="325"/>
      <c r="J9" s="325"/>
      <c r="K9" s="318"/>
      <c r="L9" s="127"/>
      <c r="M9" s="127"/>
      <c r="N9" s="322"/>
      <c r="O9" s="322"/>
      <c r="P9" s="243"/>
      <c r="Q9" s="243"/>
      <c r="R9" s="326"/>
      <c r="V9" s="327"/>
      <c r="X9" s="327"/>
    </row>
    <row r="10" spans="1:24" s="123" customFormat="1">
      <c r="A10" s="65" t="s">
        <v>1350</v>
      </c>
      <c r="B10" s="318">
        <f>(344482+198362)/12</f>
        <v>45237</v>
      </c>
      <c r="C10" s="318">
        <f>415089458+943289763</f>
        <v>1358379221</v>
      </c>
      <c r="D10" s="328">
        <v>135825835</v>
      </c>
      <c r="E10" s="319"/>
      <c r="F10" s="320">
        <f>D10+E10</f>
        <v>135825835</v>
      </c>
      <c r="G10" s="318">
        <v>448837.09044295392</v>
      </c>
      <c r="H10" s="318">
        <f>ROUND(C10/8760,2)</f>
        <v>155066.12</v>
      </c>
      <c r="I10" s="321">
        <v>261220.81239762629</v>
      </c>
      <c r="J10" s="321">
        <v>386317.95454455458</v>
      </c>
      <c r="K10" s="318">
        <v>599114.69817621191</v>
      </c>
      <c r="L10" s="127"/>
      <c r="M10" s="127"/>
      <c r="N10" s="329"/>
      <c r="O10" s="329"/>
      <c r="Q10" s="243"/>
      <c r="R10" s="243"/>
    </row>
    <row r="11" spans="1:24" s="123" customFormat="1">
      <c r="B11" s="318"/>
      <c r="C11" s="318"/>
      <c r="D11" s="318"/>
      <c r="E11" s="318"/>
      <c r="F11" s="318"/>
      <c r="G11" s="318"/>
      <c r="H11" s="318"/>
      <c r="I11" s="325"/>
      <c r="J11" s="325"/>
      <c r="K11" s="318"/>
      <c r="L11" s="127"/>
      <c r="M11" s="127"/>
      <c r="N11" s="127"/>
      <c r="O11" s="127"/>
      <c r="P11" s="243"/>
      <c r="Q11" s="243"/>
      <c r="R11" s="326"/>
      <c r="V11" s="327"/>
      <c r="X11" s="327"/>
    </row>
    <row r="12" spans="1:24" s="123" customFormat="1">
      <c r="A12" s="65" t="s">
        <v>1178</v>
      </c>
      <c r="B12" s="318">
        <f>864/12</f>
        <v>72</v>
      </c>
      <c r="C12" s="318">
        <v>165297553</v>
      </c>
      <c r="D12" s="328">
        <v>11517853</v>
      </c>
      <c r="E12" s="319"/>
      <c r="F12" s="320">
        <f>D12+E12</f>
        <v>11517853</v>
      </c>
      <c r="G12" s="318">
        <v>39879.56851315892</v>
      </c>
      <c r="H12" s="318">
        <f>ROUND(C12/8760,2)</f>
        <v>18869.580000000002</v>
      </c>
      <c r="I12" s="321">
        <v>20313.600974413446</v>
      </c>
      <c r="J12" s="321">
        <v>31860.342849534132</v>
      </c>
      <c r="K12" s="318">
        <v>57207.580171997855</v>
      </c>
      <c r="L12" s="127"/>
      <c r="M12" s="127"/>
      <c r="N12" s="330"/>
      <c r="O12" s="330"/>
      <c r="P12" s="323"/>
      <c r="Q12" s="323"/>
      <c r="R12" s="323"/>
    </row>
    <row r="13" spans="1:24" s="123" customFormat="1">
      <c r="A13" s="122"/>
      <c r="B13" s="318"/>
      <c r="C13" s="318"/>
      <c r="D13" s="318"/>
      <c r="E13" s="318"/>
      <c r="F13" s="318"/>
      <c r="G13" s="325"/>
      <c r="H13" s="325"/>
      <c r="I13" s="325"/>
      <c r="J13" s="325"/>
      <c r="K13" s="321"/>
      <c r="L13" s="329"/>
      <c r="M13" s="329"/>
      <c r="N13" s="329"/>
      <c r="O13" s="329"/>
    </row>
    <row r="14" spans="1:24" s="123" customFormat="1">
      <c r="A14" s="65" t="s">
        <v>1179</v>
      </c>
      <c r="B14" s="318">
        <f>33890/12</f>
        <v>2824.1666666666665</v>
      </c>
      <c r="C14" s="318">
        <f>1874492273</f>
        <v>1874492273</v>
      </c>
      <c r="D14" s="328">
        <v>151571212</v>
      </c>
      <c r="E14" s="319"/>
      <c r="F14" s="320">
        <f>D14+E14</f>
        <v>151571212</v>
      </c>
      <c r="G14" s="318">
        <v>462866.52612677042</v>
      </c>
      <c r="H14" s="318">
        <f>ROUND(C14/8760,2)</f>
        <v>213983.14</v>
      </c>
      <c r="I14" s="321">
        <v>273342.71120103268</v>
      </c>
      <c r="J14" s="321">
        <v>449716.42236431479</v>
      </c>
      <c r="K14" s="318">
        <v>527644.55780038284</v>
      </c>
      <c r="L14" s="127"/>
      <c r="M14" s="127"/>
      <c r="N14" s="329"/>
      <c r="O14" s="329"/>
      <c r="R14" s="243"/>
    </row>
    <row r="15" spans="1:24" s="123" customFormat="1">
      <c r="A15" s="122"/>
      <c r="B15" s="318"/>
      <c r="C15" s="318"/>
      <c r="D15" s="318"/>
      <c r="E15" s="318"/>
      <c r="F15" s="318"/>
      <c r="G15" s="325"/>
      <c r="H15" s="325"/>
      <c r="I15" s="325"/>
      <c r="J15" s="325"/>
      <c r="K15" s="321"/>
      <c r="L15" s="127"/>
      <c r="M15" s="127"/>
      <c r="N15" s="127"/>
      <c r="O15" s="127"/>
      <c r="P15" s="243"/>
      <c r="Q15" s="243"/>
      <c r="R15" s="244"/>
    </row>
    <row r="16" spans="1:24" s="123" customFormat="1">
      <c r="A16" s="65" t="s">
        <v>1351</v>
      </c>
      <c r="B16" s="318">
        <f>1266/12</f>
        <v>105.5</v>
      </c>
      <c r="C16" s="127">
        <v>1848687110</v>
      </c>
      <c r="D16" s="328">
        <v>116918595</v>
      </c>
      <c r="E16" s="319"/>
      <c r="F16" s="320">
        <f>D16+E16</f>
        <v>116918595</v>
      </c>
      <c r="G16" s="318">
        <v>421067.29567910882</v>
      </c>
      <c r="H16" s="318">
        <f>ROUND(C16/8760,2)</f>
        <v>211037.34</v>
      </c>
      <c r="I16" s="321">
        <v>217675.10580639745</v>
      </c>
      <c r="J16" s="321">
        <v>340132.15690513782</v>
      </c>
      <c r="K16" s="318">
        <v>573708.40465400543</v>
      </c>
      <c r="L16" s="127"/>
      <c r="M16" s="127"/>
      <c r="N16" s="330"/>
      <c r="O16" s="330"/>
      <c r="P16" s="323"/>
      <c r="Q16" s="323"/>
      <c r="R16" s="323"/>
    </row>
    <row r="17" spans="1:24" s="123" customFormat="1">
      <c r="A17" s="122"/>
      <c r="B17" s="318"/>
      <c r="C17" s="318"/>
      <c r="D17" s="318"/>
      <c r="E17" s="318"/>
      <c r="F17" s="318"/>
      <c r="G17" s="318"/>
      <c r="H17" s="331"/>
      <c r="I17" s="325"/>
      <c r="J17" s="325"/>
      <c r="K17" s="321"/>
      <c r="L17" s="127"/>
      <c r="M17" s="127"/>
      <c r="N17" s="127"/>
      <c r="O17" s="127"/>
      <c r="P17" s="243"/>
      <c r="Q17" s="243"/>
      <c r="R17" s="244"/>
    </row>
    <row r="18" spans="1:24" s="123" customFormat="1">
      <c r="A18" s="65" t="s">
        <v>1323</v>
      </c>
      <c r="B18" s="318">
        <f>3312/12</f>
        <v>276</v>
      </c>
      <c r="C18" s="318">
        <v>795801135</v>
      </c>
      <c r="D18" s="318">
        <v>77629237</v>
      </c>
      <c r="E18" s="319"/>
      <c r="F18" s="320">
        <f>D18+E18</f>
        <v>77629237</v>
      </c>
      <c r="G18" s="318">
        <v>250007.66146166611</v>
      </c>
      <c r="H18" s="318">
        <f>ROUND(C18/8760,2)</f>
        <v>90844.88</v>
      </c>
      <c r="I18" s="321">
        <v>145975.99411615593</v>
      </c>
      <c r="J18" s="321">
        <v>229731.99023415305</v>
      </c>
      <c r="K18" s="321">
        <v>289975.20955920167</v>
      </c>
      <c r="L18" s="127"/>
      <c r="M18" s="127"/>
      <c r="N18" s="127"/>
      <c r="O18" s="127"/>
      <c r="P18" s="243"/>
      <c r="Q18" s="243"/>
      <c r="R18" s="244"/>
    </row>
    <row r="19" spans="1:24" s="123" customFormat="1">
      <c r="A19" s="122"/>
      <c r="B19" s="318"/>
      <c r="C19" s="318"/>
      <c r="D19" s="318"/>
      <c r="E19" s="318"/>
      <c r="F19" s="318"/>
      <c r="G19" s="318"/>
      <c r="H19" s="331"/>
      <c r="I19" s="325"/>
      <c r="J19" s="325"/>
      <c r="K19" s="321"/>
      <c r="L19" s="127"/>
      <c r="M19" s="127"/>
      <c r="N19" s="127"/>
      <c r="O19" s="127"/>
      <c r="P19" s="243"/>
      <c r="Q19" s="243"/>
      <c r="R19" s="244"/>
    </row>
    <row r="20" spans="1:24" s="123" customFormat="1">
      <c r="A20" s="65" t="s">
        <v>1180</v>
      </c>
      <c r="B20" s="318">
        <f>156/12</f>
        <v>13</v>
      </c>
      <c r="C20" s="127">
        <v>1147609709</v>
      </c>
      <c r="D20" s="332">
        <v>64284636</v>
      </c>
      <c r="E20" s="319"/>
      <c r="F20" s="320">
        <f>D20+E20</f>
        <v>64284636</v>
      </c>
      <c r="G20" s="127">
        <v>258962.35245895264</v>
      </c>
      <c r="H20" s="318">
        <f>ROUND(C20/8760,2)</f>
        <v>131005.67</v>
      </c>
      <c r="I20" s="333">
        <v>130198.7316881914</v>
      </c>
      <c r="J20" s="333">
        <v>196715.93398402378</v>
      </c>
      <c r="K20" s="333">
        <v>346382.42473849928</v>
      </c>
      <c r="L20" s="127"/>
      <c r="M20" s="127"/>
      <c r="N20" s="330"/>
      <c r="O20" s="330"/>
      <c r="P20" s="323"/>
      <c r="Q20" s="323"/>
      <c r="R20" s="323"/>
    </row>
    <row r="21" spans="1:24" s="123" customFormat="1"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127"/>
      <c r="M21" s="127"/>
      <c r="N21" s="127"/>
      <c r="O21" s="127"/>
      <c r="P21" s="243"/>
      <c r="Q21" s="243"/>
      <c r="R21" s="326"/>
      <c r="V21" s="327"/>
      <c r="X21" s="327"/>
    </row>
    <row r="22" spans="1:24" s="123" customFormat="1">
      <c r="A22" s="65" t="s">
        <v>1345</v>
      </c>
      <c r="B22" s="318">
        <f>12/12</f>
        <v>1</v>
      </c>
      <c r="C22" s="318">
        <v>109874900</v>
      </c>
      <c r="D22" s="318">
        <v>6341748</v>
      </c>
      <c r="E22" s="319"/>
      <c r="F22" s="320">
        <f>D22+E22</f>
        <v>6341748</v>
      </c>
      <c r="G22" s="318">
        <v>26104.545320274483</v>
      </c>
      <c r="H22" s="318">
        <f>ROUND(C22/8760,2)</f>
        <v>12542.8</v>
      </c>
      <c r="I22" s="333">
        <v>15032.269312683648</v>
      </c>
      <c r="J22" s="333">
        <v>21240.770184933692</v>
      </c>
      <c r="K22" s="333">
        <v>41567.060227169168</v>
      </c>
      <c r="L22" s="127"/>
      <c r="M22" s="127"/>
      <c r="N22" s="127"/>
      <c r="O22" s="127"/>
      <c r="P22" s="243"/>
      <c r="Q22" s="243"/>
      <c r="R22" s="326"/>
      <c r="V22" s="327"/>
      <c r="X22" s="327"/>
    </row>
    <row r="23" spans="1:24" s="123" customFormat="1"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127"/>
      <c r="M23" s="127"/>
      <c r="N23" s="127"/>
      <c r="O23" s="127"/>
      <c r="P23" s="243"/>
      <c r="Q23" s="243"/>
      <c r="R23" s="326"/>
      <c r="V23" s="327"/>
      <c r="X23" s="327"/>
    </row>
    <row r="24" spans="1:24" s="123" customFormat="1">
      <c r="A24" s="65" t="s">
        <v>1352</v>
      </c>
      <c r="B24" s="318">
        <f>12/12</f>
        <v>1</v>
      </c>
      <c r="C24" s="318">
        <v>58046500</v>
      </c>
      <c r="D24" s="318">
        <v>3292762</v>
      </c>
      <c r="E24" s="319"/>
      <c r="F24" s="320">
        <f>D24+E24</f>
        <v>3292762</v>
      </c>
      <c r="G24" s="318">
        <v>13663.49459080668</v>
      </c>
      <c r="H24" s="318">
        <f>ROUND(C24/8760,2)</f>
        <v>6626.31</v>
      </c>
      <c r="I24" s="333">
        <v>5713.8239668660899</v>
      </c>
      <c r="J24" s="333">
        <v>8598.4009708705998</v>
      </c>
      <c r="K24" s="318">
        <v>20438.395438494859</v>
      </c>
      <c r="L24" s="127"/>
      <c r="M24" s="127"/>
      <c r="N24" s="127"/>
      <c r="O24" s="127"/>
      <c r="P24" s="243"/>
      <c r="Q24" s="243"/>
      <c r="R24" s="326"/>
      <c r="V24" s="327"/>
      <c r="X24" s="327"/>
    </row>
    <row r="25" spans="1:24" s="123" customFormat="1"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127"/>
      <c r="M25" s="127"/>
      <c r="N25" s="127"/>
      <c r="O25" s="127"/>
      <c r="P25" s="243"/>
      <c r="Q25" s="243"/>
      <c r="R25" s="326"/>
      <c r="V25" s="327"/>
      <c r="X25" s="327"/>
    </row>
    <row r="26" spans="1:24" s="123" customFormat="1">
      <c r="A26" s="65" t="s">
        <v>1292</v>
      </c>
      <c r="B26" s="318">
        <f>1036824/12</f>
        <v>86402</v>
      </c>
      <c r="C26" s="318">
        <v>101770582.1238485</v>
      </c>
      <c r="D26" s="318">
        <v>18141167.300000001</v>
      </c>
      <c r="E26" s="319"/>
      <c r="F26" s="320">
        <f>D26+E26</f>
        <v>18141167.300000001</v>
      </c>
      <c r="G26" s="318">
        <f>K26</f>
        <v>26916.48368426325</v>
      </c>
      <c r="H26" s="318">
        <f>ROUND(C26/8760,2)</f>
        <v>11617.65</v>
      </c>
      <c r="I26" s="333">
        <v>0</v>
      </c>
      <c r="J26" s="333">
        <v>0</v>
      </c>
      <c r="K26" s="318">
        <v>26916.48368426325</v>
      </c>
      <c r="L26" s="127"/>
      <c r="M26" s="127"/>
      <c r="N26" s="127"/>
      <c r="O26" s="127"/>
      <c r="P26" s="243"/>
      <c r="Q26" s="243"/>
      <c r="R26" s="326"/>
      <c r="V26" s="327"/>
      <c r="X26" s="327"/>
    </row>
    <row r="27" spans="1:24" s="123" customFormat="1">
      <c r="B27" s="318"/>
      <c r="C27" s="318"/>
      <c r="D27" s="277"/>
      <c r="E27" s="277"/>
      <c r="F27" s="318"/>
      <c r="G27" s="318"/>
      <c r="H27" s="318"/>
      <c r="I27" s="318"/>
      <c r="J27" s="318"/>
      <c r="K27" s="318"/>
      <c r="L27" s="127"/>
      <c r="M27" s="127"/>
      <c r="N27" s="127"/>
      <c r="O27" s="127"/>
      <c r="P27" s="243"/>
      <c r="Q27" s="243"/>
      <c r="R27" s="326"/>
      <c r="V27" s="327"/>
      <c r="X27" s="327"/>
    </row>
    <row r="28" spans="1:24" s="123" customFormat="1">
      <c r="A28" s="65" t="s">
        <v>1325</v>
      </c>
      <c r="B28" s="318">
        <f>1980/12</f>
        <v>165</v>
      </c>
      <c r="C28" s="318">
        <v>3317374</v>
      </c>
      <c r="D28" s="318">
        <v>210819</v>
      </c>
      <c r="E28" s="319"/>
      <c r="F28" s="320">
        <f>D28+E28</f>
        <v>210819</v>
      </c>
      <c r="G28" s="318">
        <f>K28</f>
        <v>860.86684661971549</v>
      </c>
      <c r="H28" s="318">
        <f>ROUND(C28/8760,2)</f>
        <v>378.7</v>
      </c>
      <c r="I28" s="333">
        <v>0</v>
      </c>
      <c r="J28" s="333">
        <v>0</v>
      </c>
      <c r="K28" s="318">
        <v>860.86684661971549</v>
      </c>
      <c r="L28" s="127"/>
      <c r="M28" s="127"/>
      <c r="N28" s="127"/>
      <c r="O28" s="127"/>
      <c r="P28" s="243"/>
      <c r="Q28" s="243"/>
      <c r="R28" s="326"/>
      <c r="V28" s="327"/>
      <c r="X28" s="327"/>
    </row>
    <row r="29" spans="1:24" s="123" customFormat="1"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127"/>
      <c r="M29" s="127"/>
      <c r="N29" s="127"/>
      <c r="O29" s="127"/>
      <c r="P29" s="243"/>
      <c r="Q29" s="243"/>
      <c r="R29" s="326"/>
      <c r="V29" s="327"/>
      <c r="X29" s="327"/>
    </row>
    <row r="30" spans="1:24" s="123" customFormat="1">
      <c r="A30" s="334" t="s">
        <v>1324</v>
      </c>
      <c r="B30" s="335">
        <f>10860/12</f>
        <v>905</v>
      </c>
      <c r="C30" s="335">
        <v>3108713</v>
      </c>
      <c r="D30" s="335">
        <v>270128</v>
      </c>
      <c r="E30" s="341"/>
      <c r="F30" s="340">
        <f>D30+E30</f>
        <v>270128</v>
      </c>
      <c r="G30" s="318">
        <f>K30</f>
        <v>392.15358273782084</v>
      </c>
      <c r="H30" s="335">
        <f>ROUND(C30/8760,2)</f>
        <v>354.88</v>
      </c>
      <c r="I30" s="336">
        <v>386.34235936798433</v>
      </c>
      <c r="J30" s="336">
        <v>385.45737635222895</v>
      </c>
      <c r="K30" s="335">
        <v>392.15358273782084</v>
      </c>
      <c r="L30" s="127"/>
      <c r="M30" s="127"/>
      <c r="N30" s="127"/>
      <c r="O30" s="127"/>
      <c r="P30" s="243"/>
      <c r="Q30" s="243"/>
      <c r="R30" s="326"/>
      <c r="V30" s="327"/>
      <c r="X30" s="327"/>
    </row>
    <row r="31" spans="1:24" s="123" customFormat="1">
      <c r="A31" s="65" t="s">
        <v>922</v>
      </c>
      <c r="B31" s="318">
        <f>SUM(B8:B30)</f>
        <v>500110.83333333337</v>
      </c>
      <c r="C31" s="318">
        <f t="shared" ref="C31:K31" si="0">SUM(C8:C30)</f>
        <v>11646473901.123848</v>
      </c>
      <c r="D31" s="337">
        <f>SUM(D8:D30)</f>
        <v>965204065.29999995</v>
      </c>
      <c r="E31" s="324">
        <f>SUM(E8:E30)</f>
        <v>0</v>
      </c>
      <c r="F31" s="324">
        <f>SUM(F8:F30)</f>
        <v>965204065.29999995</v>
      </c>
      <c r="G31" s="338">
        <f t="shared" si="0"/>
        <v>3508847.3591729756</v>
      </c>
      <c r="H31" s="318">
        <f t="shared" si="0"/>
        <v>1329506.1599999997</v>
      </c>
      <c r="I31" s="318">
        <f t="shared" si="0"/>
        <v>1868156.7352128148</v>
      </c>
      <c r="J31" s="318">
        <f>SUM(J8:J30)</f>
        <v>2733721.1029908364</v>
      </c>
      <c r="K31" s="318">
        <f t="shared" si="0"/>
        <v>5758139.3358214516</v>
      </c>
      <c r="L31" s="127"/>
      <c r="M31" s="127"/>
      <c r="N31" s="127"/>
      <c r="O31" s="127"/>
      <c r="P31" s="243"/>
      <c r="Q31" s="243"/>
      <c r="R31" s="326"/>
      <c r="V31" s="327"/>
      <c r="X31" s="327"/>
    </row>
    <row r="32" spans="1:24">
      <c r="A32" s="45"/>
      <c r="B32" s="278"/>
      <c r="C32" s="243"/>
      <c r="D32" s="247"/>
      <c r="E32" s="125"/>
      <c r="F32" s="126"/>
      <c r="G32" s="243"/>
      <c r="H32" s="279"/>
      <c r="I32" s="243"/>
      <c r="J32" s="280"/>
      <c r="K32" s="243"/>
      <c r="L32" s="120"/>
      <c r="M32" s="120"/>
      <c r="N32" s="120"/>
      <c r="O32" s="120"/>
      <c r="P32" s="120"/>
      <c r="Q32" s="120"/>
      <c r="R32" s="120"/>
    </row>
    <row r="33" spans="1:24">
      <c r="A33" s="114"/>
      <c r="B33" s="281"/>
      <c r="C33" s="281"/>
      <c r="D33" s="277"/>
      <c r="E33" s="277"/>
      <c r="F33" s="277"/>
      <c r="G33" s="281"/>
      <c r="H33" s="281"/>
      <c r="I33" s="281"/>
      <c r="J33" s="281"/>
      <c r="K33" s="281"/>
      <c r="L33" s="84"/>
      <c r="M33" s="84"/>
      <c r="N33" s="84"/>
      <c r="O33" s="84"/>
      <c r="P33" s="84"/>
      <c r="Q33" s="84"/>
      <c r="R33" s="84"/>
    </row>
    <row r="34" spans="1:24">
      <c r="A34" s="114"/>
      <c r="B34" s="281"/>
      <c r="C34" s="281"/>
      <c r="D34" s="277"/>
      <c r="E34" s="277"/>
      <c r="F34" s="281"/>
      <c r="G34" s="281"/>
      <c r="H34" s="281"/>
      <c r="I34" s="281"/>
      <c r="J34" s="281"/>
      <c r="K34" s="281"/>
      <c r="L34" s="84"/>
      <c r="M34" s="84"/>
      <c r="N34" s="84"/>
    </row>
    <row r="35" spans="1:24" ht="17.25">
      <c r="C35" s="117"/>
      <c r="D35" s="117"/>
      <c r="E35" s="117"/>
      <c r="F35" s="117"/>
      <c r="G35" s="117"/>
      <c r="H35" s="117"/>
      <c r="I35" s="117"/>
      <c r="J35" s="117"/>
      <c r="K35" s="17"/>
      <c r="L35" s="117"/>
      <c r="M35" s="117"/>
      <c r="N35" s="117"/>
      <c r="O35" s="117"/>
      <c r="P35" s="117"/>
      <c r="Q35" s="117"/>
      <c r="R35" s="117"/>
    </row>
    <row r="36" spans="1:24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</row>
    <row r="37" spans="1:24"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R37" s="118"/>
    </row>
    <row r="38" spans="1:24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</row>
    <row r="39" spans="1:24"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24"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V40" s="121"/>
      <c r="X40" s="121"/>
    </row>
    <row r="41" spans="1:24"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24"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24"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R43" s="118"/>
    </row>
    <row r="44" spans="1:24"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8"/>
    </row>
    <row r="45" spans="1:24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</row>
    <row r="46" spans="1:24"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V46" s="121"/>
      <c r="X46" s="121"/>
    </row>
    <row r="47" spans="1:24"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</row>
    <row r="48" spans="1:24"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  <row r="49" spans="3:24"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R49" s="118"/>
    </row>
    <row r="50" spans="3:24"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R50" s="118"/>
    </row>
    <row r="51" spans="3:24"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8"/>
    </row>
    <row r="52" spans="3:24"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V52" s="121"/>
      <c r="X52" s="121"/>
    </row>
    <row r="53" spans="3:24"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</row>
    <row r="54" spans="3:24"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</row>
    <row r="55" spans="3:24"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R55" s="118"/>
    </row>
    <row r="56" spans="3:24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8"/>
    </row>
    <row r="57" spans="3:24"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18"/>
      <c r="U57" s="129"/>
    </row>
    <row r="58" spans="3:24"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V58" s="121"/>
      <c r="X58" s="121"/>
    </row>
    <row r="59" spans="3:24"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U59" s="130"/>
    </row>
    <row r="60" spans="3:24"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</row>
    <row r="61" spans="3:24"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R61" s="118"/>
    </row>
    <row r="62" spans="3:24"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8"/>
    </row>
    <row r="63" spans="3:24"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28"/>
      <c r="O63" s="117"/>
      <c r="R63" s="118"/>
      <c r="U63" s="129"/>
    </row>
    <row r="64" spans="3:24"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V64" s="121"/>
      <c r="X64" s="121"/>
    </row>
    <row r="65" spans="3:24"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U65" s="130"/>
    </row>
    <row r="66" spans="3:24"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3:24"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R67" s="118"/>
    </row>
    <row r="68" spans="3:24"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8"/>
    </row>
    <row r="69" spans="3:24"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18"/>
      <c r="U69" s="129"/>
    </row>
    <row r="70" spans="3:24">
      <c r="C70" s="128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V70" s="121"/>
      <c r="X70" s="121"/>
    </row>
    <row r="71" spans="3:24"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U71" s="130"/>
    </row>
    <row r="72" spans="3:24"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U72" s="130"/>
    </row>
    <row r="73" spans="3:24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R73" s="118"/>
    </row>
    <row r="74" spans="3:24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8"/>
      <c r="R74" s="118"/>
    </row>
    <row r="75" spans="3:24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28"/>
      <c r="O75" s="117"/>
      <c r="P75" s="117"/>
      <c r="Q75" s="117"/>
      <c r="R75" s="118"/>
    </row>
    <row r="76" spans="3:24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17"/>
      <c r="N76" s="120"/>
      <c r="O76" s="120"/>
      <c r="P76" s="120"/>
      <c r="Q76" s="120"/>
      <c r="R76" s="120"/>
      <c r="V76" s="121"/>
      <c r="X76" s="121"/>
    </row>
    <row r="77" spans="3:24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</row>
    <row r="78" spans="3:24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28"/>
      <c r="O78" s="117"/>
      <c r="R78" s="118"/>
    </row>
    <row r="79" spans="3:24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R79" s="118"/>
    </row>
    <row r="80" spans="3:24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28"/>
      <c r="O80" s="117"/>
      <c r="P80" s="117"/>
      <c r="Q80" s="117"/>
      <c r="R80" s="118"/>
    </row>
    <row r="81" spans="3:24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28"/>
      <c r="O81" s="117"/>
      <c r="R81" s="118"/>
    </row>
    <row r="82" spans="3:24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3:24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28"/>
    </row>
    <row r="84" spans="3:24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8"/>
      <c r="V84" s="121"/>
      <c r="X84" s="121"/>
    </row>
    <row r="85" spans="3:24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8"/>
    </row>
    <row r="86" spans="3:24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X86" s="121"/>
    </row>
    <row r="87" spans="3:24"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19"/>
      <c r="P87" s="119"/>
      <c r="Q87" s="119"/>
      <c r="R87" s="119"/>
    </row>
    <row r="88" spans="3:24"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19"/>
      <c r="P88" s="119"/>
      <c r="Q88" s="119"/>
      <c r="R88" s="119"/>
    </row>
    <row r="89" spans="3:24"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19"/>
      <c r="P89" s="119"/>
      <c r="Q89" s="119"/>
      <c r="R89" s="119"/>
    </row>
    <row r="90" spans="3:24"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19"/>
      <c r="P90" s="119"/>
      <c r="Q90" s="119"/>
      <c r="R90" s="119"/>
    </row>
    <row r="91" spans="3:24">
      <c r="C91" s="117"/>
      <c r="D91" s="124"/>
      <c r="E91" s="124"/>
      <c r="F91" s="124"/>
      <c r="G91" s="124"/>
      <c r="H91" s="124"/>
      <c r="I91" s="124"/>
      <c r="J91" s="117"/>
      <c r="K91" s="128"/>
      <c r="L91" s="124"/>
      <c r="M91" s="128"/>
      <c r="N91" s="124"/>
      <c r="O91" s="124"/>
      <c r="P91" s="124"/>
      <c r="Q91" s="124"/>
    </row>
    <row r="92" spans="3:24">
      <c r="C92" s="117"/>
      <c r="D92" s="124"/>
      <c r="E92" s="124"/>
      <c r="F92" s="124"/>
      <c r="G92" s="124"/>
      <c r="H92" s="124"/>
      <c r="I92" s="124"/>
      <c r="J92" s="117"/>
      <c r="K92" s="128"/>
      <c r="L92" s="124"/>
      <c r="M92" s="128"/>
      <c r="N92" s="124"/>
      <c r="O92" s="124"/>
      <c r="P92" s="124"/>
      <c r="Q92" s="124"/>
    </row>
    <row r="93" spans="3:24">
      <c r="C93" s="117"/>
      <c r="D93" s="124"/>
      <c r="E93" s="124"/>
      <c r="F93" s="124"/>
      <c r="G93" s="124"/>
      <c r="H93" s="124"/>
      <c r="I93" s="124"/>
      <c r="J93" s="117"/>
      <c r="K93" s="128"/>
      <c r="L93" s="124"/>
      <c r="M93" s="128"/>
      <c r="N93" s="124"/>
      <c r="O93" s="124"/>
      <c r="P93" s="124"/>
      <c r="Q93" s="124"/>
    </row>
    <row r="94" spans="3:24" ht="17.25">
      <c r="C94" s="17"/>
      <c r="D94" s="124"/>
      <c r="E94" s="124"/>
      <c r="F94" s="124"/>
      <c r="G94" s="124"/>
      <c r="H94" s="124"/>
      <c r="I94" s="124"/>
      <c r="J94" s="17"/>
      <c r="K94" s="85"/>
      <c r="L94" s="124"/>
      <c r="M94" s="128"/>
      <c r="N94" s="16"/>
      <c r="O94" s="16"/>
      <c r="P94" s="16"/>
      <c r="Q94" s="16"/>
    </row>
    <row r="95" spans="3:24">
      <c r="C95" s="117"/>
      <c r="D95" s="124"/>
      <c r="E95" s="124"/>
      <c r="F95" s="124"/>
      <c r="G95" s="124"/>
      <c r="H95" s="124"/>
      <c r="I95" s="124"/>
      <c r="J95" s="117"/>
      <c r="K95" s="128"/>
      <c r="L95" s="124"/>
      <c r="M95" s="128"/>
      <c r="N95" s="124"/>
      <c r="O95" s="124"/>
      <c r="P95" s="124"/>
      <c r="Q95" s="124"/>
    </row>
    <row r="96" spans="3:24" ht="17.25">
      <c r="C96" s="17"/>
      <c r="D96" s="16"/>
      <c r="E96" s="16"/>
      <c r="F96" s="131"/>
      <c r="G96" s="16"/>
      <c r="H96" s="16"/>
      <c r="I96" s="16"/>
      <c r="J96" s="117"/>
      <c r="K96" s="128"/>
      <c r="L96" s="16"/>
      <c r="M96" s="85"/>
      <c r="N96" s="16"/>
      <c r="O96" s="16"/>
      <c r="P96" s="16"/>
      <c r="Q96" s="16"/>
    </row>
    <row r="97" spans="3:17">
      <c r="C97" s="117"/>
      <c r="D97" s="124"/>
      <c r="E97" s="124"/>
      <c r="F97" s="124"/>
      <c r="G97" s="124"/>
      <c r="H97" s="124"/>
      <c r="I97" s="124"/>
      <c r="J97" s="117"/>
      <c r="K97" s="128"/>
      <c r="L97" s="124"/>
      <c r="M97" s="128"/>
      <c r="N97" s="124"/>
      <c r="O97" s="124"/>
      <c r="P97" s="124"/>
      <c r="Q97" s="124"/>
    </row>
    <row r="98" spans="3:17" ht="17.25">
      <c r="C98" s="86"/>
      <c r="D98" s="16"/>
      <c r="E98" s="16"/>
      <c r="F98" s="131"/>
      <c r="G98" s="16"/>
      <c r="H98" s="16"/>
      <c r="I98" s="16"/>
      <c r="J98" s="117"/>
      <c r="K98" s="128"/>
      <c r="L98" s="16"/>
      <c r="M98" s="87"/>
    </row>
    <row r="99" spans="3:17">
      <c r="C99" s="117"/>
      <c r="D99" s="124"/>
      <c r="E99" s="124"/>
      <c r="F99" s="124"/>
      <c r="G99" s="124"/>
      <c r="H99" s="124"/>
      <c r="I99" s="124"/>
      <c r="J99" s="117"/>
      <c r="K99" s="128"/>
      <c r="L99" s="124"/>
      <c r="M99" s="128"/>
    </row>
    <row r="100" spans="3:17">
      <c r="C100" s="117"/>
      <c r="J100" s="117"/>
      <c r="K100" s="128"/>
      <c r="M100" s="128"/>
    </row>
    <row r="101" spans="3:17">
      <c r="C101" s="117"/>
      <c r="J101" s="117"/>
      <c r="K101" s="128"/>
      <c r="M101" s="128"/>
    </row>
    <row r="102" spans="3:17">
      <c r="C102" s="117"/>
      <c r="J102" s="117"/>
      <c r="K102" s="128"/>
      <c r="M102" s="128"/>
    </row>
    <row r="103" spans="3:17">
      <c r="C103" s="117"/>
      <c r="J103" s="117"/>
      <c r="K103" s="128"/>
      <c r="M103" s="128"/>
      <c r="N103" s="124"/>
      <c r="O103" s="124"/>
      <c r="P103" s="124"/>
      <c r="Q103" s="132"/>
    </row>
    <row r="104" spans="3:17">
      <c r="C104" s="117"/>
      <c r="J104" s="117"/>
      <c r="K104" s="128"/>
      <c r="M104" s="128"/>
      <c r="N104" s="124"/>
      <c r="O104" s="124"/>
      <c r="P104" s="124"/>
      <c r="Q104" s="132"/>
    </row>
    <row r="105" spans="3:17" ht="17.25">
      <c r="C105" s="17"/>
      <c r="D105" s="124"/>
      <c r="E105" s="124"/>
      <c r="F105" s="124"/>
      <c r="G105" s="124"/>
      <c r="H105" s="124"/>
      <c r="I105" s="124"/>
      <c r="J105" s="17"/>
      <c r="K105" s="85"/>
      <c r="L105" s="124"/>
      <c r="M105" s="128"/>
      <c r="N105" s="124"/>
      <c r="O105" s="124"/>
      <c r="P105" s="124"/>
      <c r="Q105" s="132"/>
    </row>
    <row r="106" spans="3:17">
      <c r="C106" s="117"/>
      <c r="D106" s="124"/>
      <c r="E106" s="124"/>
      <c r="F106" s="124"/>
      <c r="G106" s="124"/>
      <c r="H106" s="124"/>
      <c r="I106" s="124"/>
      <c r="J106" s="117"/>
      <c r="K106" s="128"/>
      <c r="L106" s="124"/>
      <c r="M106" s="128"/>
      <c r="N106" s="124"/>
      <c r="O106" s="124"/>
      <c r="P106" s="124"/>
      <c r="Q106" s="132"/>
    </row>
    <row r="107" spans="3:17">
      <c r="C107" s="117"/>
      <c r="D107" s="124"/>
      <c r="E107" s="124"/>
      <c r="F107" s="124"/>
      <c r="G107" s="124"/>
      <c r="H107" s="124"/>
      <c r="I107" s="124"/>
      <c r="J107" s="117"/>
      <c r="K107" s="128"/>
      <c r="L107" s="124"/>
      <c r="M107" s="128"/>
      <c r="N107" s="124"/>
      <c r="O107" s="124"/>
      <c r="P107" s="124"/>
      <c r="Q107" s="132"/>
    </row>
    <row r="108" spans="3:17">
      <c r="C108" s="117"/>
      <c r="D108" s="124"/>
      <c r="E108" s="124"/>
      <c r="F108" s="124"/>
      <c r="G108" s="124"/>
      <c r="H108" s="124"/>
      <c r="I108" s="124"/>
      <c r="J108" s="117"/>
      <c r="K108" s="128"/>
      <c r="L108" s="124"/>
      <c r="M108" s="128"/>
      <c r="N108" s="124"/>
      <c r="O108" s="124"/>
      <c r="P108" s="124"/>
      <c r="Q108" s="132"/>
    </row>
    <row r="109" spans="3:17" ht="17.25">
      <c r="C109" s="117"/>
      <c r="D109" s="124"/>
      <c r="E109" s="124"/>
      <c r="F109" s="124"/>
      <c r="G109" s="124"/>
      <c r="H109" s="124"/>
      <c r="I109" s="124"/>
      <c r="J109" s="117"/>
      <c r="K109" s="128"/>
      <c r="L109" s="124"/>
      <c r="M109" s="128"/>
      <c r="N109" s="16"/>
      <c r="O109" s="16"/>
      <c r="P109" s="16"/>
      <c r="Q109" s="88"/>
    </row>
    <row r="110" spans="3:17">
      <c r="C110" s="117"/>
      <c r="D110" s="124"/>
      <c r="E110" s="124"/>
      <c r="F110" s="124"/>
      <c r="G110" s="124"/>
      <c r="H110" s="124"/>
      <c r="I110" s="124"/>
      <c r="J110" s="117"/>
      <c r="K110" s="128"/>
      <c r="L110" s="124"/>
      <c r="M110" s="128"/>
      <c r="N110" s="124"/>
      <c r="O110" s="124"/>
      <c r="P110" s="124"/>
      <c r="Q110" s="124"/>
    </row>
    <row r="111" spans="3:17" ht="17.25">
      <c r="C111" s="86"/>
      <c r="D111" s="16"/>
      <c r="E111" s="16"/>
      <c r="F111" s="131"/>
      <c r="G111" s="16"/>
      <c r="H111" s="16"/>
      <c r="I111" s="16"/>
      <c r="J111" s="117"/>
      <c r="K111" s="128"/>
      <c r="L111" s="16"/>
      <c r="M111" s="87"/>
      <c r="N111" s="16"/>
      <c r="O111" s="16"/>
      <c r="P111" s="16"/>
      <c r="Q111" s="88"/>
    </row>
    <row r="112" spans="3:17">
      <c r="C112" s="117"/>
      <c r="D112" s="124"/>
      <c r="E112" s="124"/>
      <c r="F112" s="124"/>
      <c r="G112" s="124"/>
      <c r="H112" s="124"/>
      <c r="I112" s="124"/>
      <c r="J112" s="117"/>
      <c r="K112" s="128"/>
      <c r="L112" s="124"/>
      <c r="M112" s="128"/>
      <c r="N112" s="124"/>
      <c r="O112" s="124"/>
      <c r="P112" s="124"/>
      <c r="Q112" s="124"/>
    </row>
    <row r="113" spans="3:13" ht="17.25">
      <c r="C113" s="86"/>
      <c r="D113" s="16"/>
      <c r="E113" s="16"/>
      <c r="F113" s="131"/>
      <c r="G113" s="16"/>
      <c r="H113" s="16"/>
      <c r="I113" s="16"/>
      <c r="J113" s="117"/>
      <c r="K113" s="128"/>
      <c r="L113" s="16"/>
      <c r="M113" s="85"/>
    </row>
    <row r="114" spans="3:13" ht="17.25">
      <c r="C114" s="17"/>
      <c r="D114" s="124"/>
      <c r="E114" s="124"/>
      <c r="F114" s="124"/>
      <c r="G114" s="124"/>
      <c r="H114" s="124"/>
      <c r="I114" s="124"/>
      <c r="J114" s="17"/>
      <c r="K114" s="85"/>
      <c r="L114" s="124"/>
      <c r="M114" s="128"/>
    </row>
    <row r="115" spans="3:13">
      <c r="C115" s="118"/>
      <c r="J115" s="118"/>
      <c r="K115" s="118"/>
      <c r="M115" s="128"/>
    </row>
    <row r="116" spans="3:13">
      <c r="M116" s="128"/>
    </row>
    <row r="117" spans="3:13">
      <c r="C117" s="118"/>
      <c r="D117" s="118"/>
      <c r="E117" s="118"/>
      <c r="F117" s="118"/>
      <c r="G117" s="118"/>
      <c r="H117" s="118"/>
      <c r="I117" s="118"/>
      <c r="J117" s="118"/>
      <c r="K117" s="118"/>
      <c r="M117" s="128"/>
    </row>
    <row r="118" spans="3:13">
      <c r="I118" s="133"/>
    </row>
    <row r="119" spans="3:13">
      <c r="I119" s="133"/>
    </row>
    <row r="120" spans="3:13">
      <c r="I120" s="133"/>
    </row>
    <row r="121" spans="3:13">
      <c r="I121" s="133"/>
    </row>
    <row r="122" spans="3:13">
      <c r="I122" s="133"/>
    </row>
    <row r="123" spans="3:13">
      <c r="I123" s="133"/>
    </row>
    <row r="124" spans="3:13">
      <c r="I124" s="133"/>
    </row>
    <row r="125" spans="3:13">
      <c r="I125" s="133"/>
    </row>
    <row r="126" spans="3:13">
      <c r="I126" s="133"/>
    </row>
    <row r="127" spans="3:13">
      <c r="I127" s="133"/>
    </row>
    <row r="128" spans="3:13">
      <c r="I128" s="133"/>
    </row>
    <row r="129" spans="9:9">
      <c r="I129" s="133"/>
    </row>
    <row r="130" spans="9:9">
      <c r="I130" s="133"/>
    </row>
    <row r="131" spans="9:9">
      <c r="I131" s="133"/>
    </row>
    <row r="132" spans="9:9">
      <c r="I132" s="133"/>
    </row>
    <row r="133" spans="9:9">
      <c r="I133" s="133"/>
    </row>
    <row r="134" spans="9:9">
      <c r="I134" s="133"/>
    </row>
    <row r="135" spans="9:9">
      <c r="I135" s="133"/>
    </row>
    <row r="136" spans="9:9">
      <c r="I136" s="133"/>
    </row>
    <row r="137" spans="9:9">
      <c r="I137" s="133"/>
    </row>
    <row r="138" spans="9:9">
      <c r="I138" s="133"/>
    </row>
    <row r="139" spans="9:9">
      <c r="I139" s="133"/>
    </row>
    <row r="140" spans="9:9">
      <c r="I140" s="133"/>
    </row>
    <row r="141" spans="9:9">
      <c r="I141" s="133"/>
    </row>
    <row r="142" spans="9:9">
      <c r="I142" s="133"/>
    </row>
    <row r="143" spans="9:9">
      <c r="I143" s="133"/>
    </row>
    <row r="144" spans="9:9">
      <c r="I144" s="133"/>
    </row>
    <row r="145" spans="9:9">
      <c r="I145" s="133"/>
    </row>
    <row r="146" spans="9:9">
      <c r="I146" s="133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zoomScaleNormal="75" workbookViewId="0"/>
  </sheetViews>
  <sheetFormatPr defaultColWidth="9.140625" defaultRowHeight="15"/>
  <cols>
    <col min="1" max="1" width="9.140625" style="91"/>
    <col min="2" max="2" width="56.5703125" style="91" customWidth="1"/>
    <col min="3" max="3" width="13.140625" bestFit="1" customWidth="1"/>
    <col min="4" max="4" width="13.7109375" style="91" bestFit="1" customWidth="1"/>
    <col min="5" max="5" width="16.140625" style="91" bestFit="1" customWidth="1"/>
    <col min="6" max="6" width="14.85546875" style="91" customWidth="1"/>
    <col min="7" max="11" width="9.140625" style="91"/>
    <col min="12" max="12" width="17.28515625" style="91" customWidth="1"/>
    <col min="13" max="13" width="13" style="91" customWidth="1"/>
    <col min="14" max="16384" width="9.140625" style="91"/>
  </cols>
  <sheetData>
    <row r="1" spans="1:20">
      <c r="A1" s="90" t="s">
        <v>617</v>
      </c>
    </row>
    <row r="2" spans="1:20">
      <c r="A2" s="91" t="s">
        <v>705</v>
      </c>
    </row>
    <row r="6" spans="1:20" ht="12.75">
      <c r="C6" s="92" t="s">
        <v>145</v>
      </c>
      <c r="D6" s="92" t="s">
        <v>1322</v>
      </c>
      <c r="E6" s="104" t="s">
        <v>922</v>
      </c>
      <c r="F6" s="90"/>
    </row>
    <row r="7" spans="1:20" ht="12.75">
      <c r="C7" s="105" t="s">
        <v>1298</v>
      </c>
      <c r="D7" s="105" t="s">
        <v>870</v>
      </c>
      <c r="E7" s="104" t="s">
        <v>145</v>
      </c>
      <c r="F7" s="104" t="s">
        <v>924</v>
      </c>
    </row>
    <row r="8" spans="1:20" ht="13.5" thickBot="1">
      <c r="C8" s="96" t="s">
        <v>146</v>
      </c>
      <c r="D8" s="96" t="s">
        <v>144</v>
      </c>
      <c r="E8" s="106" t="s">
        <v>146</v>
      </c>
      <c r="F8" s="106" t="s">
        <v>696</v>
      </c>
    </row>
    <row r="9" spans="1:20">
      <c r="D9" s="89"/>
      <c r="F9" s="97"/>
    </row>
    <row r="10" spans="1:20">
      <c r="A10" s="31" t="s">
        <v>1278</v>
      </c>
      <c r="C10" s="238">
        <v>63.927524839999997</v>
      </c>
      <c r="D10" s="107">
        <f>'Billing Det'!B8</f>
        <v>364109.16666666669</v>
      </c>
      <c r="E10" s="99">
        <f>C10*D10</f>
        <v>23276597.796555035</v>
      </c>
      <c r="F10" s="98">
        <f>E10/$E$34</f>
        <v>0.69991996222812491</v>
      </c>
    </row>
    <row r="11" spans="1:20">
      <c r="C11" s="239"/>
      <c r="D11" s="107"/>
      <c r="E11" s="99"/>
      <c r="F11" s="98"/>
      <c r="O11" s="90"/>
      <c r="P11" s="90"/>
      <c r="Q11" s="90"/>
      <c r="R11" s="90"/>
      <c r="S11" s="90"/>
      <c r="T11" s="90"/>
    </row>
    <row r="12" spans="1:20">
      <c r="A12" s="184" t="s">
        <v>1350</v>
      </c>
      <c r="C12" s="238">
        <v>151.28</v>
      </c>
      <c r="D12" s="107">
        <f>'Billing Det'!B10</f>
        <v>45237</v>
      </c>
      <c r="E12" s="99">
        <f>C12*D12</f>
        <v>6843453.3600000003</v>
      </c>
      <c r="F12" s="98">
        <f>E12/$E$34</f>
        <v>0.20578048643990582</v>
      </c>
      <c r="O12" s="90"/>
      <c r="P12" s="90"/>
      <c r="Q12" s="90"/>
      <c r="R12" s="90"/>
      <c r="S12" s="90"/>
      <c r="T12" s="90"/>
    </row>
    <row r="13" spans="1:20">
      <c r="C13" s="239"/>
      <c r="D13" s="107"/>
      <c r="E13" s="99"/>
      <c r="F13" s="98"/>
      <c r="G13" s="90"/>
      <c r="H13" s="90"/>
      <c r="I13" s="90"/>
      <c r="J13" s="90"/>
    </row>
    <row r="14" spans="1:20">
      <c r="A14" s="214" t="s">
        <v>1178</v>
      </c>
      <c r="C14" s="238">
        <v>3700.0623955676192</v>
      </c>
      <c r="D14" s="107">
        <f>'Billing Det'!B12</f>
        <v>72</v>
      </c>
      <c r="E14" s="99">
        <f>C14*D14</f>
        <v>266404.49248086859</v>
      </c>
      <c r="F14" s="98">
        <f>E14/$E$34</f>
        <v>8.0106991556218293E-3</v>
      </c>
    </row>
    <row r="15" spans="1:20">
      <c r="C15" s="239"/>
      <c r="D15" s="107"/>
      <c r="E15" s="99"/>
      <c r="F15" s="98"/>
    </row>
    <row r="16" spans="1:20">
      <c r="A16" s="214" t="s">
        <v>1179</v>
      </c>
      <c r="C16" s="238">
        <v>651.85749037777498</v>
      </c>
      <c r="D16" s="107">
        <f>'Billing Det'!B14</f>
        <v>2824.1666666666665</v>
      </c>
      <c r="E16" s="99">
        <f>C16*D16</f>
        <v>1840954.1957418993</v>
      </c>
      <c r="F16" s="98">
        <f>E16/$E$34</f>
        <v>5.535691265576969E-2</v>
      </c>
    </row>
    <row r="17" spans="1:6">
      <c r="C17" s="239"/>
      <c r="D17" s="107"/>
      <c r="E17" s="99"/>
      <c r="F17" s="98"/>
    </row>
    <row r="18" spans="1:6">
      <c r="A18" s="214" t="s">
        <v>1351</v>
      </c>
      <c r="C18" s="238">
        <v>3954.1624985837757</v>
      </c>
      <c r="D18" s="107">
        <f>'Billing Det'!B16</f>
        <v>105.5</v>
      </c>
      <c r="E18" s="99">
        <f>C18*D18</f>
        <v>417164.14360058832</v>
      </c>
      <c r="F18" s="98">
        <f>E18/$E$34</f>
        <v>1.2543994366524883E-2</v>
      </c>
    </row>
    <row r="19" spans="1:6">
      <c r="C19" s="238"/>
      <c r="D19" s="107"/>
      <c r="E19" s="99"/>
      <c r="F19" s="98"/>
    </row>
    <row r="20" spans="1:6">
      <c r="A20" s="214" t="s">
        <v>1323</v>
      </c>
      <c r="C20" s="238">
        <v>702.69269631831526</v>
      </c>
      <c r="D20" s="107">
        <f>'Billing Det'!B18</f>
        <v>276</v>
      </c>
      <c r="E20" s="99">
        <f>C20*D20</f>
        <v>193943.18418385502</v>
      </c>
      <c r="F20" s="98">
        <f>E20/$E$34</f>
        <v>5.8318104447573722E-3</v>
      </c>
    </row>
    <row r="21" spans="1:6">
      <c r="C21" s="239"/>
      <c r="D21" s="107"/>
      <c r="E21" s="99"/>
      <c r="F21" s="98"/>
    </row>
    <row r="22" spans="1:6">
      <c r="A22" s="214" t="s">
        <v>1180</v>
      </c>
      <c r="C22" s="238">
        <v>26250.546715109092</v>
      </c>
      <c r="D22" s="242">
        <f>'Billing Det'!B20</f>
        <v>13</v>
      </c>
      <c r="E22" s="99">
        <f>C22*D22</f>
        <v>341257.10729641822</v>
      </c>
      <c r="F22" s="98">
        <f>E22/$E$34</f>
        <v>1.0261493700094724E-2</v>
      </c>
    </row>
    <row r="23" spans="1:6">
      <c r="C23" s="239"/>
      <c r="D23" s="107"/>
      <c r="E23" s="99"/>
      <c r="F23" s="98"/>
    </row>
    <row r="24" spans="1:6">
      <c r="A24" s="214" t="s">
        <v>1345</v>
      </c>
      <c r="C24" s="238">
        <f>C18</f>
        <v>3954.1624985837757</v>
      </c>
      <c r="D24" s="107">
        <f>'Billing Det'!B22</f>
        <v>1</v>
      </c>
      <c r="E24" s="99">
        <f>C24*D24</f>
        <v>3954.1624985837757</v>
      </c>
      <c r="F24" s="98">
        <f>E24/$E$34</f>
        <v>1.1890042053578088E-4</v>
      </c>
    </row>
    <row r="25" spans="1:6">
      <c r="C25" s="239"/>
      <c r="D25" s="107"/>
      <c r="E25" s="99"/>
      <c r="F25" s="98"/>
    </row>
    <row r="26" spans="1:6">
      <c r="A26" s="214" t="s">
        <v>1348</v>
      </c>
      <c r="C26" s="238">
        <f>C24</f>
        <v>3954.1624985837757</v>
      </c>
      <c r="D26" s="107">
        <f>'Billing Det'!B24</f>
        <v>1</v>
      </c>
      <c r="E26" s="99">
        <f>C26*D26</f>
        <v>3954.1624985837757</v>
      </c>
      <c r="F26" s="98">
        <f>E26/$E$34</f>
        <v>1.1890042053578088E-4</v>
      </c>
    </row>
    <row r="27" spans="1:6">
      <c r="C27" s="239"/>
      <c r="D27" s="107"/>
      <c r="E27" s="99"/>
      <c r="F27" s="98"/>
    </row>
    <row r="28" spans="1:6">
      <c r="A28" s="184" t="s">
        <v>1292</v>
      </c>
      <c r="C28" s="238">
        <v>0</v>
      </c>
      <c r="D28" s="107">
        <f>'Billing Det'!B26</f>
        <v>86402</v>
      </c>
      <c r="E28" s="99">
        <f>C28*D28</f>
        <v>0</v>
      </c>
      <c r="F28" s="98">
        <f>E28/$E$34</f>
        <v>0</v>
      </c>
    </row>
    <row r="29" spans="1:6">
      <c r="C29" s="239"/>
      <c r="D29" s="107"/>
      <c r="E29" s="99"/>
      <c r="F29" s="98"/>
    </row>
    <row r="30" spans="1:6">
      <c r="A30" s="214" t="s">
        <v>1181</v>
      </c>
      <c r="C30" s="238">
        <f>C10</f>
        <v>63.927524839999997</v>
      </c>
      <c r="D30" s="107">
        <f>'Billing Det'!B28</f>
        <v>165</v>
      </c>
      <c r="E30" s="99">
        <f>C30*D30</f>
        <v>10548.041598599999</v>
      </c>
      <c r="F30" s="98">
        <f>E30/$E$34</f>
        <v>3.1717628760872705E-4</v>
      </c>
    </row>
    <row r="31" spans="1:6">
      <c r="C31" s="238"/>
      <c r="D31" s="107"/>
      <c r="E31" s="99"/>
      <c r="F31" s="98"/>
    </row>
    <row r="32" spans="1:6">
      <c r="A32" s="184" t="s">
        <v>635</v>
      </c>
      <c r="C32" s="238">
        <f>C10</f>
        <v>63.927524839999997</v>
      </c>
      <c r="D32" s="107">
        <f>'Billing Det'!B30</f>
        <v>905</v>
      </c>
      <c r="E32" s="99">
        <f>C32*D32</f>
        <v>57854.409980199998</v>
      </c>
      <c r="F32" s="98">
        <f>E32/$E$34</f>
        <v>1.739663880520594E-3</v>
      </c>
    </row>
    <row r="33" spans="1:13" ht="12.75">
      <c r="A33" s="100"/>
      <c r="B33" s="101"/>
      <c r="C33" s="101"/>
      <c r="D33" s="108"/>
      <c r="E33" s="102"/>
      <c r="F33" s="103"/>
    </row>
    <row r="34" spans="1:13" ht="12.75">
      <c r="C34" s="91"/>
      <c r="D34" s="107">
        <f>SUM(D10:D33)</f>
        <v>500110.83333333337</v>
      </c>
      <c r="E34" s="95">
        <f>SUM(E10:E33)</f>
        <v>33256085.056434628</v>
      </c>
      <c r="F34" s="98">
        <f>SUM(F10:F33)</f>
        <v>1</v>
      </c>
    </row>
    <row r="35" spans="1:13" ht="12.75">
      <c r="C35" s="91"/>
      <c r="L35" s="89"/>
      <c r="M35" s="89"/>
    </row>
    <row r="36" spans="1:13" ht="12.75">
      <c r="C36" s="91"/>
      <c r="L36" s="89"/>
      <c r="M36" s="89"/>
    </row>
    <row r="37" spans="1:13" ht="12.75">
      <c r="B37" s="91" t="s">
        <v>628</v>
      </c>
      <c r="C37" s="91"/>
      <c r="E37" s="95">
        <f>'Functional Assignment'!F43</f>
        <v>39970580</v>
      </c>
    </row>
    <row r="38" spans="1:13" ht="12.75">
      <c r="C38" s="91"/>
    </row>
    <row r="39" spans="1:13" ht="12.75">
      <c r="C39" s="91"/>
    </row>
    <row r="40" spans="1:13" ht="12.75">
      <c r="C40" s="91"/>
    </row>
    <row r="41" spans="1:13" ht="12.75">
      <c r="C41" s="91"/>
    </row>
    <row r="42" spans="1:13" ht="12.75">
      <c r="C42" s="91"/>
    </row>
    <row r="43" spans="1:13" ht="12.75">
      <c r="C43" s="91"/>
      <c r="E43" s="109"/>
    </row>
    <row r="44" spans="1:13" ht="12.75">
      <c r="C44" s="91"/>
    </row>
    <row r="45" spans="1:13" ht="12.75">
      <c r="C45" s="91"/>
    </row>
    <row r="46" spans="1:13" ht="12.75">
      <c r="C46" s="91"/>
    </row>
    <row r="47" spans="1:13" ht="12.75">
      <c r="C47" s="91"/>
    </row>
    <row r="48" spans="1:13" ht="12.75">
      <c r="C48" s="91"/>
    </row>
    <row r="49" spans="3:3" ht="12.75">
      <c r="C49" s="91"/>
    </row>
    <row r="50" spans="3:3" ht="12.75">
      <c r="C50" s="91"/>
    </row>
    <row r="51" spans="3:3" ht="12.75">
      <c r="C51" s="91"/>
    </row>
    <row r="52" spans="3:3" ht="12.75">
      <c r="C52" s="91"/>
    </row>
    <row r="56" spans="3:3" ht="12.75">
      <c r="C56" s="91"/>
    </row>
    <row r="57" spans="3:3" ht="12.75">
      <c r="C57" s="91"/>
    </row>
    <row r="58" spans="3:3" ht="12.75">
      <c r="C58" s="91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topLeftCell="A16" zoomScale="80" zoomScaleNormal="100" zoomScaleSheetLayoutView="80" workbookViewId="0">
      <selection activeCell="K51" sqref="K51"/>
    </sheetView>
  </sheetViews>
  <sheetFormatPr defaultRowHeight="15"/>
  <cols>
    <col min="1" max="1" width="4.5703125" customWidth="1"/>
    <col min="2" max="2" width="36.140625" style="213" customWidth="1"/>
    <col min="3" max="3" width="30.7109375" hidden="1" customWidth="1"/>
    <col min="4" max="4" width="20.140625" customWidth="1"/>
    <col min="5" max="5" width="19.42578125" customWidth="1"/>
    <col min="6" max="6" width="19.140625" customWidth="1"/>
    <col min="7" max="7" width="20.28515625" customWidth="1"/>
    <col min="8" max="9" width="19.7109375" customWidth="1"/>
    <col min="10" max="10" width="28" customWidth="1"/>
    <col min="11" max="11" width="27" customWidth="1"/>
    <col min="12" max="12" width="17.85546875" customWidth="1"/>
  </cols>
  <sheetData>
    <row r="1" spans="1:14" ht="15.75">
      <c r="A1" s="380" t="s">
        <v>617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221"/>
      <c r="M1" s="221"/>
      <c r="N1" s="221"/>
    </row>
    <row r="2" spans="1:14" ht="15.75">
      <c r="A2" s="226"/>
      <c r="B2" s="356"/>
      <c r="C2" s="226"/>
      <c r="D2" s="226"/>
      <c r="E2" s="226"/>
      <c r="F2" s="226"/>
      <c r="G2" s="226"/>
      <c r="H2" s="226"/>
      <c r="I2" s="226"/>
      <c r="J2" s="226"/>
      <c r="K2" s="226"/>
      <c r="L2" s="183"/>
      <c r="M2" s="183"/>
      <c r="N2" s="183"/>
    </row>
    <row r="3" spans="1:14" ht="15.75">
      <c r="A3" s="380" t="s">
        <v>1188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221"/>
      <c r="M3" s="221"/>
      <c r="N3" s="221"/>
    </row>
    <row r="4" spans="1:14" ht="15.75">
      <c r="A4" s="380" t="s">
        <v>1358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221"/>
      <c r="M4" s="221"/>
      <c r="N4" s="221"/>
    </row>
    <row r="5" spans="1:14" ht="15.75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0"/>
      <c r="M5" s="20"/>
      <c r="N5" s="20"/>
    </row>
    <row r="6" spans="1:14" ht="15.75">
      <c r="A6" s="380" t="s">
        <v>1189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221"/>
      <c r="M6" s="221"/>
      <c r="N6" s="221"/>
    </row>
    <row r="7" spans="1:14" ht="15.75" thickBot="1"/>
    <row r="8" spans="1:14" ht="15.75" thickBot="1">
      <c r="A8" s="185"/>
      <c r="B8" s="363"/>
      <c r="C8" s="186"/>
      <c r="D8" s="185"/>
      <c r="E8" s="381" t="s">
        <v>721</v>
      </c>
      <c r="F8" s="382"/>
      <c r="G8" s="187" t="s">
        <v>1130</v>
      </c>
      <c r="H8" s="381" t="s">
        <v>938</v>
      </c>
      <c r="I8" s="382"/>
      <c r="J8" s="256" t="s">
        <v>1190</v>
      </c>
      <c r="K8" s="186"/>
      <c r="L8" s="257"/>
    </row>
    <row r="9" spans="1:14">
      <c r="A9" s="189"/>
      <c r="B9" s="364"/>
      <c r="C9" s="190"/>
      <c r="D9" s="190"/>
      <c r="E9" s="186"/>
      <c r="F9" s="186"/>
      <c r="G9" s="186"/>
      <c r="H9" s="186"/>
      <c r="I9" s="186"/>
      <c r="J9" s="185"/>
      <c r="K9" s="190"/>
      <c r="L9" s="258"/>
    </row>
    <row r="10" spans="1:14">
      <c r="A10" s="189"/>
      <c r="B10" s="364"/>
      <c r="C10" s="190"/>
      <c r="D10" s="190"/>
      <c r="E10" s="190"/>
      <c r="F10" s="190"/>
      <c r="G10" s="190"/>
      <c r="H10" s="190"/>
      <c r="I10" s="190"/>
      <c r="J10" s="189"/>
      <c r="K10" s="190"/>
      <c r="L10" s="258"/>
    </row>
    <row r="11" spans="1:14" ht="15.75" thickBot="1">
      <c r="A11" s="192"/>
      <c r="B11" s="365" t="s">
        <v>925</v>
      </c>
      <c r="C11" s="259" t="s">
        <v>1191</v>
      </c>
      <c r="D11" s="259" t="s">
        <v>1252</v>
      </c>
      <c r="E11" s="193" t="s">
        <v>1192</v>
      </c>
      <c r="F11" s="193" t="s">
        <v>1193</v>
      </c>
      <c r="G11" s="193" t="s">
        <v>1192</v>
      </c>
      <c r="H11" s="193" t="s">
        <v>1192</v>
      </c>
      <c r="I11" s="193" t="s">
        <v>1194</v>
      </c>
      <c r="J11" s="271" t="s">
        <v>1194</v>
      </c>
      <c r="K11" s="194" t="s">
        <v>922</v>
      </c>
      <c r="L11" s="194" t="s">
        <v>1195</v>
      </c>
    </row>
    <row r="12" spans="1:14">
      <c r="A12" s="195"/>
      <c r="B12" s="366"/>
      <c r="C12" s="196"/>
      <c r="D12" s="197"/>
      <c r="E12" s="198"/>
      <c r="F12" s="198"/>
      <c r="G12" s="198"/>
      <c r="H12" s="198"/>
      <c r="I12" s="198"/>
      <c r="J12" s="198"/>
      <c r="K12" s="188"/>
      <c r="L12" s="191"/>
    </row>
    <row r="13" spans="1:14">
      <c r="A13" s="199" t="s">
        <v>1196</v>
      </c>
      <c r="B13" s="206" t="s">
        <v>965</v>
      </c>
      <c r="C13" s="200"/>
      <c r="D13" s="262">
        <f>Allocation!G176</f>
        <v>1151746077.2153518</v>
      </c>
      <c r="E13" s="346">
        <f>Allocation!G125+Allocation!G126+Allocation!G127</f>
        <v>515004027.33939111</v>
      </c>
      <c r="F13" s="346">
        <f>Allocation!G128</f>
        <v>18583061.593407668</v>
      </c>
      <c r="G13" s="346">
        <f>Allocation!G137</f>
        <v>111943212.22982559</v>
      </c>
      <c r="H13" s="346">
        <f>Allocation!G147+Allocation!G149+Allocation!G154+Allocation!G143</f>
        <v>184388867.25262314</v>
      </c>
      <c r="I13" s="346">
        <f>Allocation!G159+Allocation!G162+Allocation!G165</f>
        <v>32055914.988905419</v>
      </c>
      <c r="J13" s="346">
        <f>Allocation!G168+Allocation!G171</f>
        <v>2307010.4031823776</v>
      </c>
      <c r="K13" s="269">
        <f>SUM(E13:J13)</f>
        <v>864282093.80733526</v>
      </c>
      <c r="L13" s="201" t="str">
        <f>IF(ABS(K13-D13)&lt;0.01,"ok","err")</f>
        <v>err</v>
      </c>
    </row>
    <row r="14" spans="1:14">
      <c r="A14" s="202" t="s">
        <v>1197</v>
      </c>
      <c r="B14" s="206" t="s">
        <v>1198</v>
      </c>
      <c r="C14" s="200"/>
      <c r="D14" s="262">
        <f>Allocation!G831+Allocation!G832+Allocation!G833</f>
        <v>0</v>
      </c>
      <c r="E14" s="346">
        <f t="shared" ref="E14:J14" si="0">(E13/$D$13)*$D$14</f>
        <v>0</v>
      </c>
      <c r="F14" s="346">
        <f t="shared" si="0"/>
        <v>0</v>
      </c>
      <c r="G14" s="346">
        <f t="shared" si="0"/>
        <v>0</v>
      </c>
      <c r="H14" s="346">
        <f t="shared" si="0"/>
        <v>0</v>
      </c>
      <c r="I14" s="346">
        <f t="shared" si="0"/>
        <v>0</v>
      </c>
      <c r="J14" s="346">
        <f t="shared" si="0"/>
        <v>0</v>
      </c>
      <c r="K14" s="269">
        <f>SUM(E14:J14)</f>
        <v>0</v>
      </c>
      <c r="L14" s="201" t="str">
        <f>IF(ABS(K14-D14)&lt;0.01,"ok","err")</f>
        <v>ok</v>
      </c>
    </row>
    <row r="15" spans="1:14">
      <c r="A15" s="202" t="s">
        <v>1199</v>
      </c>
      <c r="B15" s="224" t="s">
        <v>1200</v>
      </c>
      <c r="C15" s="200"/>
      <c r="D15" s="262">
        <f>D13+D14</f>
        <v>1151746077.2153518</v>
      </c>
      <c r="E15" s="346">
        <f t="shared" ref="E15:K15" si="1">E13+E14</f>
        <v>515004027.33939111</v>
      </c>
      <c r="F15" s="346">
        <f t="shared" si="1"/>
        <v>18583061.593407668</v>
      </c>
      <c r="G15" s="346">
        <f t="shared" si="1"/>
        <v>111943212.22982559</v>
      </c>
      <c r="H15" s="346">
        <f t="shared" si="1"/>
        <v>184388867.25262314</v>
      </c>
      <c r="I15" s="346">
        <f t="shared" si="1"/>
        <v>32055914.988905419</v>
      </c>
      <c r="J15" s="346">
        <f t="shared" si="1"/>
        <v>2307010.4031823776</v>
      </c>
      <c r="K15" s="269">
        <f t="shared" si="1"/>
        <v>864282093.80733526</v>
      </c>
      <c r="L15" s="201" t="str">
        <f>IF(ABS(K15-D15)&lt;0.01,"ok","err")</f>
        <v>err</v>
      </c>
    </row>
    <row r="16" spans="1:14">
      <c r="A16" s="202"/>
      <c r="B16" s="367"/>
      <c r="C16" s="203"/>
      <c r="D16" s="261"/>
      <c r="E16" s="225"/>
      <c r="F16" s="225"/>
      <c r="G16" s="225"/>
      <c r="H16" s="225"/>
      <c r="I16" s="225"/>
      <c r="J16" s="69"/>
      <c r="K16" s="269"/>
      <c r="L16" s="204"/>
    </row>
    <row r="17" spans="1:12">
      <c r="A17" s="202" t="s">
        <v>1201</v>
      </c>
      <c r="B17" s="206" t="s">
        <v>1120</v>
      </c>
      <c r="C17" s="200"/>
      <c r="D17" s="347">
        <f>Allocation!G988</f>
        <v>4.9152529456142117E-2</v>
      </c>
      <c r="E17" s="348">
        <f t="shared" ref="E17:J17" si="2">D17</f>
        <v>4.9152529456142117E-2</v>
      </c>
      <c r="F17" s="348">
        <f t="shared" si="2"/>
        <v>4.9152529456142117E-2</v>
      </c>
      <c r="G17" s="348">
        <f t="shared" si="2"/>
        <v>4.9152529456142117E-2</v>
      </c>
      <c r="H17" s="348">
        <f t="shared" si="2"/>
        <v>4.9152529456142117E-2</v>
      </c>
      <c r="I17" s="348">
        <f t="shared" si="2"/>
        <v>4.9152529456142117E-2</v>
      </c>
      <c r="J17" s="348">
        <f t="shared" si="2"/>
        <v>4.9152529456142117E-2</v>
      </c>
      <c r="K17" s="269"/>
      <c r="L17" s="201"/>
    </row>
    <row r="18" spans="1:12">
      <c r="A18" s="205"/>
      <c r="B18" s="206"/>
      <c r="C18" s="203"/>
      <c r="D18" s="261"/>
      <c r="E18" s="225"/>
      <c r="F18" s="225"/>
      <c r="G18" s="225"/>
      <c r="H18" s="225"/>
      <c r="I18" s="225"/>
      <c r="J18" s="69"/>
      <c r="K18" s="269"/>
      <c r="L18" s="204"/>
    </row>
    <row r="19" spans="1:12">
      <c r="A19" s="202" t="s">
        <v>1202</v>
      </c>
      <c r="B19" s="206" t="s">
        <v>1203</v>
      </c>
      <c r="C19" s="200"/>
      <c r="D19" s="262">
        <f>D17*D15</f>
        <v>56611232.986323714</v>
      </c>
      <c r="E19" s="223">
        <f t="shared" ref="E19:J19" si="3">E17*E15</f>
        <v>25313750.623831242</v>
      </c>
      <c r="F19" s="223">
        <f t="shared" si="3"/>
        <v>913404.48235527368</v>
      </c>
      <c r="G19" s="223">
        <f t="shared" si="3"/>
        <v>5502292.0365416706</v>
      </c>
      <c r="H19" s="223">
        <f t="shared" si="3"/>
        <v>9063179.2290192377</v>
      </c>
      <c r="I19" s="223">
        <f t="shared" si="3"/>
        <v>1575629.3057357613</v>
      </c>
      <c r="J19" s="362">
        <f t="shared" si="3"/>
        <v>113395.39679804811</v>
      </c>
      <c r="K19" s="270">
        <f>SUM(E19:J19)</f>
        <v>42481651.074281231</v>
      </c>
      <c r="L19" s="201" t="str">
        <f>IF(ABS(K19-D19)&lt;0.01,"ok","err")</f>
        <v>err</v>
      </c>
    </row>
    <row r="20" spans="1:12">
      <c r="A20" s="205"/>
      <c r="B20" s="206"/>
      <c r="C20" s="203"/>
      <c r="D20" s="261"/>
      <c r="E20" s="225"/>
      <c r="F20" s="225"/>
      <c r="G20" s="225"/>
      <c r="H20" s="225"/>
      <c r="I20" s="225"/>
      <c r="J20" s="69"/>
      <c r="K20" s="270"/>
      <c r="L20" s="204"/>
    </row>
    <row r="21" spans="1:12">
      <c r="A21" s="202" t="s">
        <v>1204</v>
      </c>
      <c r="B21" s="206" t="s">
        <v>806</v>
      </c>
      <c r="C21" s="200"/>
      <c r="D21" s="262">
        <f>Allocation!G743</f>
        <v>30245175.128357016</v>
      </c>
      <c r="E21" s="223">
        <f t="shared" ref="E21:J21" si="4">(E13/$D$13)*$D$21</f>
        <v>13524150.250504041</v>
      </c>
      <c r="F21" s="223">
        <f t="shared" si="4"/>
        <v>487996.41121640144</v>
      </c>
      <c r="G21" s="223">
        <f t="shared" si="4"/>
        <v>2939660.1606040029</v>
      </c>
      <c r="H21" s="223">
        <f t="shared" si="4"/>
        <v>4842103.3872835189</v>
      </c>
      <c r="I21" s="223">
        <f t="shared" si="4"/>
        <v>841797.32140549459</v>
      </c>
      <c r="J21" s="362">
        <f t="shared" si="4"/>
        <v>60582.740456033636</v>
      </c>
      <c r="K21" s="270">
        <f>SUM(E21:J21)</f>
        <v>22696290.271469492</v>
      </c>
      <c r="L21" s="201" t="str">
        <f>IF(ABS(K21-D21)&lt;0.01,"ok","err")</f>
        <v>err</v>
      </c>
    </row>
    <row r="22" spans="1:12">
      <c r="A22" s="205"/>
      <c r="B22" s="206"/>
      <c r="C22" s="203"/>
      <c r="D22" s="261"/>
      <c r="E22" s="225"/>
      <c r="F22" s="225"/>
      <c r="G22" s="225"/>
      <c r="H22" s="225"/>
      <c r="I22" s="225"/>
      <c r="J22" s="69"/>
      <c r="K22" s="270"/>
      <c r="L22" s="204"/>
    </row>
    <row r="23" spans="1:12">
      <c r="A23" s="202" t="s">
        <v>1205</v>
      </c>
      <c r="B23" s="206" t="s">
        <v>1206</v>
      </c>
      <c r="C23" s="200"/>
      <c r="D23" s="262">
        <f>D19-D21</f>
        <v>26366057.857966699</v>
      </c>
      <c r="E23" s="223">
        <f t="shared" ref="E23:J23" si="5">E19-E21</f>
        <v>11789600.373327201</v>
      </c>
      <c r="F23" s="223">
        <f t="shared" si="5"/>
        <v>425408.07113887224</v>
      </c>
      <c r="G23" s="223">
        <f t="shared" si="5"/>
        <v>2562631.8759376677</v>
      </c>
      <c r="H23" s="223">
        <f t="shared" si="5"/>
        <v>4221075.8417357188</v>
      </c>
      <c r="I23" s="223">
        <f t="shared" si="5"/>
        <v>733831.98433026671</v>
      </c>
      <c r="J23" s="362">
        <f t="shared" si="5"/>
        <v>52812.656342014474</v>
      </c>
      <c r="K23" s="270">
        <f>SUM(E23:J23)</f>
        <v>19785360.802811742</v>
      </c>
      <c r="L23" s="201" t="str">
        <f>IF(ABS(K23-D23)&lt;0.01,"ok","err")</f>
        <v>err</v>
      </c>
    </row>
    <row r="24" spans="1:12">
      <c r="A24" s="205"/>
      <c r="B24" s="206"/>
      <c r="C24" s="203"/>
      <c r="D24" s="261"/>
      <c r="E24" s="225"/>
      <c r="F24" s="225"/>
      <c r="G24" s="225"/>
      <c r="H24" s="225"/>
      <c r="I24" s="225"/>
      <c r="J24" s="69"/>
      <c r="K24" s="270"/>
      <c r="L24" s="204"/>
    </row>
    <row r="25" spans="1:12">
      <c r="A25" s="202" t="s">
        <v>1207</v>
      </c>
      <c r="B25" s="206" t="s">
        <v>1208</v>
      </c>
      <c r="C25" s="203"/>
      <c r="D25" s="262">
        <f>Allocation!G783+Allocation!G979</f>
        <v>19030526.606072955</v>
      </c>
      <c r="E25" s="223">
        <f t="shared" ref="E25:H25" si="6">$D$25*(E23/$K$23)</f>
        <v>11339813.60338328</v>
      </c>
      <c r="F25" s="223">
        <f t="shared" si="6"/>
        <v>409178.26553337253</v>
      </c>
      <c r="G25" s="223">
        <f t="shared" si="6"/>
        <v>2464864.5320469397</v>
      </c>
      <c r="H25" s="223">
        <f t="shared" si="6"/>
        <v>4060036.9592950568</v>
      </c>
      <c r="I25" s="223">
        <f>$D$25*(I23/$D$23)</f>
        <v>529666.17828932521</v>
      </c>
      <c r="J25" s="362">
        <f>$D$25*(J23/$D$23)</f>
        <v>38119.185927160135</v>
      </c>
      <c r="K25" s="270">
        <f>SUM(E25:J25)</f>
        <v>18841678.724475134</v>
      </c>
      <c r="L25" s="201" t="str">
        <f>IF(ABS(K25-D25)&lt;0.01,"ok","err")</f>
        <v>err</v>
      </c>
    </row>
    <row r="26" spans="1:12">
      <c r="A26" s="205"/>
      <c r="B26" s="206"/>
      <c r="C26" s="203"/>
      <c r="D26" s="261"/>
      <c r="E26" s="225"/>
      <c r="F26" s="225"/>
      <c r="G26" s="225"/>
      <c r="H26" s="225"/>
      <c r="I26" s="225"/>
      <c r="J26" s="69"/>
      <c r="K26" s="270"/>
      <c r="L26" s="204"/>
    </row>
    <row r="27" spans="1:12">
      <c r="A27" s="202" t="s">
        <v>1209</v>
      </c>
      <c r="B27" s="206" t="s">
        <v>975</v>
      </c>
      <c r="C27" s="200"/>
      <c r="D27" s="262">
        <f>Allocation!G774</f>
        <v>287977479.04383886</v>
      </c>
      <c r="E27" s="362">
        <f>Allocation!G182+Allocation!G183+Allocation!G184</f>
        <v>38079049.395119704</v>
      </c>
      <c r="F27" s="362">
        <f>Allocation!G185</f>
        <v>168422502.43944997</v>
      </c>
      <c r="G27" s="362">
        <f>Allocation!G194</f>
        <v>9843945.0934296139</v>
      </c>
      <c r="H27" s="362">
        <f>Allocation!G200+Allocation!G204+Allocation!G206+Allocation!G211</f>
        <v>15549876.538997941</v>
      </c>
      <c r="I27" s="362">
        <f>Allocation!G216+Allocation!G219</f>
        <v>12245835.058615068</v>
      </c>
      <c r="J27" s="362">
        <f>Allocation!G225+Allocation!G228</f>
        <v>18688874.962648217</v>
      </c>
      <c r="K27" s="269">
        <f>SUM(E27:J27)</f>
        <v>262830083.48826051</v>
      </c>
      <c r="L27" s="201" t="str">
        <f>IF(ABS(K27-D27)&lt;0.01,"ok","err")</f>
        <v>err</v>
      </c>
    </row>
    <row r="28" spans="1:12">
      <c r="A28" s="202" t="s">
        <v>1210</v>
      </c>
      <c r="B28" s="206" t="s">
        <v>1071</v>
      </c>
      <c r="C28" s="200"/>
      <c r="D28" s="349">
        <f>Allocation!G775</f>
        <v>66956528.663069092</v>
      </c>
      <c r="E28" s="358">
        <f>Allocation!G302</f>
        <v>32589861.887140639</v>
      </c>
      <c r="F28" s="358">
        <v>0</v>
      </c>
      <c r="G28" s="358">
        <f>Allocation!G308</f>
        <v>5230791.5018595681</v>
      </c>
      <c r="H28" s="358">
        <f>Allocation!G314+Allocation!G318+Allocation!G320+Allocation!G325</f>
        <v>10666046.542608526</v>
      </c>
      <c r="I28" s="358">
        <f>Allocation!G330+Allocation!G333</f>
        <v>1773201.26331614</v>
      </c>
      <c r="J28" s="358">
        <v>0</v>
      </c>
      <c r="K28" s="269">
        <f>SUM(E28:J28)</f>
        <v>50259901.194924876</v>
      </c>
      <c r="L28" s="201" t="str">
        <f>IF(ABS(K28-D28)&lt;0.01,"ok","err")</f>
        <v>err</v>
      </c>
    </row>
    <row r="29" spans="1:12">
      <c r="A29" s="202" t="s">
        <v>1211</v>
      </c>
      <c r="B29" s="206" t="s">
        <v>1212</v>
      </c>
      <c r="C29" s="200"/>
      <c r="D29" s="349">
        <f>Allocation!G780+Allocation!G781</f>
        <v>15333621.874158604</v>
      </c>
      <c r="E29" s="358">
        <f>Allocation!G417+Allocation!G474+Allocation!G359+Allocation!G531+Allocation!G589</f>
        <v>6986846.9336919747</v>
      </c>
      <c r="F29" s="358">
        <f>Allocation!G356+Allocation!G357+Allocation!G358+Allocation!G414+Allocation!G415+Allocation!G416+Allocation!G471+Allocation!G472+Allocation!G473+Allocation!G528+Allocation!G529+Allocation!G530+Allocation!G586+Allocation!G587+Allocation!G588</f>
        <v>0</v>
      </c>
      <c r="G29" s="358">
        <f>Allocation!G365+Allocation!G423+Allocation!G480+Allocation!G537+Allocation!G595</f>
        <v>1492320.7842309314</v>
      </c>
      <c r="H29" s="358">
        <f>Allocation!G371+Allocation!G375+Allocation!G377+Allocation!G382+Allocation!G429+Allocation!G433+Allocation!G435+Allocation!G440+Allocation!G486+Allocation!G490+Allocation!G492+Allocation!G497+Allocation!G543+Allocation!G547+Allocation!G549+Allocation!G554+Allocation!G601+Allocation!G605+Allocation!G607+Allocation!G612</f>
        <v>2509275.1244598692</v>
      </c>
      <c r="I29" s="358">
        <f>Allocation!G387+Allocation!G391+Allocation!G445+Allocation!G448+Allocation!G502+Allocation!G505+Allocation!G559+Allocation!G562+Allocation!G617+Allocation!G620</f>
        <v>417160.1729774407</v>
      </c>
      <c r="J29" s="358">
        <v>0</v>
      </c>
      <c r="K29" s="269">
        <f>SUM(E29:J29)</f>
        <v>11405603.015360214</v>
      </c>
      <c r="L29" s="201" t="str">
        <f>IF(ABS(K29-D29)&lt;0.01,"ok","err")</f>
        <v>err</v>
      </c>
    </row>
    <row r="30" spans="1:12">
      <c r="A30" s="202" t="s">
        <v>1213</v>
      </c>
      <c r="B30" s="206" t="s">
        <v>1240</v>
      </c>
      <c r="C30" s="200"/>
      <c r="D30" s="260">
        <f>Allocation!G717+Allocation!G718</f>
        <v>0</v>
      </c>
      <c r="E30" s="357">
        <f t="shared" ref="E30:J30" si="7">$D$30*(E13/$K$13)</f>
        <v>0</v>
      </c>
      <c r="F30" s="357">
        <f t="shared" si="7"/>
        <v>0</v>
      </c>
      <c r="G30" s="357">
        <f t="shared" si="7"/>
        <v>0</v>
      </c>
      <c r="H30" s="357">
        <f t="shared" si="7"/>
        <v>0</v>
      </c>
      <c r="I30" s="357">
        <f>$D$30*(I13/$D$13)</f>
        <v>0</v>
      </c>
      <c r="J30" s="357">
        <f t="shared" si="7"/>
        <v>0</v>
      </c>
      <c r="K30" s="269">
        <f>SUM(E30:J30)</f>
        <v>0</v>
      </c>
      <c r="L30" s="201" t="str">
        <f>IF(ABS(K30-D30)&lt;0.01,"ok","err")</f>
        <v>ok</v>
      </c>
    </row>
    <row r="31" spans="1:12">
      <c r="A31" s="202" t="s">
        <v>1214</v>
      </c>
      <c r="B31" s="206" t="s">
        <v>1215</v>
      </c>
      <c r="C31" s="200"/>
      <c r="D31" s="260">
        <f>Allocation!G801</f>
        <v>0</v>
      </c>
      <c r="E31" s="357">
        <f>D31</f>
        <v>0</v>
      </c>
      <c r="F31" s="357">
        <v>0</v>
      </c>
      <c r="G31" s="357">
        <v>0</v>
      </c>
      <c r="H31" s="357">
        <v>0</v>
      </c>
      <c r="I31" s="357">
        <v>0</v>
      </c>
      <c r="J31" s="357">
        <v>0</v>
      </c>
      <c r="K31" s="269">
        <f>SUM(E31:J31)</f>
        <v>0</v>
      </c>
      <c r="L31" s="201" t="str">
        <f t="shared" ref="L31:L38" si="8">IF(ABS(K31-D31)&lt;0.01,"ok","err")</f>
        <v>ok</v>
      </c>
    </row>
    <row r="32" spans="1:12">
      <c r="A32" s="202" t="s">
        <v>1216</v>
      </c>
      <c r="B32" s="206" t="s">
        <v>1217</v>
      </c>
      <c r="C32" s="200"/>
      <c r="D32" s="260">
        <f>Allocation!G788+Allocation!G791+Allocation!G792</f>
        <v>0</v>
      </c>
      <c r="E32" s="357">
        <v>0</v>
      </c>
      <c r="F32" s="357">
        <f>D32</f>
        <v>0</v>
      </c>
      <c r="G32" s="357">
        <v>0</v>
      </c>
      <c r="H32" s="357">
        <v>0</v>
      </c>
      <c r="I32" s="357">
        <v>0</v>
      </c>
      <c r="J32" s="357">
        <v>0</v>
      </c>
      <c r="K32" s="269">
        <f t="shared" ref="K32:K38" si="9">SUM(E32:J32)</f>
        <v>0</v>
      </c>
      <c r="L32" s="201" t="str">
        <f t="shared" si="8"/>
        <v>ok</v>
      </c>
    </row>
    <row r="33" spans="1:12">
      <c r="A33" s="202" t="s">
        <v>1218</v>
      </c>
      <c r="B33" s="206" t="s">
        <v>1219</v>
      </c>
      <c r="C33" s="200"/>
      <c r="D33" s="260">
        <f>Allocation!G799+Allocation!G802</f>
        <v>0</v>
      </c>
      <c r="E33" s="357">
        <v>0</v>
      </c>
      <c r="F33" s="357">
        <v>0</v>
      </c>
      <c r="G33" s="357">
        <f>D33</f>
        <v>0</v>
      </c>
      <c r="H33" s="357">
        <v>0</v>
      </c>
      <c r="I33" s="357">
        <v>0</v>
      </c>
      <c r="J33" s="357">
        <v>0</v>
      </c>
      <c r="K33" s="269">
        <f t="shared" si="9"/>
        <v>0</v>
      </c>
      <c r="L33" s="201" t="str">
        <f t="shared" si="8"/>
        <v>ok</v>
      </c>
    </row>
    <row r="34" spans="1:12">
      <c r="A34" s="202" t="s">
        <v>1220</v>
      </c>
      <c r="B34" s="206" t="s">
        <v>1221</v>
      </c>
      <c r="C34" s="200"/>
      <c r="D34" s="260">
        <f>Allocation!G793</f>
        <v>0</v>
      </c>
      <c r="E34" s="357">
        <v>0</v>
      </c>
      <c r="F34" s="357">
        <v>0</v>
      </c>
      <c r="G34" s="357">
        <v>0</v>
      </c>
      <c r="H34" s="357">
        <f>(H13/($I$13+$H$13)*$D$34)</f>
        <v>0</v>
      </c>
      <c r="I34" s="357">
        <f>(I13/($I$13+$H$13)*$D$34)</f>
        <v>0</v>
      </c>
      <c r="J34" s="357">
        <v>0</v>
      </c>
      <c r="K34" s="269">
        <f t="shared" si="9"/>
        <v>0</v>
      </c>
      <c r="L34" s="201" t="str">
        <f t="shared" si="8"/>
        <v>ok</v>
      </c>
    </row>
    <row r="35" spans="1:12">
      <c r="A35" s="207" t="s">
        <v>1222</v>
      </c>
      <c r="B35" s="206" t="s">
        <v>1223</v>
      </c>
      <c r="C35" s="200"/>
      <c r="D35" s="349">
        <f>Allocation!G800+Allocation!G813+Allocation!G976+Allocation!G977-Allocation!G966</f>
        <v>-297350.18116601103</v>
      </c>
      <c r="E35" s="357">
        <f t="shared" ref="E35:J35" si="10">(E13/($D$13)*$D$35)</f>
        <v>-132960.33202113523</v>
      </c>
      <c r="F35" s="357">
        <f t="shared" si="10"/>
        <v>-4797.651878944258</v>
      </c>
      <c r="G35" s="357">
        <f t="shared" si="10"/>
        <v>-28900.757810543015</v>
      </c>
      <c r="H35" s="357">
        <f t="shared" si="10"/>
        <v>-47604.297654847906</v>
      </c>
      <c r="I35" s="357">
        <f t="shared" si="10"/>
        <v>-8275.9840193586588</v>
      </c>
      <c r="J35" s="357">
        <f t="shared" si="10"/>
        <v>-595.6086805146432</v>
      </c>
      <c r="K35" s="269">
        <f t="shared" si="9"/>
        <v>-223134.63206534373</v>
      </c>
      <c r="L35" s="201" t="str">
        <f t="shared" si="8"/>
        <v>err</v>
      </c>
    </row>
    <row r="36" spans="1:12">
      <c r="A36" s="207" t="s">
        <v>1224</v>
      </c>
      <c r="B36" s="206" t="s">
        <v>1373</v>
      </c>
      <c r="C36" s="353"/>
      <c r="D36" s="349">
        <f>-Allocation!G767-Allocation!G965</f>
        <v>2508690.1700856597</v>
      </c>
      <c r="E36" s="357">
        <f>D36</f>
        <v>2508690.1700856597</v>
      </c>
      <c r="F36" s="357">
        <v>0</v>
      </c>
      <c r="G36" s="357">
        <v>0</v>
      </c>
      <c r="H36" s="357">
        <v>0</v>
      </c>
      <c r="I36" s="357">
        <v>0</v>
      </c>
      <c r="J36" s="357">
        <v>0</v>
      </c>
      <c r="K36" s="269">
        <f t="shared" si="9"/>
        <v>2508690.1700856597</v>
      </c>
      <c r="L36" s="201" t="str">
        <f t="shared" si="8"/>
        <v>ok</v>
      </c>
    </row>
    <row r="37" spans="1:12">
      <c r="A37" s="202"/>
      <c r="B37" s="206"/>
      <c r="D37" s="262"/>
      <c r="E37" s="223"/>
      <c r="F37" s="223"/>
      <c r="G37" s="223"/>
      <c r="H37" s="223"/>
      <c r="I37" s="223"/>
      <c r="J37" s="223"/>
      <c r="K37" s="269"/>
      <c r="L37" s="201"/>
    </row>
    <row r="38" spans="1:12" s="44" customFormat="1">
      <c r="A38" s="202" t="s">
        <v>1225</v>
      </c>
      <c r="B38" s="206" t="s">
        <v>1374</v>
      </c>
      <c r="C38" s="200"/>
      <c r="D38" s="262">
        <f t="shared" ref="D38:J38" si="11">SUM(D31:D36)</f>
        <v>2211339.9889196488</v>
      </c>
      <c r="E38" s="346">
        <f t="shared" si="11"/>
        <v>2375729.8380645243</v>
      </c>
      <c r="F38" s="346">
        <f t="shared" si="11"/>
        <v>-4797.651878944258</v>
      </c>
      <c r="G38" s="346">
        <f t="shared" si="11"/>
        <v>-28900.757810543015</v>
      </c>
      <c r="H38" s="346">
        <f t="shared" si="11"/>
        <v>-47604.297654847906</v>
      </c>
      <c r="I38" s="346">
        <f t="shared" si="11"/>
        <v>-8275.9840193586588</v>
      </c>
      <c r="J38" s="346">
        <f t="shared" si="11"/>
        <v>-595.6086805146432</v>
      </c>
      <c r="K38" s="269">
        <f t="shared" si="9"/>
        <v>2285555.538020316</v>
      </c>
      <c r="L38" s="201" t="str">
        <f t="shared" si="8"/>
        <v>err</v>
      </c>
    </row>
    <row r="39" spans="1:12">
      <c r="A39" s="205"/>
      <c r="B39" s="206"/>
      <c r="C39" s="203"/>
      <c r="D39" s="222"/>
      <c r="E39" s="225"/>
      <c r="F39" s="225"/>
      <c r="G39" s="225"/>
      <c r="H39" s="225"/>
      <c r="I39" s="225"/>
      <c r="J39" s="225"/>
      <c r="K39" s="269"/>
      <c r="L39" s="204"/>
    </row>
    <row r="40" spans="1:12" s="44" customFormat="1">
      <c r="A40" s="202" t="s">
        <v>1227</v>
      </c>
      <c r="B40" s="206" t="s">
        <v>1226</v>
      </c>
      <c r="C40" s="208"/>
      <c r="D40" s="262">
        <f t="shared" ref="D40:J40" si="12">SUM(D27:D30)+D21+D25+D38+D23</f>
        <v>448120729.1623829</v>
      </c>
      <c r="E40" s="362">
        <f t="shared" si="12"/>
        <v>116685052.28123137</v>
      </c>
      <c r="F40" s="362">
        <f t="shared" si="12"/>
        <v>169740287.53545964</v>
      </c>
      <c r="G40" s="362">
        <f t="shared" si="12"/>
        <v>24505313.190298177</v>
      </c>
      <c r="H40" s="362">
        <f t="shared" si="12"/>
        <v>41800810.096725792</v>
      </c>
      <c r="I40" s="362">
        <f t="shared" si="12"/>
        <v>16533215.994914375</v>
      </c>
      <c r="J40" s="362">
        <f t="shared" si="12"/>
        <v>18839793.936692908</v>
      </c>
      <c r="K40" s="269">
        <f>SUM(E40:J40)</f>
        <v>388104473.03532231</v>
      </c>
      <c r="L40" s="201" t="str">
        <f>IF(ABS(K40-D40)&lt;0.01,"ok","err")</f>
        <v>err</v>
      </c>
    </row>
    <row r="41" spans="1:12">
      <c r="A41" s="205"/>
      <c r="B41" s="206"/>
      <c r="C41" s="203"/>
      <c r="D41" s="263"/>
      <c r="E41" s="225"/>
      <c r="F41" s="225"/>
      <c r="G41" s="225"/>
      <c r="H41" s="225"/>
      <c r="I41" s="225"/>
      <c r="J41" s="225"/>
      <c r="K41" s="269"/>
      <c r="L41" s="204"/>
    </row>
    <row r="42" spans="1:12">
      <c r="A42" s="202" t="s">
        <v>1228</v>
      </c>
      <c r="B42" s="206" t="s">
        <v>1382</v>
      </c>
      <c r="C42" s="203"/>
      <c r="D42" s="262">
        <f>-Allocation!G703</f>
        <v>1781296.7047978356</v>
      </c>
      <c r="E42" s="298">
        <f>D42</f>
        <v>1781296.7047978356</v>
      </c>
      <c r="F42" s="298"/>
      <c r="G42" s="298"/>
      <c r="H42" s="298"/>
      <c r="I42" s="298"/>
      <c r="J42" s="298"/>
      <c r="K42" s="269">
        <f>SUM(E42:J42)</f>
        <v>1781296.7047978356</v>
      </c>
      <c r="L42" s="201" t="str">
        <f>IF(ABS(K42-D42)&lt;0.01,"ok","err")</f>
        <v>ok</v>
      </c>
    </row>
    <row r="43" spans="1:12">
      <c r="A43" s="202" t="s">
        <v>1230</v>
      </c>
      <c r="B43" s="206" t="s">
        <v>1229</v>
      </c>
      <c r="C43" s="200"/>
      <c r="D43" s="349">
        <f>-(Allocation!G699+Allocation!G700+Allocation!G701+Allocation!G702)</f>
        <v>-15545979.971223349</v>
      </c>
      <c r="E43" s="358">
        <v>0</v>
      </c>
      <c r="F43" s="358">
        <f>D43</f>
        <v>-15545979.971223349</v>
      </c>
      <c r="G43" s="358">
        <v>0</v>
      </c>
      <c r="H43" s="358">
        <v>0</v>
      </c>
      <c r="I43" s="358">
        <v>0</v>
      </c>
      <c r="J43" s="358">
        <v>0</v>
      </c>
      <c r="K43" s="269">
        <f>SUM(E43:J43)</f>
        <v>-15545979.971223349</v>
      </c>
      <c r="L43" s="201" t="str">
        <f>IF(ABS(K43-D43)&lt;0.01,"ok","err")</f>
        <v>ok</v>
      </c>
    </row>
    <row r="44" spans="1:12">
      <c r="A44" s="202" t="s">
        <v>1232</v>
      </c>
      <c r="B44" s="206" t="s">
        <v>1231</v>
      </c>
      <c r="C44" s="200"/>
      <c r="D44" s="350">
        <f>-(Allocation!G698+Allocation!G704+Allocation!G705+Allocation!G706+Allocation!G707)</f>
        <v>-13024237.895957291</v>
      </c>
      <c r="E44" s="358">
        <f>-(Allocation!G698)-(E13/($D$13)*(Allocation!G704+Allocation!G705+Allocation!G706+Allocation!G707))</f>
        <v>-5823796.6702361573</v>
      </c>
      <c r="F44" s="358">
        <f>(F13/($D$13)*-(Allocation!G704+Allocation!G705+Allocation!G706+Allocation!G707))</f>
        <v>-210141.99207254098</v>
      </c>
      <c r="G44" s="358">
        <f>(G13/($D$13)*-(Allocation!G704+Allocation!G705+Allocation!G706+Allocation!G707))</f>
        <v>-1265882.3466053568</v>
      </c>
      <c r="H44" s="358">
        <f>(H13/($D$13)*-(Allocation!G704+Allocation!G705+Allocation!G706+Allocation!G707))</f>
        <v>-2085116.2595409639</v>
      </c>
      <c r="I44" s="358">
        <f>(I13/($D$13)*-(Allocation!G704+Allocation!G705+Allocation!G706+Allocation!G707))</f>
        <v>-362496.4486942403</v>
      </c>
      <c r="J44" s="358">
        <f>(J13/($D$13)*-(Allocation!G704+Allocation!G705+Allocation!G706+Allocation!G707))</f>
        <v>-26088.261044606515</v>
      </c>
      <c r="K44" s="269">
        <f>SUM(E44:J44)</f>
        <v>-9773521.9781938661</v>
      </c>
      <c r="L44" s="201" t="str">
        <f>IF(ABS(K44-D44)&lt;0.01,"ok","err")</f>
        <v>err</v>
      </c>
    </row>
    <row r="45" spans="1:12">
      <c r="A45" s="202" t="s">
        <v>1234</v>
      </c>
      <c r="B45" s="206" t="s">
        <v>1233</v>
      </c>
      <c r="C45" s="200"/>
      <c r="D45" s="350">
        <f>SUM(D42:D44)</f>
        <v>-26788921.162382804</v>
      </c>
      <c r="E45" s="146">
        <f>SUM(E42:E44)</f>
        <v>-4042499.9654383217</v>
      </c>
      <c r="F45" s="146">
        <f>SUM(F43:F44)</f>
        <v>-15756121.96329589</v>
      </c>
      <c r="G45" s="146">
        <f>SUM(G43:G44)</f>
        <v>-1265882.3466053568</v>
      </c>
      <c r="H45" s="146">
        <f>SUM(H43:H44)</f>
        <v>-2085116.2595409639</v>
      </c>
      <c r="I45" s="146">
        <f>SUM(I43:I44)</f>
        <v>-362496.4486942403</v>
      </c>
      <c r="J45" s="146">
        <f>SUM(J43:J44)</f>
        <v>-26088.261044606515</v>
      </c>
      <c r="K45" s="269">
        <f>SUM(E45:J45)</f>
        <v>-23538205.244619381</v>
      </c>
      <c r="L45" s="201" t="str">
        <f>IF(ABS(K45-D45)&lt;0.01,"ok","err")</f>
        <v>err</v>
      </c>
    </row>
    <row r="46" spans="1:12">
      <c r="A46" s="205"/>
      <c r="B46" s="206"/>
      <c r="D46" s="264"/>
      <c r="E46" s="225"/>
      <c r="F46" s="225"/>
      <c r="G46" s="225"/>
      <c r="H46" s="225"/>
      <c r="I46" s="225"/>
      <c r="J46" s="225"/>
      <c r="K46" s="269"/>
      <c r="L46" s="204"/>
    </row>
    <row r="47" spans="1:12">
      <c r="A47" s="202" t="s">
        <v>1236</v>
      </c>
      <c r="B47" s="206" t="s">
        <v>1235</v>
      </c>
      <c r="C47" s="209">
        <f>Allocation!G968-SUM(Allocation!G698:G707)-Allocation!G767-Allocation!G965-Allocation!G966</f>
        <v>421331808</v>
      </c>
      <c r="D47" s="262">
        <f t="shared" ref="D47:J47" si="13">D40+D45</f>
        <v>421331808.00000012</v>
      </c>
      <c r="E47" s="346">
        <f t="shared" si="13"/>
        <v>112642552.31579305</v>
      </c>
      <c r="F47" s="346">
        <f t="shared" si="13"/>
        <v>153984165.57216376</v>
      </c>
      <c r="G47" s="346">
        <f t="shared" si="13"/>
        <v>23239430.843692821</v>
      </c>
      <c r="H47" s="346">
        <f t="shared" si="13"/>
        <v>39715693.837184832</v>
      </c>
      <c r="I47" s="346">
        <f t="shared" si="13"/>
        <v>16170719.546220135</v>
      </c>
      <c r="J47" s="346">
        <f t="shared" si="13"/>
        <v>18813705.675648302</v>
      </c>
      <c r="K47" s="269">
        <f>SUM(E47:J47)</f>
        <v>364566267.79070294</v>
      </c>
      <c r="L47" s="201" t="str">
        <f>IF(ABS(K47-D47)&lt;0.01,"ok","err")</f>
        <v>err</v>
      </c>
    </row>
    <row r="48" spans="1:12">
      <c r="A48" s="205"/>
      <c r="B48" s="206"/>
      <c r="C48" s="203"/>
      <c r="D48" s="265"/>
      <c r="E48" s="225"/>
      <c r="F48" s="225"/>
      <c r="G48" s="225"/>
      <c r="H48" s="225"/>
      <c r="I48" s="225"/>
      <c r="J48" s="225"/>
      <c r="K48" s="269"/>
      <c r="L48" s="204"/>
    </row>
    <row r="49" spans="1:12">
      <c r="A49" s="202" t="s">
        <v>1238</v>
      </c>
      <c r="B49" s="206" t="s">
        <v>1237</v>
      </c>
      <c r="C49" s="200"/>
      <c r="D49" s="266"/>
      <c r="E49" s="359">
        <f>Allocation!G1006</f>
        <v>4180088831</v>
      </c>
      <c r="F49" s="359">
        <f>Allocation!G1006</f>
        <v>4180088831</v>
      </c>
      <c r="G49" s="359">
        <f>Allocation!G1006</f>
        <v>4180088831</v>
      </c>
      <c r="H49" s="359">
        <f>Allocation!G1006</f>
        <v>4180088831</v>
      </c>
      <c r="I49" s="359">
        <f>Allocation!$G$1022*12</f>
        <v>4369310</v>
      </c>
      <c r="J49" s="359">
        <f>Allocation!$G$1022*12</f>
        <v>4369310</v>
      </c>
      <c r="K49" s="258"/>
      <c r="L49" s="204"/>
    </row>
    <row r="50" spans="1:12" ht="15.75" thickBot="1">
      <c r="A50" s="205"/>
      <c r="B50" s="206"/>
      <c r="C50" s="203"/>
      <c r="D50" s="264"/>
      <c r="E50" s="69"/>
      <c r="F50" s="69"/>
      <c r="G50" s="69"/>
      <c r="H50" s="69"/>
      <c r="I50" s="69"/>
      <c r="J50" s="69"/>
      <c r="K50" s="258"/>
      <c r="L50" s="204"/>
    </row>
    <row r="51" spans="1:12" ht="15.75" thickBot="1">
      <c r="A51" s="210" t="s">
        <v>1375</v>
      </c>
      <c r="B51" s="368" t="s">
        <v>1239</v>
      </c>
      <c r="C51" s="211"/>
      <c r="D51" s="267"/>
      <c r="E51" s="360">
        <f t="shared" ref="E51:J51" si="14">E47/E49</f>
        <v>2.6947406351851534E-2</v>
      </c>
      <c r="F51" s="360">
        <f t="shared" si="14"/>
        <v>3.6837534272047091E-2</v>
      </c>
      <c r="G51" s="360">
        <f t="shared" si="14"/>
        <v>5.5595543021350734E-3</v>
      </c>
      <c r="H51" s="360">
        <f t="shared" si="14"/>
        <v>9.5011602487126267E-3</v>
      </c>
      <c r="I51" s="361">
        <f t="shared" si="14"/>
        <v>3.7009778537618376</v>
      </c>
      <c r="J51" s="361">
        <f t="shared" si="14"/>
        <v>4.305875681892176</v>
      </c>
      <c r="K51" s="374">
        <f>I51+J51</f>
        <v>8.0068535356540131</v>
      </c>
      <c r="L51" s="212"/>
    </row>
    <row r="52" spans="1:12" ht="15.75" thickBot="1"/>
    <row r="53" spans="1:12" ht="15.75" thickBot="1">
      <c r="J53" s="371" t="s">
        <v>1362</v>
      </c>
      <c r="K53" s="372">
        <f>I51+J51</f>
        <v>8.0068535356540131</v>
      </c>
    </row>
    <row r="54" spans="1:12" ht="15.75" thickBot="1">
      <c r="J54" s="371" t="s">
        <v>1376</v>
      </c>
      <c r="K54" s="373">
        <f>E51+G51+H51</f>
        <v>4.2008120902699238E-2</v>
      </c>
    </row>
    <row r="55" spans="1:12" ht="15.75" thickBot="1">
      <c r="J55" s="371" t="s">
        <v>1384</v>
      </c>
      <c r="K55" s="373">
        <f>K65</f>
        <v>6.9100000000000003E-3</v>
      </c>
    </row>
    <row r="56" spans="1:12" ht="15.75" thickBot="1">
      <c r="J56" s="371" t="s">
        <v>1383</v>
      </c>
      <c r="K56" s="373">
        <f>K54+K55</f>
        <v>4.8918120902699237E-2</v>
      </c>
    </row>
    <row r="57" spans="1:12" ht="15.75" thickBot="1">
      <c r="J57" s="371" t="s">
        <v>1361</v>
      </c>
      <c r="K57" s="373">
        <f>F51</f>
        <v>3.6837534272047091E-2</v>
      </c>
    </row>
    <row r="58" spans="1:12">
      <c r="D58" s="251"/>
      <c r="E58" s="4">
        <f>G58*0.8187</f>
        <v>9032214.955106765</v>
      </c>
      <c r="F58" s="295"/>
      <c r="G58" s="4">
        <v>11032386.655804038</v>
      </c>
      <c r="H58" s="4">
        <f>G58</f>
        <v>11032386.655804038</v>
      </c>
    </row>
    <row r="59" spans="1:12">
      <c r="D59" s="251"/>
      <c r="E59" s="19"/>
      <c r="I59" s="19"/>
    </row>
    <row r="60" spans="1:12">
      <c r="E60" s="369">
        <f>E47/E58</f>
        <v>12.471199243559363</v>
      </c>
      <c r="G60" s="369">
        <f>G47/G58</f>
        <v>2.1064735644908499</v>
      </c>
      <c r="H60" s="369">
        <f>H47/H58</f>
        <v>3.599918592074614</v>
      </c>
    </row>
    <row r="61" spans="1:12">
      <c r="I61" s="7"/>
      <c r="J61" s="225"/>
      <c r="K61" s="342"/>
    </row>
    <row r="62" spans="1:12">
      <c r="E62" s="352">
        <v>1.58391817114398</v>
      </c>
      <c r="G62" s="352">
        <v>1.58391817114398</v>
      </c>
      <c r="H62" s="352">
        <v>1.58391817114398</v>
      </c>
      <c r="J62" s="351" t="s">
        <v>1370</v>
      </c>
      <c r="K62" s="293">
        <v>22</v>
      </c>
    </row>
    <row r="63" spans="1:12">
      <c r="J63" s="351" t="s">
        <v>1371</v>
      </c>
      <c r="K63" s="35">
        <f>(K53-K62)*I49</f>
        <v>-61140394.778131567</v>
      </c>
    </row>
    <row r="64" spans="1:12">
      <c r="E64" s="370">
        <f>E60/E62</f>
        <v>7.8736385949484236</v>
      </c>
      <c r="G64" s="370">
        <f>G60/G62</f>
        <v>1.3299131248487766</v>
      </c>
      <c r="H64" s="370">
        <f>H60/H62</f>
        <v>2.2727932904984502</v>
      </c>
      <c r="J64" s="351" t="s">
        <v>1372</v>
      </c>
      <c r="K64" s="355">
        <f>K63/H49</f>
        <v>-1.4626577867127524E-2</v>
      </c>
    </row>
    <row r="65" spans="10:12">
      <c r="J65" s="351" t="s">
        <v>1378</v>
      </c>
      <c r="K65">
        <v>6.9100000000000003E-3</v>
      </c>
    </row>
    <row r="66" spans="10:12">
      <c r="J66" s="351" t="s">
        <v>1379</v>
      </c>
      <c r="K66" s="354">
        <f>K64+K65+K54</f>
        <v>3.4291543035571713E-2</v>
      </c>
      <c r="L66" s="354">
        <f>K66+K57</f>
        <v>7.1129077307618804E-2</v>
      </c>
    </row>
  </sheetData>
  <mergeCells count="6">
    <mergeCell ref="E8:F8"/>
    <mergeCell ref="H8:I8"/>
    <mergeCell ref="A1:K1"/>
    <mergeCell ref="A3:K3"/>
    <mergeCell ref="A4:K4"/>
    <mergeCell ref="A6:K6"/>
  </mergeCells>
  <pageMargins left="0.7" right="0.7" top="0.75" bottom="0.75" header="0.3" footer="0.3"/>
  <pageSetup scale="58" orientation="landscape" r:id="rId1"/>
  <headerFooter>
    <oddHeader>&amp;R&amp;"Times New Roman,Bold"&amp;12Exhibit WSS-2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workbookViewId="0"/>
  </sheetViews>
  <sheetFormatPr defaultColWidth="9.140625" defaultRowHeight="15"/>
  <cols>
    <col min="1" max="1" width="9.140625" style="91"/>
    <col min="2" max="2" width="56.5703125" style="91" customWidth="1"/>
    <col min="3" max="3" width="12" bestFit="1" customWidth="1"/>
    <col min="4" max="4" width="13.7109375" style="91" bestFit="1" customWidth="1"/>
    <col min="5" max="5" width="16.140625" style="91" bestFit="1" customWidth="1"/>
    <col min="6" max="6" width="14.85546875" style="91" customWidth="1"/>
    <col min="7" max="11" width="9.140625" style="91"/>
    <col min="12" max="12" width="17.28515625" style="91" customWidth="1"/>
    <col min="13" max="13" width="13" style="91" customWidth="1"/>
    <col min="14" max="16384" width="9.140625" style="91"/>
  </cols>
  <sheetData>
    <row r="1" spans="1:20">
      <c r="A1" s="90" t="s">
        <v>617</v>
      </c>
    </row>
    <row r="2" spans="1:20">
      <c r="A2" s="91" t="s">
        <v>707</v>
      </c>
    </row>
    <row r="6" spans="1:20" ht="12.75">
      <c r="C6" s="92" t="s">
        <v>181</v>
      </c>
      <c r="D6" s="92" t="s">
        <v>1322</v>
      </c>
      <c r="E6" s="104" t="s">
        <v>922</v>
      </c>
      <c r="F6" s="90"/>
    </row>
    <row r="7" spans="1:20" ht="12.75">
      <c r="C7" s="105" t="s">
        <v>1298</v>
      </c>
      <c r="D7" s="105" t="s">
        <v>870</v>
      </c>
      <c r="E7" s="104" t="s">
        <v>181</v>
      </c>
      <c r="F7" s="104" t="s">
        <v>1085</v>
      </c>
    </row>
    <row r="8" spans="1:20" ht="13.5" thickBot="1">
      <c r="C8" s="96" t="s">
        <v>146</v>
      </c>
      <c r="D8" s="96" t="s">
        <v>144</v>
      </c>
      <c r="E8" s="106" t="s">
        <v>146</v>
      </c>
      <c r="F8" s="106" t="s">
        <v>696</v>
      </c>
    </row>
    <row r="9" spans="1:20">
      <c r="D9" s="89"/>
      <c r="F9" s="97"/>
    </row>
    <row r="10" spans="1:20">
      <c r="A10" s="31" t="s">
        <v>1278</v>
      </c>
      <c r="C10" s="238">
        <v>280.66427755499996</v>
      </c>
      <c r="D10" s="107">
        <f>'Billing Det'!B8</f>
        <v>364109.16666666669</v>
      </c>
      <c r="E10" s="99">
        <f>C10*D10</f>
        <v>102192436.21365307</v>
      </c>
      <c r="F10" s="98">
        <f>E10/$E$34</f>
        <v>0.76861640064540004</v>
      </c>
    </row>
    <row r="11" spans="1:20">
      <c r="C11" s="239"/>
      <c r="D11" s="107"/>
      <c r="E11" s="99"/>
      <c r="F11" s="98"/>
      <c r="O11" s="90"/>
      <c r="P11" s="90"/>
      <c r="Q11" s="90"/>
      <c r="R11" s="90"/>
      <c r="S11" s="90"/>
      <c r="T11" s="90"/>
    </row>
    <row r="12" spans="1:20">
      <c r="A12" s="184" t="s">
        <v>1350</v>
      </c>
      <c r="C12" s="238">
        <v>568.53002703000004</v>
      </c>
      <c r="D12" s="107">
        <f>'Billing Det'!B10</f>
        <v>45237</v>
      </c>
      <c r="E12" s="99">
        <f>C12*D12</f>
        <v>25718592.832756113</v>
      </c>
      <c r="F12" s="98">
        <f>E12/$E$34</f>
        <v>0.19343635385547825</v>
      </c>
      <c r="O12" s="90"/>
      <c r="P12" s="90"/>
      <c r="Q12" s="90"/>
      <c r="R12" s="90"/>
      <c r="S12" s="90"/>
      <c r="T12" s="90"/>
    </row>
    <row r="13" spans="1:20">
      <c r="C13" s="239"/>
      <c r="D13" s="107"/>
      <c r="E13" s="99"/>
      <c r="F13" s="98"/>
      <c r="G13" s="90"/>
      <c r="H13" s="90"/>
      <c r="I13" s="90"/>
      <c r="J13" s="90"/>
    </row>
    <row r="14" spans="1:20">
      <c r="A14" s="214" t="s">
        <v>1178</v>
      </c>
      <c r="C14" s="238">
        <v>0</v>
      </c>
      <c r="D14" s="107">
        <f>'Billing Det'!B12</f>
        <v>72</v>
      </c>
      <c r="E14" s="99">
        <f>C14*D14</f>
        <v>0</v>
      </c>
      <c r="F14" s="98">
        <f>E14/$E$34</f>
        <v>0</v>
      </c>
    </row>
    <row r="15" spans="1:20">
      <c r="C15" s="239"/>
      <c r="D15" s="107"/>
      <c r="E15" s="99"/>
      <c r="F15" s="98"/>
    </row>
    <row r="16" spans="1:20">
      <c r="A16" s="214" t="s">
        <v>1179</v>
      </c>
      <c r="C16" s="238">
        <v>1588.7069839999999</v>
      </c>
      <c r="D16" s="107">
        <f>'Billing Det'!B14</f>
        <v>2824.1666666666665</v>
      </c>
      <c r="E16" s="99">
        <f>C16*D16</f>
        <v>4486773.3073133333</v>
      </c>
      <c r="F16" s="98">
        <f>E16/$E$34</f>
        <v>3.3746211341601155E-2</v>
      </c>
    </row>
    <row r="17" spans="1:6">
      <c r="C17" s="239"/>
      <c r="D17" s="107"/>
      <c r="E17" s="99"/>
      <c r="F17" s="98"/>
    </row>
    <row r="18" spans="1:6">
      <c r="A18" s="214" t="s">
        <v>1351</v>
      </c>
      <c r="C18" s="238">
        <v>0</v>
      </c>
      <c r="D18" s="107">
        <f>'Billing Det'!B16</f>
        <v>105.5</v>
      </c>
      <c r="E18" s="99">
        <f>C18*D18</f>
        <v>0</v>
      </c>
      <c r="F18" s="98">
        <f>E18/$E$34</f>
        <v>0</v>
      </c>
    </row>
    <row r="19" spans="1:6">
      <c r="C19" s="238"/>
      <c r="D19" s="107"/>
      <c r="E19" s="99"/>
      <c r="F19" s="98"/>
    </row>
    <row r="20" spans="1:6">
      <c r="A20" s="214" t="s">
        <v>1323</v>
      </c>
      <c r="C20" s="238">
        <v>2023.7470845</v>
      </c>
      <c r="D20" s="107">
        <f>'Billing Det'!B18</f>
        <v>276</v>
      </c>
      <c r="E20" s="99">
        <f>C20*D20</f>
        <v>558554.19532199996</v>
      </c>
      <c r="F20" s="98">
        <f>E20/$E$34</f>
        <v>4.2010341575204205E-3</v>
      </c>
    </row>
    <row r="21" spans="1:6">
      <c r="C21" s="239"/>
      <c r="D21" s="107"/>
      <c r="E21" s="99"/>
      <c r="F21" s="98"/>
    </row>
    <row r="22" spans="1:6">
      <c r="A22" s="214" t="s">
        <v>1180</v>
      </c>
      <c r="C22" s="238">
        <v>0</v>
      </c>
      <c r="D22" s="107">
        <f>'Billing Det'!B20</f>
        <v>13</v>
      </c>
      <c r="E22" s="99">
        <f>C22*D22</f>
        <v>0</v>
      </c>
      <c r="F22" s="98">
        <f>E22/$E$34</f>
        <v>0</v>
      </c>
    </row>
    <row r="23" spans="1:6">
      <c r="C23" s="239"/>
      <c r="D23" s="107"/>
      <c r="E23" s="99"/>
      <c r="F23" s="98"/>
    </row>
    <row r="24" spans="1:6">
      <c r="A24" s="214" t="s">
        <v>1345</v>
      </c>
      <c r="C24" s="238">
        <v>0</v>
      </c>
      <c r="D24" s="107">
        <f>'Billing Det'!B22</f>
        <v>1</v>
      </c>
      <c r="E24" s="99">
        <f>C24*D24</f>
        <v>0</v>
      </c>
      <c r="F24" s="98">
        <f>E24/$E$34</f>
        <v>0</v>
      </c>
    </row>
    <row r="25" spans="1:6">
      <c r="C25" s="239"/>
      <c r="D25" s="107"/>
      <c r="E25" s="99"/>
      <c r="F25" s="98"/>
    </row>
    <row r="26" spans="1:6">
      <c r="A26" s="214" t="s">
        <v>1348</v>
      </c>
      <c r="C26" s="238">
        <v>0</v>
      </c>
      <c r="D26" s="107">
        <f>'Billing Det'!B24</f>
        <v>1</v>
      </c>
      <c r="E26" s="99">
        <f>C26*D26</f>
        <v>0</v>
      </c>
      <c r="F26" s="98">
        <f>E26/$E$34</f>
        <v>0</v>
      </c>
    </row>
    <row r="27" spans="1:6">
      <c r="C27" s="239"/>
      <c r="D27" s="107"/>
      <c r="E27" s="99"/>
      <c r="F27" s="98"/>
    </row>
    <row r="28" spans="1:6">
      <c r="A28" s="184" t="s">
        <v>1292</v>
      </c>
      <c r="C28" s="238">
        <v>0</v>
      </c>
      <c r="D28" s="107">
        <f>'Billing Det'!B26</f>
        <v>86402</v>
      </c>
      <c r="E28" s="99">
        <f>C28*D28</f>
        <v>0</v>
      </c>
      <c r="F28" s="98">
        <f>E28/$E$34</f>
        <v>0</v>
      </c>
    </row>
    <row r="29" spans="1:6">
      <c r="C29" s="239"/>
      <c r="D29" s="107"/>
      <c r="E29" s="99"/>
      <c r="F29" s="98"/>
    </row>
    <row r="30" spans="1:6">
      <c r="A30" s="214" t="s">
        <v>1181</v>
      </c>
      <c r="C30" s="238">
        <v>0</v>
      </c>
      <c r="D30" s="107">
        <f>'Billing Det'!B28</f>
        <v>165</v>
      </c>
      <c r="E30" s="99">
        <f>C30*D30</f>
        <v>0</v>
      </c>
      <c r="F30" s="98">
        <f>E30/$E$34</f>
        <v>0</v>
      </c>
    </row>
    <row r="31" spans="1:6">
      <c r="C31" s="239"/>
      <c r="D31" s="107"/>
      <c r="E31" s="99"/>
      <c r="F31" s="98"/>
    </row>
    <row r="32" spans="1:6">
      <c r="A32" s="184" t="s">
        <v>635</v>
      </c>
      <c r="C32" s="238">
        <v>0</v>
      </c>
      <c r="D32" s="107">
        <f>'Billing Det'!B30</f>
        <v>905</v>
      </c>
      <c r="E32" s="99">
        <f>C32*D32</f>
        <v>0</v>
      </c>
      <c r="F32" s="98">
        <f>E32/$E$34</f>
        <v>0</v>
      </c>
    </row>
    <row r="33" spans="1:13" ht="12.75">
      <c r="A33" s="100"/>
      <c r="B33" s="101"/>
      <c r="C33" s="101"/>
      <c r="D33" s="108"/>
      <c r="E33" s="102"/>
      <c r="F33" s="103"/>
    </row>
    <row r="34" spans="1:13" ht="12.75">
      <c r="C34" s="91"/>
      <c r="D34" s="107">
        <f>SUM(D10:D33)</f>
        <v>500110.83333333337</v>
      </c>
      <c r="E34" s="95">
        <f>SUM(E10:E33)</f>
        <v>132956356.54904453</v>
      </c>
      <c r="F34" s="98">
        <f>SUM(F10:F33)</f>
        <v>0.99999999999999989</v>
      </c>
    </row>
    <row r="35" spans="1:13" ht="12.75">
      <c r="C35" s="91"/>
      <c r="L35" s="89"/>
      <c r="M35" s="89"/>
    </row>
    <row r="36" spans="1:13" ht="12.75">
      <c r="C36" s="91"/>
      <c r="L36" s="89"/>
      <c r="M36" s="89"/>
    </row>
    <row r="37" spans="1:13" ht="12.75">
      <c r="B37" s="91" t="s">
        <v>628</v>
      </c>
      <c r="C37" s="91"/>
      <c r="E37" s="95">
        <f>'Functional Assignment'!F42</f>
        <v>34458226.280000001</v>
      </c>
    </row>
    <row r="38" spans="1:13" ht="12.75">
      <c r="C38" s="91"/>
    </row>
    <row r="39" spans="1:13" ht="12.75">
      <c r="C39" s="91"/>
    </row>
    <row r="40" spans="1:13" ht="12.75">
      <c r="C40" s="91"/>
    </row>
    <row r="41" spans="1:13" ht="12.75">
      <c r="C41" s="91"/>
    </row>
    <row r="42" spans="1:13" ht="12.75">
      <c r="C42" s="91"/>
    </row>
    <row r="43" spans="1:13" ht="12.75">
      <c r="C43" s="91"/>
      <c r="E43" s="109"/>
    </row>
    <row r="44" spans="1:13" ht="12.75">
      <c r="C44" s="91"/>
    </row>
    <row r="45" spans="1:13" ht="12.75">
      <c r="C45" s="91"/>
    </row>
    <row r="46" spans="1:13" ht="12.75">
      <c r="C46" s="91"/>
    </row>
    <row r="47" spans="1:13" ht="12.75">
      <c r="C47" s="91"/>
    </row>
    <row r="48" spans="1:13" ht="12.75">
      <c r="C48" s="91"/>
    </row>
    <row r="49" spans="3:3" ht="12.75">
      <c r="C49" s="91"/>
    </row>
    <row r="50" spans="3:3" ht="12.75">
      <c r="C50" s="91"/>
    </row>
    <row r="51" spans="3:3" ht="12.75">
      <c r="C51" s="91"/>
    </row>
    <row r="52" spans="3:3" ht="12.75">
      <c r="C52" s="91"/>
    </row>
    <row r="56" spans="3:3" ht="12.75">
      <c r="C56" s="91"/>
    </row>
    <row r="57" spans="3:3" ht="12.75">
      <c r="C57" s="91"/>
    </row>
    <row r="58" spans="3:3" ht="12.75">
      <c r="C58" s="91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Exhibit JFW-2</vt:lpstr>
      <vt:lpstr>Functional Assignment</vt:lpstr>
      <vt:lpstr>Allocation</vt:lpstr>
      <vt:lpstr>Summary of Returns</vt:lpstr>
      <vt:lpstr>Billing Det</vt:lpstr>
      <vt:lpstr>Meters</vt:lpstr>
      <vt:lpstr>RS</vt:lpstr>
      <vt:lpstr>Services</vt:lpstr>
      <vt:lpstr>Allocation!Print_Area</vt:lpstr>
      <vt:lpstr>'Billing Det'!Print_Area</vt:lpstr>
      <vt:lpstr>'Exhibit JFW-2'!Print_Area</vt:lpstr>
      <vt:lpstr>'Functional Assignment'!Print_Area</vt:lpstr>
      <vt:lpstr>RS!Print_Area</vt:lpstr>
      <vt:lpstr>'Summary of Returns'!Print_Area</vt:lpstr>
      <vt:lpstr>Allocation!Print_Titles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2016-11-29T17:44:38Z</dcterms:created>
  <dcterms:modified xsi:type="dcterms:W3CDTF">2017-03-31T15:02:11Z</dcterms:modified>
</cp:coreProperties>
</file>