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6 CASES\1645 Kentucky Utilities - LG&amp;E\"/>
    </mc:Choice>
  </mc:AlternateContent>
  <bookViews>
    <workbookView xWindow="0" yWindow="0" windowWidth="15360" windowHeight="74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Sheet1!$A$49:$V$71</definedName>
    <definedName name="_xlnm.Print_Titles" localSheetId="0">Sheet1!$1:$8</definedName>
  </definedNames>
  <calcPr calcId="152511"/>
</workbook>
</file>

<file path=xl/calcChain.xml><?xml version="1.0" encoding="utf-8"?>
<calcChain xmlns="http://schemas.openxmlformats.org/spreadsheetml/2006/main">
  <c r="E21" i="1" l="1"/>
  <c r="T20" i="1" l="1"/>
  <c r="T19" i="1"/>
  <c r="T18" i="1"/>
  <c r="T17" i="1"/>
  <c r="T16" i="1"/>
  <c r="T15" i="1"/>
  <c r="T14" i="1"/>
  <c r="T13" i="1"/>
  <c r="T12" i="1"/>
  <c r="T11" i="1"/>
  <c r="T10" i="1"/>
  <c r="O54" i="1"/>
  <c r="V54" i="1" s="1"/>
  <c r="O53" i="1"/>
  <c r="V53" i="1" s="1"/>
  <c r="S52" i="1"/>
  <c r="S21" i="1"/>
  <c r="S28" i="1"/>
  <c r="S40" i="1"/>
  <c r="S39" i="1"/>
  <c r="S38" i="1"/>
  <c r="S37" i="1"/>
  <c r="S36" i="1"/>
  <c r="S35" i="1"/>
  <c r="S41" i="1"/>
  <c r="S51" i="1"/>
  <c r="S50" i="1"/>
  <c r="S20" i="1"/>
  <c r="S19" i="1"/>
  <c r="S18" i="1"/>
  <c r="S17" i="1"/>
  <c r="S16" i="1"/>
  <c r="S15" i="1"/>
  <c r="S14" i="1"/>
  <c r="S13" i="1"/>
  <c r="S22" i="1"/>
  <c r="S23" i="1"/>
  <c r="S25" i="1"/>
  <c r="S27" i="1"/>
  <c r="S54" i="1"/>
  <c r="S53" i="1"/>
  <c r="S29" i="1"/>
  <c r="S31" i="1"/>
  <c r="S24" i="1"/>
  <c r="S26" i="1"/>
  <c r="S12" i="1"/>
  <c r="S11" i="1"/>
  <c r="S10" i="1"/>
  <c r="S49" i="1"/>
  <c r="S30" i="1"/>
  <c r="S9" i="1"/>
  <c r="S46" i="1"/>
  <c r="S43" i="1"/>
  <c r="S42" i="1"/>
  <c r="S45" i="1"/>
  <c r="S48" i="1"/>
  <c r="S47" i="1"/>
  <c r="S44" i="1"/>
  <c r="S34" i="1"/>
  <c r="S32" i="1"/>
  <c r="O52" i="1"/>
  <c r="V52" i="1" s="1"/>
  <c r="O21" i="1"/>
  <c r="T21" i="1" s="1"/>
  <c r="O28" i="1"/>
  <c r="T28" i="1" s="1"/>
  <c r="O40" i="1"/>
  <c r="V40" i="1" s="1"/>
  <c r="O39" i="1"/>
  <c r="V39" i="1" s="1"/>
  <c r="O38" i="1"/>
  <c r="V38" i="1" s="1"/>
  <c r="O37" i="1"/>
  <c r="V37" i="1" s="1"/>
  <c r="O36" i="1"/>
  <c r="V36" i="1" s="1"/>
  <c r="O35" i="1"/>
  <c r="V35" i="1" s="1"/>
  <c r="O41" i="1"/>
  <c r="V41" i="1" s="1"/>
  <c r="O51" i="1"/>
  <c r="V51" i="1" s="1"/>
  <c r="O50" i="1"/>
  <c r="V50" i="1" s="1"/>
  <c r="O22" i="1"/>
  <c r="T22" i="1" s="1"/>
  <c r="O23" i="1"/>
  <c r="T23" i="1" s="1"/>
  <c r="O25" i="1"/>
  <c r="T25" i="1" s="1"/>
  <c r="O27" i="1"/>
  <c r="T27" i="1" s="1"/>
  <c r="O29" i="1"/>
  <c r="T29" i="1" s="1"/>
  <c r="O31" i="1"/>
  <c r="T31" i="1" s="1"/>
  <c r="O24" i="1"/>
  <c r="T24" i="1" s="1"/>
  <c r="O26" i="1"/>
  <c r="T26" i="1" s="1"/>
  <c r="O49" i="1"/>
  <c r="V49" i="1" s="1"/>
  <c r="O30" i="1"/>
  <c r="T30" i="1" s="1"/>
  <c r="O9" i="1"/>
  <c r="T9" i="1" s="1"/>
  <c r="O46" i="1"/>
  <c r="V46" i="1" s="1"/>
  <c r="O43" i="1"/>
  <c r="V43" i="1" s="1"/>
  <c r="O42" i="1"/>
  <c r="V42" i="1" s="1"/>
  <c r="O45" i="1"/>
  <c r="V45" i="1" s="1"/>
  <c r="O48" i="1"/>
  <c r="V48" i="1" s="1"/>
  <c r="O47" i="1"/>
  <c r="V47" i="1" s="1"/>
  <c r="O44" i="1"/>
  <c r="V44" i="1" s="1"/>
  <c r="O34" i="1"/>
  <c r="O32" i="1"/>
  <c r="Q33" i="1"/>
  <c r="Q52" i="1"/>
  <c r="Q21" i="1"/>
  <c r="Q28" i="1"/>
  <c r="Q40" i="1"/>
  <c r="Q39" i="1"/>
  <c r="Q38" i="1"/>
  <c r="Q37" i="1"/>
  <c r="Q36" i="1"/>
  <c r="Q35" i="1"/>
  <c r="Q41" i="1"/>
  <c r="Q51" i="1"/>
  <c r="Q50" i="1"/>
  <c r="Q20" i="1"/>
  <c r="Q19" i="1"/>
  <c r="Q18" i="1"/>
  <c r="Q17" i="1"/>
  <c r="Q16" i="1"/>
  <c r="Q15" i="1"/>
  <c r="Q14" i="1"/>
  <c r="Q13" i="1"/>
  <c r="Q22" i="1"/>
  <c r="Q23" i="1"/>
  <c r="Q25" i="1"/>
  <c r="Q27" i="1"/>
  <c r="Q54" i="1"/>
  <c r="Q53" i="1"/>
  <c r="Q29" i="1"/>
  <c r="Q31" i="1"/>
  <c r="Q24" i="1"/>
  <c r="Q26" i="1"/>
  <c r="Q12" i="1"/>
  <c r="Q11" i="1"/>
  <c r="Q10" i="1"/>
  <c r="Q49" i="1"/>
  <c r="Q30" i="1"/>
  <c r="Q9" i="1"/>
  <c r="Q46" i="1"/>
  <c r="Q43" i="1"/>
  <c r="Q42" i="1"/>
  <c r="Q45" i="1"/>
  <c r="Q48" i="1"/>
  <c r="Q47" i="1"/>
  <c r="Q44" i="1"/>
  <c r="Q34" i="1"/>
  <c r="Q32" i="1"/>
  <c r="O33" i="1"/>
  <c r="T59" i="1" l="1"/>
  <c r="V57" i="1"/>
  <c r="T32" i="1"/>
  <c r="T57" i="1"/>
  <c r="T34" i="1"/>
  <c r="V34" i="1" s="1"/>
  <c r="T33" i="1"/>
  <c r="V33" i="1" s="1"/>
  <c r="V61" i="1" s="1"/>
  <c r="V59" i="1"/>
  <c r="T60" i="1"/>
  <c r="T61" i="1" l="1"/>
  <c r="T58" i="1"/>
  <c r="T62" i="1" s="1"/>
  <c r="V32" i="1"/>
  <c r="V58" i="1" l="1"/>
  <c r="V60" i="1"/>
  <c r="V62" i="1" l="1"/>
  <c r="T63" i="1" l="1"/>
  <c r="V63" i="1"/>
</calcChain>
</file>

<file path=xl/sharedStrings.xml><?xml version="1.0" encoding="utf-8"?>
<sst xmlns="http://schemas.openxmlformats.org/spreadsheetml/2006/main" count="188" uniqueCount="100">
  <si>
    <t>Kentucky Utilities &amp; LG&amp;E</t>
  </si>
  <si>
    <t>Generating Unit</t>
  </si>
  <si>
    <t>Fuel</t>
  </si>
  <si>
    <t>Gross</t>
  </si>
  <si>
    <t>Net MWH</t>
  </si>
  <si>
    <t>Generation</t>
  </si>
  <si>
    <t>Total</t>
  </si>
  <si>
    <t xml:space="preserve">Net </t>
  </si>
  <si>
    <t>Energy</t>
  </si>
  <si>
    <t>Net Investment</t>
  </si>
  <si>
    <t>(1)</t>
  </si>
  <si>
    <t>(2)</t>
  </si>
  <si>
    <t>(3)</t>
  </si>
  <si>
    <t>(3A)</t>
  </si>
  <si>
    <t>(4)</t>
  </si>
  <si>
    <t>(5)</t>
  </si>
  <si>
    <t>(6)</t>
  </si>
  <si>
    <t>(7)</t>
  </si>
  <si>
    <t>(8)</t>
  </si>
  <si>
    <t>Brown 1</t>
  </si>
  <si>
    <t>Brown 2</t>
  </si>
  <si>
    <t>Brown 3</t>
  </si>
  <si>
    <t>Brown 5</t>
  </si>
  <si>
    <t>Brown 6</t>
  </si>
  <si>
    <t>Brown 7</t>
  </si>
  <si>
    <t>Brown 8</t>
  </si>
  <si>
    <t>Brown 9</t>
  </si>
  <si>
    <t>Brown 10</t>
  </si>
  <si>
    <t>Brown 11</t>
  </si>
  <si>
    <t>Brown Solar</t>
  </si>
  <si>
    <t>Cane Run 7</t>
  </si>
  <si>
    <t>Cane Run 11</t>
  </si>
  <si>
    <t>Dix Dam 1</t>
  </si>
  <si>
    <t>Dix Dam 2</t>
  </si>
  <si>
    <t>Dix Dam 3</t>
  </si>
  <si>
    <t>Ghent 1</t>
  </si>
  <si>
    <t>Ghent 2</t>
  </si>
  <si>
    <t>Ghent 3</t>
  </si>
  <si>
    <t>Ghent 4</t>
  </si>
  <si>
    <t>Haefling 1</t>
  </si>
  <si>
    <t>Haefling 2</t>
  </si>
  <si>
    <t>Mill Creek 1</t>
  </si>
  <si>
    <t>Mill Creek 2</t>
  </si>
  <si>
    <t>Mill Creek 3</t>
  </si>
  <si>
    <t>Mill Creek 4</t>
  </si>
  <si>
    <t>Ohio Falls 1</t>
  </si>
  <si>
    <t>Ohio Falls 2</t>
  </si>
  <si>
    <t>Ohio Falls 3</t>
  </si>
  <si>
    <t>Ohio Falls 4</t>
  </si>
  <si>
    <t>Ohio Falls 5</t>
  </si>
  <si>
    <t>Ohio Falls 6</t>
  </si>
  <si>
    <t>Ohio Falls 7</t>
  </si>
  <si>
    <t>Ohio Falls 8</t>
  </si>
  <si>
    <t>Paddy's Run 11</t>
  </si>
  <si>
    <t>Paddy's Run 12</t>
  </si>
  <si>
    <t>Paddy's Run 13</t>
  </si>
  <si>
    <t>Trimble County 5</t>
  </si>
  <si>
    <t>Trimble County 6</t>
  </si>
  <si>
    <t>Trimble County 7</t>
  </si>
  <si>
    <t>Trimble County 8</t>
  </si>
  <si>
    <t>Trimble County 9</t>
  </si>
  <si>
    <t>Trimble County 10</t>
  </si>
  <si>
    <t>Trimble County 2</t>
  </si>
  <si>
    <t>Zorn 1</t>
  </si>
  <si>
    <t>Coal</t>
  </si>
  <si>
    <t>Gas</t>
  </si>
  <si>
    <t>Gas/Oil</t>
  </si>
  <si>
    <t>Solar</t>
  </si>
  <si>
    <t>Hydro</t>
  </si>
  <si>
    <t>Trimble County 1</t>
  </si>
  <si>
    <t>Demand</t>
  </si>
  <si>
    <t>Forecasted</t>
  </si>
  <si>
    <t>Forecasted Test Year Generation Statistics</t>
  </si>
  <si>
    <t>Peak</t>
  </si>
  <si>
    <t>Base</t>
  </si>
  <si>
    <t>Average</t>
  </si>
  <si>
    <t>Intermediate</t>
  </si>
  <si>
    <t>TOTAL BASE</t>
  </si>
  <si>
    <t>TOTAL INTERMEDIATE</t>
  </si>
  <si>
    <t>TOTAL PEAK</t>
  </si>
  <si>
    <t>TOTAL HYDRO</t>
  </si>
  <si>
    <t>TOTAL SOLAR</t>
  </si>
  <si>
    <t>TOTAL ALL UNITS</t>
  </si>
  <si>
    <t>PERCENT OF TOTAL</t>
  </si>
  <si>
    <t>KU + LG&amp;E</t>
  </si>
  <si>
    <t xml:space="preserve"> (a)</t>
  </si>
  <si>
    <t>Ownership</t>
  </si>
  <si>
    <t>Capacity</t>
  </si>
  <si>
    <t>Capacity 1/</t>
  </si>
  <si>
    <t>1/ Per KU response to AG 1-284.</t>
  </si>
  <si>
    <t>Fuel Cost 2/</t>
  </si>
  <si>
    <t>Produced 3/</t>
  </si>
  <si>
    <t>Order 4/</t>
  </si>
  <si>
    <t>Investment 1/</t>
  </si>
  <si>
    <t>Factor</t>
  </si>
  <si>
    <t>Designation</t>
  </si>
  <si>
    <t>(a) Reflects KU and LG&amp;E combined 75% ownership</t>
  </si>
  <si>
    <t>2/ Per KU response to AG 1-288.</t>
  </si>
  <si>
    <t>3/ Per KU response to AG 1-285(a).  Kwh reflects only KU + LG&amp;E ownership share of output.</t>
  </si>
  <si>
    <t>4/  Per KU response to AG 1-286.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</si>
</sst>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10" fontId="1" fillId="0" borderId="1" xfId="0" applyNumberFormat="1" applyFont="1" applyBorder="1"/>
    <xf numFmtId="49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center"/>
    </xf>
    <xf numFmtId="10" fontId="1" fillId="0" borderId="0" xfId="0" applyNumberFormat="1" applyFont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3" fontId="3" fillId="0" borderId="0" xfId="0" applyNumberFormat="1" applyFont="1"/>
    <xf numFmtId="16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0" fontId="5" fillId="0" borderId="0" xfId="0" applyFont="1"/>
    <xf numFmtId="0" fontId="5" fillId="0" borderId="1" xfId="0" applyFont="1" applyBorder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10" fontId="1" fillId="0" borderId="0" xfId="1" applyNumberFormat="1" applyFont="1"/>
    <xf numFmtId="0" fontId="1" fillId="0" borderId="0" xfId="0" applyFont="1" applyBorder="1" applyAlignment="1"/>
    <xf numFmtId="37" fontId="1" fillId="0" borderId="0" xfId="0" applyNumberFormat="1" applyFont="1" applyAlignment="1">
      <alignment horizontal="center"/>
    </xf>
    <xf numFmtId="165" fontId="1" fillId="0" borderId="0" xfId="0" applyNumberFormat="1" applyFont="1"/>
    <xf numFmtId="165" fontId="1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tabSelected="1" topLeftCell="J1" workbookViewId="0">
      <pane ySplit="7" topLeftCell="A37" activePane="bottomLeft" state="frozen"/>
      <selection pane="bottomLeft" activeCell="T45" sqref="T45"/>
    </sheetView>
  </sheetViews>
  <sheetFormatPr defaultColWidth="9.140625" defaultRowHeight="12" x14ac:dyDescent="0.2"/>
  <cols>
    <col min="1" max="1" width="14.42578125" style="1" bestFit="1" customWidth="1"/>
    <col min="2" max="2" width="1" style="1" customWidth="1"/>
    <col min="3" max="3" width="6.28515625" style="1" bestFit="1" customWidth="1"/>
    <col min="4" max="4" width="0.85546875" style="1" customWidth="1"/>
    <col min="5" max="5" width="13.42578125" style="1" bestFit="1" customWidth="1"/>
    <col min="6" max="6" width="3.5703125" style="1" customWidth="1"/>
    <col min="7" max="7" width="9.42578125" style="18" bestFit="1" customWidth="1"/>
    <col min="8" max="8" width="1" style="1" customWidth="1"/>
    <col min="9" max="9" width="8.5703125" style="8" bestFit="1" customWidth="1"/>
    <col min="10" max="10" width="1" style="1" customWidth="1"/>
    <col min="11" max="11" width="8.5703125" style="1" bestFit="1" customWidth="1"/>
    <col min="12" max="12" width="0.7109375" style="1" customWidth="1"/>
    <col min="13" max="13" width="11.7109375" style="8" bestFit="1" customWidth="1"/>
    <col min="14" max="14" width="1.140625" style="1" customWidth="1"/>
    <col min="15" max="15" width="10.85546875" style="1" bestFit="1" customWidth="1"/>
    <col min="16" max="16" width="1" style="1" customWidth="1"/>
    <col min="17" max="17" width="7.140625" style="10" bestFit="1" customWidth="1"/>
    <col min="18" max="18" width="9.42578125" style="19" customWidth="1"/>
    <col min="19" max="19" width="1" style="1" customWidth="1"/>
    <col min="20" max="20" width="15.140625" style="8" bestFit="1" customWidth="1"/>
    <col min="21" max="21" width="1.28515625" style="1" customWidth="1"/>
    <col min="22" max="22" width="11.7109375" style="8" bestFit="1" customWidth="1"/>
    <col min="23" max="23" width="9.140625" style="1"/>
    <col min="24" max="26" width="10.85546875" style="1" bestFit="1" customWidth="1"/>
    <col min="27" max="16384" width="9.140625" style="1"/>
  </cols>
  <sheetData>
    <row r="1" spans="1:22" ht="1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15" x14ac:dyDescent="0.3">
      <c r="A2" s="28" t="s">
        <v>72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11.45" x14ac:dyDescent="0.25">
      <c r="A3" s="2"/>
      <c r="B3" s="2"/>
      <c r="C3" s="2"/>
      <c r="D3" s="2"/>
      <c r="E3" s="2"/>
      <c r="F3" s="2"/>
      <c r="G3" s="15"/>
      <c r="H3" s="2"/>
      <c r="I3" s="3"/>
      <c r="J3" s="2"/>
      <c r="K3" s="2"/>
      <c r="L3" s="2"/>
      <c r="M3" s="3"/>
      <c r="N3" s="2"/>
      <c r="O3" s="2"/>
      <c r="P3" s="2"/>
      <c r="Q3" s="4"/>
      <c r="R3" s="20"/>
      <c r="S3" s="2"/>
      <c r="T3" s="3"/>
      <c r="U3" s="2"/>
      <c r="V3" s="3"/>
    </row>
    <row r="4" spans="1:22" ht="11.45" x14ac:dyDescent="0.25">
      <c r="A4" s="5" t="s">
        <v>10</v>
      </c>
      <c r="B4" s="5"/>
      <c r="C4" s="5" t="s">
        <v>11</v>
      </c>
      <c r="D4" s="5"/>
      <c r="E4" s="5" t="s">
        <v>12</v>
      </c>
      <c r="F4" s="5"/>
      <c r="G4" s="16" t="s">
        <v>13</v>
      </c>
      <c r="H4" s="5"/>
      <c r="I4" s="6" t="s">
        <v>14</v>
      </c>
      <c r="J4" s="5"/>
      <c r="K4" s="5" t="s">
        <v>15</v>
      </c>
      <c r="L4" s="5"/>
      <c r="M4" s="6" t="s">
        <v>16</v>
      </c>
      <c r="N4" s="5"/>
      <c r="O4" s="5" t="s">
        <v>17</v>
      </c>
      <c r="P4" s="5"/>
      <c r="Q4" s="7" t="s">
        <v>18</v>
      </c>
      <c r="R4" s="21"/>
      <c r="S4" s="5"/>
      <c r="T4" s="25">
        <v>-9</v>
      </c>
      <c r="U4" s="5"/>
      <c r="V4" s="25">
        <v>-10</v>
      </c>
    </row>
    <row r="5" spans="1:22" ht="11.45" x14ac:dyDescent="0.25">
      <c r="E5" s="9" t="s">
        <v>84</v>
      </c>
      <c r="G5" s="16" t="s">
        <v>71</v>
      </c>
      <c r="I5" s="6" t="s">
        <v>71</v>
      </c>
      <c r="M5" s="6" t="s">
        <v>6</v>
      </c>
      <c r="O5" s="9" t="s">
        <v>6</v>
      </c>
    </row>
    <row r="6" spans="1:22" ht="11.45" x14ac:dyDescent="0.25">
      <c r="E6" s="9" t="s">
        <v>86</v>
      </c>
      <c r="G6" s="16" t="s">
        <v>75</v>
      </c>
      <c r="I6" s="6" t="s">
        <v>4</v>
      </c>
      <c r="K6" s="9" t="s">
        <v>5</v>
      </c>
      <c r="M6" s="6" t="s">
        <v>3</v>
      </c>
      <c r="O6" s="9" t="s">
        <v>7</v>
      </c>
      <c r="Q6" s="24" t="s">
        <v>87</v>
      </c>
      <c r="R6" s="24"/>
      <c r="T6" s="29" t="s">
        <v>9</v>
      </c>
      <c r="U6" s="29"/>
      <c r="V6" s="29"/>
    </row>
    <row r="7" spans="1:22" ht="11.45" x14ac:dyDescent="0.25">
      <c r="A7" s="11" t="s">
        <v>1</v>
      </c>
      <c r="B7" s="2"/>
      <c r="C7" s="11" t="s">
        <v>2</v>
      </c>
      <c r="D7" s="2"/>
      <c r="E7" s="11" t="s">
        <v>88</v>
      </c>
      <c r="F7" s="2"/>
      <c r="G7" s="17" t="s">
        <v>90</v>
      </c>
      <c r="H7" s="2"/>
      <c r="I7" s="12" t="s">
        <v>91</v>
      </c>
      <c r="J7" s="2"/>
      <c r="K7" s="11" t="s">
        <v>92</v>
      </c>
      <c r="L7" s="2"/>
      <c r="M7" s="12" t="s">
        <v>93</v>
      </c>
      <c r="N7" s="2"/>
      <c r="O7" s="11" t="s">
        <v>93</v>
      </c>
      <c r="P7" s="2"/>
      <c r="Q7" s="13" t="s">
        <v>94</v>
      </c>
      <c r="R7" s="22" t="s">
        <v>95</v>
      </c>
      <c r="S7" s="2"/>
      <c r="T7" s="12" t="s">
        <v>8</v>
      </c>
      <c r="U7" s="11"/>
      <c r="V7" s="12" t="s">
        <v>70</v>
      </c>
    </row>
    <row r="9" spans="1:22" ht="11.45" x14ac:dyDescent="0.25">
      <c r="A9" s="1" t="s">
        <v>29</v>
      </c>
      <c r="C9" s="1" t="s">
        <v>67</v>
      </c>
      <c r="E9" s="1">
        <v>10</v>
      </c>
      <c r="G9" s="18">
        <v>0</v>
      </c>
      <c r="I9" s="8">
        <v>19522</v>
      </c>
      <c r="K9" s="1">
        <v>1</v>
      </c>
      <c r="M9" s="26">
        <v>25475574</v>
      </c>
      <c r="N9" s="26"/>
      <c r="O9" s="26">
        <f>+M9-606294</f>
        <v>24869280</v>
      </c>
      <c r="Q9" s="10">
        <f t="shared" ref="Q9:Q54" si="0">+I9/(E9*8760)</f>
        <v>0.22285388127853881</v>
      </c>
      <c r="R9" s="19" t="s">
        <v>67</v>
      </c>
      <c r="S9" s="8">
        <f t="shared" ref="S9:S32" si="1">+P9*N9</f>
        <v>0</v>
      </c>
      <c r="T9" s="26">
        <f>O9</f>
        <v>24869280</v>
      </c>
      <c r="U9" s="26"/>
      <c r="V9" s="26">
        <v>0</v>
      </c>
    </row>
    <row r="10" spans="1:22" ht="11.45" x14ac:dyDescent="0.25">
      <c r="A10" s="1" t="s">
        <v>32</v>
      </c>
      <c r="C10" s="1" t="s">
        <v>68</v>
      </c>
      <c r="E10" s="1">
        <v>11</v>
      </c>
      <c r="G10" s="18">
        <v>0</v>
      </c>
      <c r="I10" s="8">
        <v>25269</v>
      </c>
      <c r="K10" s="1">
        <v>2</v>
      </c>
      <c r="M10" s="26">
        <v>14123640</v>
      </c>
      <c r="N10" s="26"/>
      <c r="O10" s="26">
        <v>3949856</v>
      </c>
      <c r="Q10" s="10">
        <f t="shared" si="0"/>
        <v>0.2622353673723537</v>
      </c>
      <c r="R10" s="19" t="s">
        <v>68</v>
      </c>
      <c r="S10" s="8">
        <f t="shared" si="1"/>
        <v>0</v>
      </c>
      <c r="T10" s="26">
        <f t="shared" ref="T10:T31" si="2">+O10</f>
        <v>3949856</v>
      </c>
      <c r="U10" s="26"/>
      <c r="V10" s="26">
        <v>0</v>
      </c>
    </row>
    <row r="11" spans="1:22" ht="11.45" x14ac:dyDescent="0.25">
      <c r="A11" s="1" t="s">
        <v>33</v>
      </c>
      <c r="C11" s="1" t="s">
        <v>68</v>
      </c>
      <c r="E11" s="1">
        <v>11</v>
      </c>
      <c r="G11" s="18">
        <v>0</v>
      </c>
      <c r="I11" s="8">
        <v>25269</v>
      </c>
      <c r="K11" s="1">
        <v>2</v>
      </c>
      <c r="M11" s="26">
        <v>14123640</v>
      </c>
      <c r="N11" s="26"/>
      <c r="O11" s="26">
        <v>3949855</v>
      </c>
      <c r="Q11" s="10">
        <f t="shared" si="0"/>
        <v>0.2622353673723537</v>
      </c>
      <c r="R11" s="19" t="s">
        <v>68</v>
      </c>
      <c r="S11" s="8">
        <f t="shared" si="1"/>
        <v>0</v>
      </c>
      <c r="T11" s="26">
        <f t="shared" si="2"/>
        <v>3949855</v>
      </c>
      <c r="U11" s="26"/>
      <c r="V11" s="26">
        <v>0</v>
      </c>
    </row>
    <row r="12" spans="1:22" ht="11.45" x14ac:dyDescent="0.25">
      <c r="A12" s="1" t="s">
        <v>34</v>
      </c>
      <c r="C12" s="1" t="s">
        <v>68</v>
      </c>
      <c r="E12" s="1">
        <v>11</v>
      </c>
      <c r="G12" s="18">
        <v>0</v>
      </c>
      <c r="I12" s="8">
        <v>25268</v>
      </c>
      <c r="K12" s="1">
        <v>2</v>
      </c>
      <c r="M12" s="26">
        <v>14123639</v>
      </c>
      <c r="N12" s="26"/>
      <c r="O12" s="26">
        <v>3949855</v>
      </c>
      <c r="Q12" s="10">
        <f t="shared" si="0"/>
        <v>0.26222498962224988</v>
      </c>
      <c r="R12" s="19" t="s">
        <v>68</v>
      </c>
      <c r="S12" s="8">
        <f t="shared" si="1"/>
        <v>0</v>
      </c>
      <c r="T12" s="26">
        <f t="shared" si="2"/>
        <v>3949855</v>
      </c>
      <c r="U12" s="26"/>
      <c r="V12" s="26">
        <v>0</v>
      </c>
    </row>
    <row r="13" spans="1:22" ht="11.45" x14ac:dyDescent="0.25">
      <c r="A13" s="1" t="s">
        <v>45</v>
      </c>
      <c r="C13" s="1" t="s">
        <v>68</v>
      </c>
      <c r="E13" s="1">
        <v>13</v>
      </c>
      <c r="G13" s="18">
        <v>0</v>
      </c>
      <c r="I13" s="8">
        <v>35468</v>
      </c>
      <c r="K13" s="1">
        <v>2</v>
      </c>
      <c r="M13" s="26">
        <v>15936615</v>
      </c>
      <c r="N13" s="26"/>
      <c r="O13" s="26">
        <v>2069225</v>
      </c>
      <c r="Q13" s="10">
        <f t="shared" si="0"/>
        <v>0.31145064980681419</v>
      </c>
      <c r="R13" s="19" t="s">
        <v>68</v>
      </c>
      <c r="S13" s="8">
        <f t="shared" si="1"/>
        <v>0</v>
      </c>
      <c r="T13" s="26">
        <f t="shared" si="2"/>
        <v>2069225</v>
      </c>
      <c r="U13" s="26"/>
      <c r="V13" s="26">
        <v>0</v>
      </c>
    </row>
    <row r="14" spans="1:22" ht="11.45" x14ac:dyDescent="0.25">
      <c r="A14" s="1" t="s">
        <v>46</v>
      </c>
      <c r="C14" s="1" t="s">
        <v>68</v>
      </c>
      <c r="E14" s="1">
        <v>13</v>
      </c>
      <c r="G14" s="18">
        <v>0</v>
      </c>
      <c r="I14" s="8">
        <v>35468</v>
      </c>
      <c r="K14" s="1">
        <v>2</v>
      </c>
      <c r="M14" s="26">
        <v>15936615</v>
      </c>
      <c r="N14" s="26"/>
      <c r="O14" s="26">
        <v>2069226</v>
      </c>
      <c r="Q14" s="10">
        <f t="shared" si="0"/>
        <v>0.31145064980681419</v>
      </c>
      <c r="R14" s="19" t="s">
        <v>68</v>
      </c>
      <c r="S14" s="8">
        <f t="shared" si="1"/>
        <v>0</v>
      </c>
      <c r="T14" s="26">
        <f t="shared" si="2"/>
        <v>2069226</v>
      </c>
      <c r="U14" s="26"/>
      <c r="V14" s="26">
        <v>0</v>
      </c>
    </row>
    <row r="15" spans="1:22" ht="11.45" x14ac:dyDescent="0.25">
      <c r="A15" s="1" t="s">
        <v>47</v>
      </c>
      <c r="C15" s="1" t="s">
        <v>68</v>
      </c>
      <c r="E15" s="1">
        <v>13</v>
      </c>
      <c r="G15" s="18">
        <v>0</v>
      </c>
      <c r="I15" s="8">
        <v>35468</v>
      </c>
      <c r="K15" s="1">
        <v>2</v>
      </c>
      <c r="M15" s="26">
        <v>15936614</v>
      </c>
      <c r="N15" s="26"/>
      <c r="O15" s="26">
        <v>2069226</v>
      </c>
      <c r="Q15" s="10">
        <f t="shared" si="0"/>
        <v>0.31145064980681419</v>
      </c>
      <c r="R15" s="19" t="s">
        <v>68</v>
      </c>
      <c r="S15" s="8">
        <f t="shared" si="1"/>
        <v>0</v>
      </c>
      <c r="T15" s="26">
        <f t="shared" si="2"/>
        <v>2069226</v>
      </c>
      <c r="U15" s="26"/>
      <c r="V15" s="26">
        <v>0</v>
      </c>
    </row>
    <row r="16" spans="1:22" ht="11.45" x14ac:dyDescent="0.25">
      <c r="A16" s="1" t="s">
        <v>48</v>
      </c>
      <c r="C16" s="1" t="s">
        <v>68</v>
      </c>
      <c r="E16" s="1">
        <v>10</v>
      </c>
      <c r="G16" s="18">
        <v>0</v>
      </c>
      <c r="I16" s="8">
        <v>35468</v>
      </c>
      <c r="K16" s="1">
        <v>2</v>
      </c>
      <c r="M16" s="26">
        <v>15936614</v>
      </c>
      <c r="N16" s="26"/>
      <c r="O16" s="26">
        <v>2069226</v>
      </c>
      <c r="Q16" s="10">
        <f t="shared" si="0"/>
        <v>0.40488584474885847</v>
      </c>
      <c r="R16" s="19" t="s">
        <v>68</v>
      </c>
      <c r="S16" s="8">
        <f t="shared" si="1"/>
        <v>0</v>
      </c>
      <c r="T16" s="26">
        <f t="shared" si="2"/>
        <v>2069226</v>
      </c>
      <c r="U16" s="26"/>
      <c r="V16" s="26">
        <v>0</v>
      </c>
    </row>
    <row r="17" spans="1:22" ht="11.45" x14ac:dyDescent="0.25">
      <c r="A17" s="1" t="s">
        <v>49</v>
      </c>
      <c r="C17" s="1" t="s">
        <v>68</v>
      </c>
      <c r="E17" s="1">
        <v>13</v>
      </c>
      <c r="G17" s="18">
        <v>0</v>
      </c>
      <c r="I17" s="8">
        <v>35468</v>
      </c>
      <c r="K17" s="1">
        <v>2</v>
      </c>
      <c r="M17" s="26">
        <v>15936614</v>
      </c>
      <c r="N17" s="26"/>
      <c r="O17" s="26">
        <v>2069226</v>
      </c>
      <c r="Q17" s="10">
        <f t="shared" si="0"/>
        <v>0.31145064980681419</v>
      </c>
      <c r="R17" s="19" t="s">
        <v>68</v>
      </c>
      <c r="S17" s="8">
        <f t="shared" si="1"/>
        <v>0</v>
      </c>
      <c r="T17" s="26">
        <f t="shared" si="2"/>
        <v>2069226</v>
      </c>
      <c r="U17" s="26"/>
      <c r="V17" s="26">
        <v>0</v>
      </c>
    </row>
    <row r="18" spans="1:22" ht="11.45" x14ac:dyDescent="0.25">
      <c r="A18" s="1" t="s">
        <v>50</v>
      </c>
      <c r="C18" s="1" t="s">
        <v>68</v>
      </c>
      <c r="E18" s="1">
        <v>13</v>
      </c>
      <c r="G18" s="18">
        <v>0</v>
      </c>
      <c r="I18" s="8">
        <v>35469</v>
      </c>
      <c r="K18" s="1">
        <v>2</v>
      </c>
      <c r="M18" s="26">
        <v>15936614</v>
      </c>
      <c r="N18" s="26"/>
      <c r="O18" s="26">
        <v>2069226</v>
      </c>
      <c r="Q18" s="10">
        <f t="shared" si="0"/>
        <v>0.31145943097997891</v>
      </c>
      <c r="R18" s="19" t="s">
        <v>68</v>
      </c>
      <c r="S18" s="8">
        <f t="shared" si="1"/>
        <v>0</v>
      </c>
      <c r="T18" s="26">
        <f t="shared" si="2"/>
        <v>2069226</v>
      </c>
      <c r="U18" s="26"/>
      <c r="V18" s="26">
        <v>0</v>
      </c>
    </row>
    <row r="19" spans="1:22" ht="11.45" x14ac:dyDescent="0.25">
      <c r="A19" s="1" t="s">
        <v>51</v>
      </c>
      <c r="C19" s="1" t="s">
        <v>68</v>
      </c>
      <c r="E19" s="1">
        <v>13</v>
      </c>
      <c r="G19" s="18">
        <v>0</v>
      </c>
      <c r="I19" s="8">
        <v>35469</v>
      </c>
      <c r="K19" s="1">
        <v>2</v>
      </c>
      <c r="M19" s="26">
        <v>15936614</v>
      </c>
      <c r="N19" s="26"/>
      <c r="O19" s="26">
        <v>2069226</v>
      </c>
      <c r="Q19" s="10">
        <f t="shared" si="0"/>
        <v>0.31145943097997891</v>
      </c>
      <c r="R19" s="19" t="s">
        <v>68</v>
      </c>
      <c r="S19" s="8">
        <f t="shared" si="1"/>
        <v>0</v>
      </c>
      <c r="T19" s="26">
        <f t="shared" si="2"/>
        <v>2069226</v>
      </c>
      <c r="U19" s="26"/>
      <c r="V19" s="26">
        <v>0</v>
      </c>
    </row>
    <row r="20" spans="1:22" ht="11.45" x14ac:dyDescent="0.25">
      <c r="A20" s="1" t="s">
        <v>52</v>
      </c>
      <c r="C20" s="1" t="s">
        <v>68</v>
      </c>
      <c r="E20" s="1">
        <v>10</v>
      </c>
      <c r="G20" s="18">
        <v>0</v>
      </c>
      <c r="I20" s="8">
        <v>35469</v>
      </c>
      <c r="K20" s="1">
        <v>2</v>
      </c>
      <c r="M20" s="26">
        <v>15936614</v>
      </c>
      <c r="N20" s="26"/>
      <c r="O20" s="26">
        <v>2069226</v>
      </c>
      <c r="Q20" s="10">
        <f t="shared" si="0"/>
        <v>0.4048972602739726</v>
      </c>
      <c r="R20" s="19" t="s">
        <v>68</v>
      </c>
      <c r="S20" s="8">
        <f t="shared" si="1"/>
        <v>0</v>
      </c>
      <c r="T20" s="26">
        <f t="shared" si="2"/>
        <v>2069226</v>
      </c>
      <c r="U20" s="26"/>
      <c r="V20" s="26">
        <v>0</v>
      </c>
    </row>
    <row r="21" spans="1:22" ht="11.45" x14ac:dyDescent="0.25">
      <c r="A21" s="1" t="s">
        <v>62</v>
      </c>
      <c r="C21" s="1" t="s">
        <v>64</v>
      </c>
      <c r="E21" s="1">
        <f>838*0.75</f>
        <v>628.5</v>
      </c>
      <c r="F21" s="1" t="s">
        <v>85</v>
      </c>
      <c r="G21" s="18">
        <v>1.9300000000000001E-2</v>
      </c>
      <c r="I21" s="8">
        <v>3367360</v>
      </c>
      <c r="K21" s="1">
        <v>3</v>
      </c>
      <c r="M21" s="26">
        <v>1111229983</v>
      </c>
      <c r="N21" s="26"/>
      <c r="O21" s="26">
        <f>+M21-230534307</f>
        <v>880695676</v>
      </c>
      <c r="Q21" s="10">
        <f t="shared" si="0"/>
        <v>0.61161786234529558</v>
      </c>
      <c r="R21" s="19" t="s">
        <v>74</v>
      </c>
      <c r="S21" s="8">
        <f t="shared" si="1"/>
        <v>0</v>
      </c>
      <c r="T21" s="26">
        <f t="shared" si="2"/>
        <v>880695676</v>
      </c>
      <c r="U21" s="26"/>
      <c r="V21" s="26">
        <v>0</v>
      </c>
    </row>
    <row r="22" spans="1:22" ht="11.45" x14ac:dyDescent="0.25">
      <c r="A22" s="1" t="s">
        <v>44</v>
      </c>
      <c r="C22" s="1" t="s">
        <v>64</v>
      </c>
      <c r="E22" s="1">
        <v>544</v>
      </c>
      <c r="G22" s="18">
        <v>2.1100000000000001E-2</v>
      </c>
      <c r="I22" s="8">
        <v>3205409</v>
      </c>
      <c r="K22" s="1">
        <v>4</v>
      </c>
      <c r="M22" s="26">
        <v>837207205</v>
      </c>
      <c r="N22" s="26"/>
      <c r="O22" s="26">
        <f>+M22-234853089</f>
        <v>602354116</v>
      </c>
      <c r="Q22" s="10">
        <f t="shared" si="0"/>
        <v>0.67263652464410417</v>
      </c>
      <c r="R22" s="19" t="s">
        <v>74</v>
      </c>
      <c r="S22" s="8">
        <f t="shared" si="1"/>
        <v>0</v>
      </c>
      <c r="T22" s="26">
        <f t="shared" si="2"/>
        <v>602354116</v>
      </c>
      <c r="U22" s="26"/>
      <c r="V22" s="26">
        <v>0</v>
      </c>
    </row>
    <row r="23" spans="1:22" ht="11.45" x14ac:dyDescent="0.25">
      <c r="A23" s="1" t="s">
        <v>43</v>
      </c>
      <c r="C23" s="1" t="s">
        <v>64</v>
      </c>
      <c r="E23" s="1">
        <v>463</v>
      </c>
      <c r="G23" s="18">
        <v>2.1600000000000001E-2</v>
      </c>
      <c r="I23" s="8">
        <v>2296304</v>
      </c>
      <c r="K23" s="1">
        <v>5</v>
      </c>
      <c r="M23" s="26">
        <v>534353330</v>
      </c>
      <c r="N23" s="26"/>
      <c r="O23" s="26">
        <f>+M23-121539258</f>
        <v>412814072</v>
      </c>
      <c r="Q23" s="10">
        <f t="shared" si="0"/>
        <v>0.5661666518733296</v>
      </c>
      <c r="R23" s="19" t="s">
        <v>74</v>
      </c>
      <c r="S23" s="8">
        <f t="shared" si="1"/>
        <v>0</v>
      </c>
      <c r="T23" s="26">
        <f t="shared" si="2"/>
        <v>412814072</v>
      </c>
      <c r="U23" s="26"/>
      <c r="V23" s="26">
        <v>0</v>
      </c>
    </row>
    <row r="24" spans="1:22" ht="11.45" x14ac:dyDescent="0.25">
      <c r="A24" s="1" t="s">
        <v>36</v>
      </c>
      <c r="C24" s="1" t="s">
        <v>64</v>
      </c>
      <c r="E24" s="1">
        <v>556</v>
      </c>
      <c r="G24" s="18">
        <v>2.1100000000000001E-2</v>
      </c>
      <c r="I24" s="8">
        <v>2926599</v>
      </c>
      <c r="K24" s="1">
        <v>6</v>
      </c>
      <c r="M24" s="26">
        <v>426925817</v>
      </c>
      <c r="N24" s="26"/>
      <c r="O24" s="26">
        <f>+M24-196618842</f>
        <v>230306975</v>
      </c>
      <c r="Q24" s="10">
        <f t="shared" si="0"/>
        <v>0.60087525869715186</v>
      </c>
      <c r="R24" s="19" t="s">
        <v>74</v>
      </c>
      <c r="S24" s="8">
        <f t="shared" si="1"/>
        <v>0</v>
      </c>
      <c r="T24" s="26">
        <f t="shared" si="2"/>
        <v>230306975</v>
      </c>
      <c r="U24" s="26"/>
      <c r="V24" s="26">
        <v>0</v>
      </c>
    </row>
    <row r="25" spans="1:22" ht="11.45" x14ac:dyDescent="0.25">
      <c r="A25" s="1" t="s">
        <v>42</v>
      </c>
      <c r="C25" s="1" t="s">
        <v>64</v>
      </c>
      <c r="E25" s="1">
        <v>356</v>
      </c>
      <c r="G25" s="18">
        <v>2.1499999999999998E-2</v>
      </c>
      <c r="I25" s="8">
        <v>1578371</v>
      </c>
      <c r="K25" s="1">
        <v>7</v>
      </c>
      <c r="M25" s="26">
        <v>376161674</v>
      </c>
      <c r="N25" s="26"/>
      <c r="O25" s="26">
        <f>+M25-52151574</f>
        <v>324010100</v>
      </c>
      <c r="Q25" s="10">
        <f t="shared" si="0"/>
        <v>0.50612173567287466</v>
      </c>
      <c r="R25" s="19" t="s">
        <v>74</v>
      </c>
      <c r="S25" s="8">
        <f t="shared" si="1"/>
        <v>0</v>
      </c>
      <c r="T25" s="26">
        <f t="shared" si="2"/>
        <v>324010100</v>
      </c>
      <c r="U25" s="26"/>
      <c r="V25" s="26">
        <v>0</v>
      </c>
    </row>
    <row r="26" spans="1:22" ht="11.45" x14ac:dyDescent="0.25">
      <c r="A26" s="1" t="s">
        <v>35</v>
      </c>
      <c r="C26" s="1" t="s">
        <v>64</v>
      </c>
      <c r="E26" s="1">
        <v>557</v>
      </c>
      <c r="G26" s="18">
        <v>2.1399999999999999E-2</v>
      </c>
      <c r="I26" s="8">
        <v>2984003</v>
      </c>
      <c r="K26" s="1">
        <v>8</v>
      </c>
      <c r="M26" s="26">
        <v>732470922</v>
      </c>
      <c r="N26" s="26"/>
      <c r="O26" s="26">
        <f>+M26-259713146</f>
        <v>472757776</v>
      </c>
      <c r="Q26" s="10">
        <f t="shared" si="0"/>
        <v>0.61156124214029828</v>
      </c>
      <c r="R26" s="19" t="s">
        <v>74</v>
      </c>
      <c r="S26" s="8">
        <f t="shared" si="1"/>
        <v>0</v>
      </c>
      <c r="T26" s="26">
        <f t="shared" si="2"/>
        <v>472757776</v>
      </c>
      <c r="U26" s="26"/>
      <c r="V26" s="26">
        <v>0</v>
      </c>
    </row>
    <row r="27" spans="1:22" ht="11.45" x14ac:dyDescent="0.25">
      <c r="A27" s="1" t="s">
        <v>41</v>
      </c>
      <c r="C27" s="1" t="s">
        <v>64</v>
      </c>
      <c r="E27" s="1">
        <v>356</v>
      </c>
      <c r="G27" s="18">
        <v>2.1000000000000001E-2</v>
      </c>
      <c r="I27" s="8">
        <v>1892628</v>
      </c>
      <c r="K27" s="1">
        <v>9</v>
      </c>
      <c r="M27" s="26">
        <v>328252201</v>
      </c>
      <c r="N27" s="26"/>
      <c r="O27" s="26">
        <f>+M27-103671701</f>
        <v>224580500</v>
      </c>
      <c r="Q27" s="10">
        <f t="shared" si="0"/>
        <v>0.60689164229644454</v>
      </c>
      <c r="R27" s="19" t="s">
        <v>74</v>
      </c>
      <c r="S27" s="8">
        <f t="shared" si="1"/>
        <v>0</v>
      </c>
      <c r="T27" s="26">
        <f t="shared" si="2"/>
        <v>224580500</v>
      </c>
      <c r="U27" s="26"/>
      <c r="V27" s="26">
        <v>0</v>
      </c>
    </row>
    <row r="28" spans="1:22" ht="11.45" x14ac:dyDescent="0.25">
      <c r="A28" s="1" t="s">
        <v>69</v>
      </c>
      <c r="C28" s="1" t="s">
        <v>64</v>
      </c>
      <c r="E28" s="1">
        <v>425</v>
      </c>
      <c r="F28" s="1" t="s">
        <v>85</v>
      </c>
      <c r="G28" s="18">
        <v>2.1700000000000001E-2</v>
      </c>
      <c r="I28" s="8">
        <v>2063666</v>
      </c>
      <c r="K28" s="1">
        <v>10</v>
      </c>
      <c r="M28" s="26">
        <v>641927268</v>
      </c>
      <c r="N28" s="26"/>
      <c r="O28" s="26">
        <f>+M28-273134472</f>
        <v>368792796</v>
      </c>
      <c r="Q28" s="10">
        <f t="shared" si="0"/>
        <v>0.55430190706419558</v>
      </c>
      <c r="R28" s="19" t="s">
        <v>74</v>
      </c>
      <c r="S28" s="8">
        <f t="shared" si="1"/>
        <v>0</v>
      </c>
      <c r="T28" s="26">
        <f t="shared" si="2"/>
        <v>368792796</v>
      </c>
      <c r="U28" s="26"/>
      <c r="V28" s="26">
        <v>0</v>
      </c>
    </row>
    <row r="29" spans="1:22" ht="11.45" x14ac:dyDescent="0.25">
      <c r="A29" s="1" t="s">
        <v>38</v>
      </c>
      <c r="C29" s="1" t="s">
        <v>64</v>
      </c>
      <c r="E29" s="1">
        <v>556</v>
      </c>
      <c r="G29" s="18">
        <v>2.24E-2</v>
      </c>
      <c r="I29" s="8">
        <v>2928773</v>
      </c>
      <c r="K29" s="1">
        <v>11</v>
      </c>
      <c r="M29" s="26">
        <v>1197830397</v>
      </c>
      <c r="N29" s="26"/>
      <c r="O29" s="26">
        <f>+M29-328607490</f>
        <v>869222907</v>
      </c>
      <c r="Q29" s="10">
        <f t="shared" si="0"/>
        <v>0.60132161394172334</v>
      </c>
      <c r="R29" s="19" t="s">
        <v>74</v>
      </c>
      <c r="S29" s="8">
        <f t="shared" si="1"/>
        <v>0</v>
      </c>
      <c r="T29" s="26">
        <f t="shared" si="2"/>
        <v>869222907</v>
      </c>
      <c r="U29" s="26"/>
      <c r="V29" s="26">
        <v>0</v>
      </c>
    </row>
    <row r="30" spans="1:22" ht="11.45" x14ac:dyDescent="0.25">
      <c r="A30" s="1" t="s">
        <v>30</v>
      </c>
      <c r="C30" s="1" t="s">
        <v>65</v>
      </c>
      <c r="E30" s="1">
        <v>808</v>
      </c>
      <c r="G30" s="18">
        <v>2.18E-2</v>
      </c>
      <c r="I30" s="8">
        <v>4881876</v>
      </c>
      <c r="K30" s="1">
        <v>12</v>
      </c>
      <c r="M30" s="26">
        <v>530421264</v>
      </c>
      <c r="N30" s="26"/>
      <c r="O30" s="26">
        <f>+M30-26889850</f>
        <v>503531414</v>
      </c>
      <c r="Q30" s="10">
        <f t="shared" si="0"/>
        <v>0.68971755052217554</v>
      </c>
      <c r="R30" s="19" t="s">
        <v>74</v>
      </c>
      <c r="S30" s="8">
        <f t="shared" si="1"/>
        <v>0</v>
      </c>
      <c r="T30" s="26">
        <f t="shared" si="2"/>
        <v>503531414</v>
      </c>
      <c r="U30" s="26"/>
      <c r="V30" s="26">
        <v>0</v>
      </c>
    </row>
    <row r="31" spans="1:22" ht="11.45" x14ac:dyDescent="0.25">
      <c r="A31" s="1" t="s">
        <v>37</v>
      </c>
      <c r="C31" s="1" t="s">
        <v>64</v>
      </c>
      <c r="E31" s="1">
        <v>557</v>
      </c>
      <c r="G31" s="18">
        <v>2.2700000000000001E-2</v>
      </c>
      <c r="I31" s="8">
        <v>2892762</v>
      </c>
      <c r="K31" s="1">
        <v>13</v>
      </c>
      <c r="M31" s="26">
        <v>694725329</v>
      </c>
      <c r="N31" s="26"/>
      <c r="O31" s="26">
        <f>+M31-305345314</f>
        <v>389380015</v>
      </c>
      <c r="Q31" s="10">
        <f t="shared" si="0"/>
        <v>0.59286171023831191</v>
      </c>
      <c r="R31" s="19" t="s">
        <v>74</v>
      </c>
      <c r="S31" s="8">
        <f t="shared" si="1"/>
        <v>0</v>
      </c>
      <c r="T31" s="26">
        <f t="shared" si="2"/>
        <v>389380015</v>
      </c>
      <c r="U31" s="26"/>
      <c r="V31" s="26">
        <v>0</v>
      </c>
    </row>
    <row r="32" spans="1:22" ht="11.45" x14ac:dyDescent="0.25">
      <c r="A32" s="1" t="s">
        <v>20</v>
      </c>
      <c r="C32" s="1" t="s">
        <v>64</v>
      </c>
      <c r="E32" s="1">
        <v>180</v>
      </c>
      <c r="G32" s="18">
        <v>3.1600000000000003E-2</v>
      </c>
      <c r="I32" s="8">
        <v>337136</v>
      </c>
      <c r="K32" s="1">
        <v>15</v>
      </c>
      <c r="M32" s="26">
        <v>65243804</v>
      </c>
      <c r="N32" s="26"/>
      <c r="O32" s="26">
        <f>+M32-32878787</f>
        <v>32365017</v>
      </c>
      <c r="Q32" s="10">
        <f t="shared" si="0"/>
        <v>0.21381024860476916</v>
      </c>
      <c r="R32" s="19" t="s">
        <v>76</v>
      </c>
      <c r="S32" s="8">
        <f t="shared" si="1"/>
        <v>0</v>
      </c>
      <c r="T32" s="26">
        <f>Q32*O32</f>
        <v>6919972.3308675801</v>
      </c>
      <c r="U32" s="26"/>
      <c r="V32" s="26">
        <f>O32-T32</f>
        <v>25445044.669132419</v>
      </c>
    </row>
    <row r="33" spans="1:26" ht="11.45" x14ac:dyDescent="0.25">
      <c r="A33" s="1" t="s">
        <v>19</v>
      </c>
      <c r="C33" s="1" t="s">
        <v>64</v>
      </c>
      <c r="E33" s="1">
        <v>114</v>
      </c>
      <c r="G33" s="18">
        <v>3.5299999999999998E-2</v>
      </c>
      <c r="I33" s="8">
        <v>133696</v>
      </c>
      <c r="K33" s="1">
        <v>16</v>
      </c>
      <c r="M33" s="26">
        <v>84714615</v>
      </c>
      <c r="N33" s="26"/>
      <c r="O33" s="26">
        <f>+M33-49774309</f>
        <v>34940306</v>
      </c>
      <c r="Q33" s="10">
        <f t="shared" si="0"/>
        <v>0.13387807418088601</v>
      </c>
      <c r="R33" s="19" t="s">
        <v>76</v>
      </c>
      <c r="T33" s="26">
        <f>Q33*O33</f>
        <v>4677740.8785708565</v>
      </c>
      <c r="U33" s="26"/>
      <c r="V33" s="26">
        <f>O33-T33</f>
        <v>30262565.121429145</v>
      </c>
    </row>
    <row r="34" spans="1:26" ht="11.45" x14ac:dyDescent="0.25">
      <c r="A34" s="1" t="s">
        <v>21</v>
      </c>
      <c r="C34" s="1" t="s">
        <v>64</v>
      </c>
      <c r="E34" s="1">
        <v>464</v>
      </c>
      <c r="G34" s="18">
        <v>3.5200000000000002E-2</v>
      </c>
      <c r="I34" s="8">
        <v>836934</v>
      </c>
      <c r="K34" s="1">
        <v>17</v>
      </c>
      <c r="M34" s="26">
        <v>959593511</v>
      </c>
      <c r="N34" s="26"/>
      <c r="O34" s="26">
        <f>+M34-242160971</f>
        <v>717432540</v>
      </c>
      <c r="Q34" s="10">
        <f t="shared" si="0"/>
        <v>0.20590605810108645</v>
      </c>
      <c r="R34" s="19" t="s">
        <v>76</v>
      </c>
      <c r="S34" s="8">
        <f t="shared" ref="S34:S54" si="3">+P34*N34</f>
        <v>0</v>
      </c>
      <c r="T34" s="26">
        <f>Q34*O34</f>
        <v>147723706.26485002</v>
      </c>
      <c r="U34" s="26"/>
      <c r="V34" s="26">
        <f>O34-T34</f>
        <v>569708833.73514998</v>
      </c>
    </row>
    <row r="35" spans="1:26" ht="11.45" x14ac:dyDescent="0.25">
      <c r="A35" s="1" t="s">
        <v>56</v>
      </c>
      <c r="C35" s="1" t="s">
        <v>65</v>
      </c>
      <c r="E35" s="1">
        <v>199</v>
      </c>
      <c r="G35" s="18">
        <v>3.5299999999999998E-2</v>
      </c>
      <c r="I35" s="8">
        <v>412064</v>
      </c>
      <c r="K35" s="1">
        <v>18</v>
      </c>
      <c r="M35" s="26">
        <v>67773389</v>
      </c>
      <c r="N35" s="26"/>
      <c r="O35" s="26">
        <f>+M35-30605481</f>
        <v>37167908</v>
      </c>
      <c r="Q35" s="10">
        <f t="shared" si="0"/>
        <v>0.23637823822307885</v>
      </c>
      <c r="R35" s="19" t="s">
        <v>73</v>
      </c>
      <c r="S35" s="8">
        <f t="shared" si="3"/>
        <v>0</v>
      </c>
      <c r="T35" s="26">
        <v>0</v>
      </c>
      <c r="U35" s="26"/>
      <c r="V35" s="26">
        <f t="shared" ref="V35:V54" si="4">+O35</f>
        <v>37167908</v>
      </c>
    </row>
    <row r="36" spans="1:26" ht="11.45" x14ac:dyDescent="0.25">
      <c r="A36" s="1" t="s">
        <v>57</v>
      </c>
      <c r="C36" s="1" t="s">
        <v>65</v>
      </c>
      <c r="E36" s="1">
        <v>199</v>
      </c>
      <c r="G36" s="18">
        <v>3.5200000000000002E-2</v>
      </c>
      <c r="I36" s="8">
        <v>340822</v>
      </c>
      <c r="K36" s="1">
        <v>19</v>
      </c>
      <c r="M36" s="26">
        <v>68123095</v>
      </c>
      <c r="N36" s="26"/>
      <c r="O36" s="26">
        <f>+M36-28975996</f>
        <v>39147099</v>
      </c>
      <c r="Q36" s="10">
        <f t="shared" si="0"/>
        <v>0.19551065831440306</v>
      </c>
      <c r="R36" s="19" t="s">
        <v>73</v>
      </c>
      <c r="S36" s="8">
        <f t="shared" si="3"/>
        <v>0</v>
      </c>
      <c r="T36" s="26">
        <v>0</v>
      </c>
      <c r="U36" s="26"/>
      <c r="V36" s="26">
        <f t="shared" si="4"/>
        <v>39147099</v>
      </c>
    </row>
    <row r="37" spans="1:26" ht="11.45" x14ac:dyDescent="0.25">
      <c r="A37" s="1" t="s">
        <v>58</v>
      </c>
      <c r="C37" s="1" t="s">
        <v>65</v>
      </c>
      <c r="E37" s="1">
        <v>199</v>
      </c>
      <c r="G37" s="18">
        <v>3.5499999999999997E-2</v>
      </c>
      <c r="I37" s="8">
        <v>216530</v>
      </c>
      <c r="K37" s="1">
        <v>20</v>
      </c>
      <c r="M37" s="26">
        <v>58859184</v>
      </c>
      <c r="N37" s="26"/>
      <c r="O37" s="26">
        <f>+M37-22461817</f>
        <v>36397367</v>
      </c>
      <c r="Q37" s="10">
        <f t="shared" si="0"/>
        <v>0.1242112388426149</v>
      </c>
      <c r="R37" s="19" t="s">
        <v>73</v>
      </c>
      <c r="S37" s="8">
        <f t="shared" si="3"/>
        <v>0</v>
      </c>
      <c r="T37" s="26">
        <v>0</v>
      </c>
      <c r="U37" s="26"/>
      <c r="V37" s="26">
        <f t="shared" si="4"/>
        <v>36397367</v>
      </c>
    </row>
    <row r="38" spans="1:26" ht="11.45" x14ac:dyDescent="0.25">
      <c r="A38" s="1" t="s">
        <v>59</v>
      </c>
      <c r="C38" s="1" t="s">
        <v>65</v>
      </c>
      <c r="E38" s="1">
        <v>199</v>
      </c>
      <c r="G38" s="18">
        <v>3.5000000000000003E-2</v>
      </c>
      <c r="I38" s="8">
        <v>73170</v>
      </c>
      <c r="K38" s="1">
        <v>21</v>
      </c>
      <c r="M38" s="26">
        <v>56427769</v>
      </c>
      <c r="N38" s="26"/>
      <c r="O38" s="26">
        <f>+M38-21501089</f>
        <v>34926680</v>
      </c>
      <c r="Q38" s="10">
        <f t="shared" si="0"/>
        <v>4.1973566462449236E-2</v>
      </c>
      <c r="R38" s="19" t="s">
        <v>73</v>
      </c>
      <c r="S38" s="8">
        <f t="shared" si="3"/>
        <v>0</v>
      </c>
      <c r="T38" s="26">
        <v>0</v>
      </c>
      <c r="U38" s="26"/>
      <c r="V38" s="26">
        <f t="shared" si="4"/>
        <v>34926680</v>
      </c>
    </row>
    <row r="39" spans="1:26" x14ac:dyDescent="0.2">
      <c r="A39" s="1" t="s">
        <v>60</v>
      </c>
      <c r="C39" s="1" t="s">
        <v>65</v>
      </c>
      <c r="E39" s="1">
        <v>199</v>
      </c>
      <c r="G39" s="18">
        <v>3.5099999999999999E-2</v>
      </c>
      <c r="I39" s="8">
        <v>206922</v>
      </c>
      <c r="K39" s="1">
        <v>22</v>
      </c>
      <c r="M39" s="26">
        <v>57017600</v>
      </c>
      <c r="N39" s="26"/>
      <c r="O39" s="26">
        <f>+M39-21616471</f>
        <v>35401129</v>
      </c>
      <c r="Q39" s="10">
        <f t="shared" si="0"/>
        <v>0.11869966269704688</v>
      </c>
      <c r="R39" s="19" t="s">
        <v>73</v>
      </c>
      <c r="S39" s="8">
        <f t="shared" si="3"/>
        <v>0</v>
      </c>
      <c r="T39" s="26">
        <v>0</v>
      </c>
      <c r="U39" s="26"/>
      <c r="V39" s="26">
        <f t="shared" si="4"/>
        <v>35401129</v>
      </c>
    </row>
    <row r="40" spans="1:26" x14ac:dyDescent="0.2">
      <c r="A40" s="1" t="s">
        <v>61</v>
      </c>
      <c r="C40" s="1" t="s">
        <v>65</v>
      </c>
      <c r="E40" s="1">
        <v>199</v>
      </c>
      <c r="G40" s="18">
        <v>3.4500000000000003E-2</v>
      </c>
      <c r="I40" s="8">
        <v>47408</v>
      </c>
      <c r="K40" s="1">
        <v>23</v>
      </c>
      <c r="M40" s="26">
        <v>63011288</v>
      </c>
      <c r="N40" s="26"/>
      <c r="O40" s="26">
        <f>+M40-24309241</f>
        <v>38702047</v>
      </c>
      <c r="Q40" s="10">
        <f t="shared" si="0"/>
        <v>2.7195337417682017E-2</v>
      </c>
      <c r="R40" s="19" t="s">
        <v>73</v>
      </c>
      <c r="S40" s="8">
        <f t="shared" si="3"/>
        <v>0</v>
      </c>
      <c r="T40" s="26">
        <v>0</v>
      </c>
      <c r="U40" s="26"/>
      <c r="V40" s="26">
        <f t="shared" si="4"/>
        <v>38702047</v>
      </c>
    </row>
    <row r="41" spans="1:26" x14ac:dyDescent="0.2">
      <c r="A41" s="1" t="s">
        <v>55</v>
      </c>
      <c r="C41" s="1" t="s">
        <v>65</v>
      </c>
      <c r="E41" s="1">
        <v>178</v>
      </c>
      <c r="G41" s="18">
        <v>3.5200000000000002E-2</v>
      </c>
      <c r="I41" s="8">
        <v>192857</v>
      </c>
      <c r="K41" s="1">
        <v>24</v>
      </c>
      <c r="M41" s="26">
        <v>84247706</v>
      </c>
      <c r="N41" s="26"/>
      <c r="O41" s="26">
        <f>+M41-27819447</f>
        <v>56428259</v>
      </c>
      <c r="Q41" s="10">
        <f t="shared" si="0"/>
        <v>0.12368336668205838</v>
      </c>
      <c r="R41" s="19" t="s">
        <v>73</v>
      </c>
      <c r="S41" s="8">
        <f t="shared" si="3"/>
        <v>0</v>
      </c>
      <c r="T41" s="26">
        <v>0</v>
      </c>
      <c r="U41" s="26"/>
      <c r="V41" s="26">
        <f t="shared" si="4"/>
        <v>56428259</v>
      </c>
    </row>
    <row r="42" spans="1:26" x14ac:dyDescent="0.2">
      <c r="A42" s="1" t="s">
        <v>26</v>
      </c>
      <c r="C42" s="1" t="s">
        <v>66</v>
      </c>
      <c r="E42" s="1">
        <v>126</v>
      </c>
      <c r="G42" s="18">
        <v>4.8800000000000003E-2</v>
      </c>
      <c r="I42" s="8">
        <v>11645</v>
      </c>
      <c r="K42" s="1">
        <v>26</v>
      </c>
      <c r="M42" s="26">
        <v>56321311</v>
      </c>
      <c r="N42" s="26"/>
      <c r="O42" s="26">
        <f>+M42-30101446</f>
        <v>26219865</v>
      </c>
      <c r="Q42" s="10">
        <f t="shared" si="0"/>
        <v>1.0550300790026817E-2</v>
      </c>
      <c r="R42" s="19" t="s">
        <v>73</v>
      </c>
      <c r="S42" s="8">
        <f t="shared" si="3"/>
        <v>0</v>
      </c>
      <c r="T42" s="26">
        <v>0</v>
      </c>
      <c r="U42" s="26"/>
      <c r="V42" s="26">
        <f t="shared" si="4"/>
        <v>26219865</v>
      </c>
    </row>
    <row r="43" spans="1:26" x14ac:dyDescent="0.2">
      <c r="A43" s="1" t="s">
        <v>27</v>
      </c>
      <c r="C43" s="1" t="s">
        <v>66</v>
      </c>
      <c r="E43" s="1">
        <v>126</v>
      </c>
      <c r="G43" s="18">
        <v>4.8000000000000001E-2</v>
      </c>
      <c r="I43" s="8">
        <v>9683</v>
      </c>
      <c r="K43" s="1">
        <v>27</v>
      </c>
      <c r="M43" s="26">
        <v>36511347</v>
      </c>
      <c r="N43" s="26"/>
      <c r="O43" s="26">
        <f>+M43-17190238</f>
        <v>19321109</v>
      </c>
      <c r="Q43" s="10">
        <f t="shared" si="0"/>
        <v>8.7727404508226425E-3</v>
      </c>
      <c r="R43" s="19" t="s">
        <v>73</v>
      </c>
      <c r="S43" s="8">
        <f t="shared" si="3"/>
        <v>0</v>
      </c>
      <c r="T43" s="26">
        <v>0</v>
      </c>
      <c r="U43" s="26"/>
      <c r="V43" s="26">
        <f t="shared" si="4"/>
        <v>19321109</v>
      </c>
    </row>
    <row r="44" spans="1:26" x14ac:dyDescent="0.2">
      <c r="A44" s="1" t="s">
        <v>22</v>
      </c>
      <c r="C44" s="1" t="s">
        <v>65</v>
      </c>
      <c r="E44" s="1">
        <v>123</v>
      </c>
      <c r="G44" s="18">
        <v>4.4900000000000002E-2</v>
      </c>
      <c r="I44" s="8">
        <v>38599</v>
      </c>
      <c r="K44" s="1">
        <v>28</v>
      </c>
      <c r="M44" s="26">
        <v>50149164</v>
      </c>
      <c r="N44" s="26"/>
      <c r="O44" s="26">
        <f>+M44-25006965</f>
        <v>25142199</v>
      </c>
      <c r="Q44" s="10">
        <f t="shared" si="0"/>
        <v>3.582340275457549E-2</v>
      </c>
      <c r="R44" s="19" t="s">
        <v>73</v>
      </c>
      <c r="S44" s="8">
        <f t="shared" si="3"/>
        <v>0</v>
      </c>
      <c r="T44" s="26">
        <v>0</v>
      </c>
      <c r="U44" s="26"/>
      <c r="V44" s="26">
        <f t="shared" si="4"/>
        <v>25142199</v>
      </c>
    </row>
    <row r="45" spans="1:26" x14ac:dyDescent="0.2">
      <c r="A45" s="1" t="s">
        <v>25</v>
      </c>
      <c r="C45" s="1" t="s">
        <v>66</v>
      </c>
      <c r="E45" s="1">
        <v>126</v>
      </c>
      <c r="G45" s="18">
        <v>4.8500000000000001E-2</v>
      </c>
      <c r="I45" s="8">
        <v>17630</v>
      </c>
      <c r="K45" s="1">
        <v>29</v>
      </c>
      <c r="M45" s="26">
        <v>37676408</v>
      </c>
      <c r="N45" s="26"/>
      <c r="O45" s="26">
        <f>+M45-23561898</f>
        <v>14114510</v>
      </c>
      <c r="Q45" s="10">
        <f t="shared" si="0"/>
        <v>1.5972675219250561E-2</v>
      </c>
      <c r="R45" s="19" t="s">
        <v>73</v>
      </c>
      <c r="S45" s="8">
        <f t="shared" si="3"/>
        <v>0</v>
      </c>
      <c r="T45" s="26">
        <v>0</v>
      </c>
      <c r="U45" s="26"/>
      <c r="V45" s="26">
        <f t="shared" si="4"/>
        <v>14114510</v>
      </c>
    </row>
    <row r="46" spans="1:26" x14ac:dyDescent="0.2">
      <c r="A46" s="1" t="s">
        <v>28</v>
      </c>
      <c r="C46" s="1" t="s">
        <v>66</v>
      </c>
      <c r="E46" s="1">
        <v>126</v>
      </c>
      <c r="G46" s="18">
        <v>4.82E-2</v>
      </c>
      <c r="I46" s="8">
        <v>13080</v>
      </c>
      <c r="K46" s="1">
        <v>30</v>
      </c>
      <c r="M46" s="26">
        <v>45748645</v>
      </c>
      <c r="N46" s="26"/>
      <c r="O46" s="26">
        <f>+M46-28812153</f>
        <v>16936492</v>
      </c>
      <c r="Q46" s="10">
        <f t="shared" si="0"/>
        <v>1.1850402261361165E-2</v>
      </c>
      <c r="R46" s="19" t="s">
        <v>73</v>
      </c>
      <c r="S46" s="8">
        <f t="shared" si="3"/>
        <v>0</v>
      </c>
      <c r="T46" s="26">
        <v>0</v>
      </c>
      <c r="U46" s="26"/>
      <c r="V46" s="26">
        <f t="shared" si="4"/>
        <v>16936492</v>
      </c>
      <c r="Y46" s="8"/>
      <c r="Z46" s="8"/>
    </row>
    <row r="47" spans="1:26" x14ac:dyDescent="0.2">
      <c r="A47" s="1" t="s">
        <v>23</v>
      </c>
      <c r="C47" s="1" t="s">
        <v>66</v>
      </c>
      <c r="E47" s="1">
        <v>177</v>
      </c>
      <c r="G47" s="18">
        <v>3.61E-2</v>
      </c>
      <c r="I47" s="8">
        <v>71392</v>
      </c>
      <c r="K47" s="1">
        <v>31</v>
      </c>
      <c r="M47" s="26">
        <v>66107337</v>
      </c>
      <c r="N47" s="26"/>
      <c r="O47" s="26">
        <f>+M47-29380226</f>
        <v>36727111</v>
      </c>
      <c r="Q47" s="10">
        <f t="shared" si="0"/>
        <v>4.6043907850269586E-2</v>
      </c>
      <c r="R47" s="19" t="s">
        <v>73</v>
      </c>
      <c r="S47" s="8">
        <f t="shared" si="3"/>
        <v>0</v>
      </c>
      <c r="T47" s="26">
        <v>0</v>
      </c>
      <c r="U47" s="26"/>
      <c r="V47" s="26">
        <f t="shared" si="4"/>
        <v>36727111</v>
      </c>
      <c r="Y47" s="8"/>
      <c r="Z47" s="8"/>
    </row>
    <row r="48" spans="1:26" x14ac:dyDescent="0.2">
      <c r="A48" s="2" t="s">
        <v>24</v>
      </c>
      <c r="B48" s="2"/>
      <c r="C48" s="2" t="s">
        <v>66</v>
      </c>
      <c r="D48" s="2"/>
      <c r="E48" s="2">
        <v>177</v>
      </c>
      <c r="F48" s="2"/>
      <c r="G48" s="15">
        <v>3.5999999999999997E-2</v>
      </c>
      <c r="H48" s="2"/>
      <c r="I48" s="3">
        <v>92767</v>
      </c>
      <c r="J48" s="2"/>
      <c r="K48" s="2">
        <v>32</v>
      </c>
      <c r="L48" s="2"/>
      <c r="M48" s="27">
        <v>61613444</v>
      </c>
      <c r="N48" s="27"/>
      <c r="O48" s="27">
        <f>+M48-30006619</f>
        <v>31606825</v>
      </c>
      <c r="P48" s="2"/>
      <c r="Q48" s="4">
        <f t="shared" si="0"/>
        <v>5.9829605551685885E-2</v>
      </c>
      <c r="R48" s="20" t="s">
        <v>73</v>
      </c>
      <c r="S48" s="3">
        <f t="shared" si="3"/>
        <v>0</v>
      </c>
      <c r="T48" s="27">
        <v>0</v>
      </c>
      <c r="U48" s="27"/>
      <c r="V48" s="27">
        <f t="shared" si="4"/>
        <v>31606825</v>
      </c>
    </row>
    <row r="49" spans="1:24" x14ac:dyDescent="0.2">
      <c r="A49" s="1" t="s">
        <v>31</v>
      </c>
      <c r="C49" s="1" t="s">
        <v>66</v>
      </c>
      <c r="E49" s="1">
        <v>16</v>
      </c>
      <c r="G49" s="18">
        <v>5.0200000000000002E-2</v>
      </c>
      <c r="I49" s="8">
        <v>56</v>
      </c>
      <c r="K49" s="1">
        <v>33</v>
      </c>
      <c r="M49" s="26">
        <v>3698729</v>
      </c>
      <c r="N49" s="26"/>
      <c r="O49" s="26">
        <f>+M49-3249923</f>
        <v>448806</v>
      </c>
      <c r="Q49" s="10">
        <f t="shared" si="0"/>
        <v>3.9954337899543381E-4</v>
      </c>
      <c r="R49" s="19" t="s">
        <v>73</v>
      </c>
      <c r="S49" s="8">
        <f t="shared" si="3"/>
        <v>0</v>
      </c>
      <c r="T49" s="26">
        <v>0</v>
      </c>
      <c r="U49" s="26"/>
      <c r="V49" s="26">
        <f t="shared" si="4"/>
        <v>448806</v>
      </c>
    </row>
    <row r="50" spans="1:24" x14ac:dyDescent="0.2">
      <c r="A50" s="1" t="s">
        <v>53</v>
      </c>
      <c r="C50" s="1" t="s">
        <v>65</v>
      </c>
      <c r="E50" s="1">
        <v>16</v>
      </c>
      <c r="G50" s="18">
        <v>4.9599999999999998E-2</v>
      </c>
      <c r="I50" s="8">
        <v>209</v>
      </c>
      <c r="K50" s="1">
        <v>34</v>
      </c>
      <c r="M50" s="26">
        <v>2151053</v>
      </c>
      <c r="N50" s="26"/>
      <c r="O50" s="26">
        <f>+M50-1759750</f>
        <v>391303</v>
      </c>
      <c r="Q50" s="10">
        <f t="shared" si="0"/>
        <v>1.4911529680365298E-3</v>
      </c>
      <c r="R50" s="19" t="s">
        <v>73</v>
      </c>
      <c r="S50" s="8">
        <f t="shared" si="3"/>
        <v>0</v>
      </c>
      <c r="T50" s="26">
        <v>0</v>
      </c>
      <c r="U50" s="26"/>
      <c r="V50" s="26">
        <f t="shared" si="4"/>
        <v>391303</v>
      </c>
    </row>
    <row r="51" spans="1:24" x14ac:dyDescent="0.2">
      <c r="A51" s="1" t="s">
        <v>54</v>
      </c>
      <c r="C51" s="1" t="s">
        <v>65</v>
      </c>
      <c r="E51" s="1">
        <v>33</v>
      </c>
      <c r="G51" s="18">
        <v>5.74E-2</v>
      </c>
      <c r="I51" s="8">
        <v>182</v>
      </c>
      <c r="K51" s="1">
        <v>35</v>
      </c>
      <c r="M51" s="26">
        <v>4318568</v>
      </c>
      <c r="N51" s="26"/>
      <c r="O51" s="26">
        <f>+M51-4114083</f>
        <v>204485</v>
      </c>
      <c r="Q51" s="10">
        <f t="shared" si="0"/>
        <v>6.2958350629583508E-4</v>
      </c>
      <c r="R51" s="19" t="s">
        <v>73</v>
      </c>
      <c r="S51" s="8">
        <f t="shared" si="3"/>
        <v>0</v>
      </c>
      <c r="T51" s="26">
        <v>0</v>
      </c>
      <c r="U51" s="26"/>
      <c r="V51" s="26">
        <f t="shared" si="4"/>
        <v>204485</v>
      </c>
    </row>
    <row r="52" spans="1:24" x14ac:dyDescent="0.2">
      <c r="A52" s="1" t="s">
        <v>63</v>
      </c>
      <c r="C52" s="1" t="s">
        <v>65</v>
      </c>
      <c r="E52" s="1">
        <v>18</v>
      </c>
      <c r="G52" s="18">
        <v>6.88E-2</v>
      </c>
      <c r="I52" s="8">
        <v>126</v>
      </c>
      <c r="K52" s="1">
        <v>36</v>
      </c>
      <c r="M52" s="26">
        <v>1974690</v>
      </c>
      <c r="N52" s="26"/>
      <c r="O52" s="26">
        <f>+M52-2086548</f>
        <v>-111858</v>
      </c>
      <c r="Q52" s="10">
        <f t="shared" si="0"/>
        <v>7.9908675799086762E-4</v>
      </c>
      <c r="R52" s="19" t="s">
        <v>73</v>
      </c>
      <c r="S52" s="8">
        <f t="shared" si="3"/>
        <v>0</v>
      </c>
      <c r="T52" s="26">
        <v>0</v>
      </c>
      <c r="U52" s="26"/>
      <c r="V52" s="26">
        <f t="shared" si="4"/>
        <v>-111858</v>
      </c>
    </row>
    <row r="53" spans="1:24" x14ac:dyDescent="0.2">
      <c r="A53" s="1" t="s">
        <v>39</v>
      </c>
      <c r="C53" s="1" t="s">
        <v>66</v>
      </c>
      <c r="E53" s="1">
        <v>21</v>
      </c>
      <c r="G53" s="18">
        <v>0.19589999999999999</v>
      </c>
      <c r="I53" s="8">
        <v>72</v>
      </c>
      <c r="K53" s="1">
        <v>37</v>
      </c>
      <c r="M53" s="26">
        <v>2183480</v>
      </c>
      <c r="N53" s="26"/>
      <c r="O53" s="26">
        <f>+M53-1469262</f>
        <v>714218</v>
      </c>
      <c r="Q53" s="10">
        <f t="shared" si="0"/>
        <v>3.9138943248532291E-4</v>
      </c>
      <c r="R53" s="19" t="s">
        <v>73</v>
      </c>
      <c r="S53" s="8">
        <f t="shared" si="3"/>
        <v>0</v>
      </c>
      <c r="T53" s="26">
        <v>0</v>
      </c>
      <c r="U53" s="26"/>
      <c r="V53" s="26">
        <f t="shared" si="4"/>
        <v>714218</v>
      </c>
    </row>
    <row r="54" spans="1:24" x14ac:dyDescent="0.2">
      <c r="A54" s="1" t="s">
        <v>40</v>
      </c>
      <c r="C54" s="1" t="s">
        <v>66</v>
      </c>
      <c r="E54" s="1">
        <v>21</v>
      </c>
      <c r="G54" s="18">
        <v>0.19589999999999999</v>
      </c>
      <c r="I54" s="8">
        <v>72</v>
      </c>
      <c r="K54" s="1">
        <v>37</v>
      </c>
      <c r="M54" s="26">
        <v>2183479</v>
      </c>
      <c r="N54" s="26"/>
      <c r="O54" s="26">
        <f>+M54-1469262</f>
        <v>714217</v>
      </c>
      <c r="Q54" s="10">
        <f t="shared" si="0"/>
        <v>3.9138943248532291E-4</v>
      </c>
      <c r="R54" s="19" t="s">
        <v>73</v>
      </c>
      <c r="S54" s="8">
        <f t="shared" si="3"/>
        <v>0</v>
      </c>
      <c r="T54" s="26">
        <v>0</v>
      </c>
      <c r="U54" s="26"/>
      <c r="V54" s="26">
        <f t="shared" si="4"/>
        <v>714217</v>
      </c>
    </row>
    <row r="55" spans="1:24" x14ac:dyDescent="0.2">
      <c r="O55" s="8"/>
      <c r="S55" s="8"/>
      <c r="T55" s="27"/>
      <c r="U55" s="26"/>
      <c r="V55" s="27"/>
    </row>
    <row r="56" spans="1:24" x14ac:dyDescent="0.2">
      <c r="O56" s="8"/>
      <c r="S56" s="8"/>
      <c r="T56" s="26"/>
      <c r="U56" s="26"/>
      <c r="V56" s="26"/>
    </row>
    <row r="57" spans="1:24" x14ac:dyDescent="0.2">
      <c r="O57" s="14" t="s">
        <v>77</v>
      </c>
      <c r="S57" s="8"/>
      <c r="T57" s="26">
        <f>SUM(T21:T31)</f>
        <v>5278446347</v>
      </c>
      <c r="U57" s="26"/>
      <c r="V57" s="26">
        <f>SUM(V21:V31)</f>
        <v>0</v>
      </c>
      <c r="X57" s="8"/>
    </row>
    <row r="58" spans="1:24" x14ac:dyDescent="0.2">
      <c r="O58" s="14" t="s">
        <v>78</v>
      </c>
      <c r="S58" s="8"/>
      <c r="T58" s="26">
        <f>SUM(T32:T34)</f>
        <v>159321419.47428846</v>
      </c>
      <c r="U58" s="26"/>
      <c r="V58" s="26">
        <f>SUM(V32:V34)</f>
        <v>625416443.52571154</v>
      </c>
      <c r="X58" s="8"/>
    </row>
    <row r="59" spans="1:24" x14ac:dyDescent="0.2">
      <c r="O59" s="14" t="s">
        <v>79</v>
      </c>
      <c r="S59" s="8"/>
      <c r="T59" s="26">
        <f>SUM(T35:T54)</f>
        <v>0</v>
      </c>
      <c r="U59" s="26"/>
      <c r="V59" s="26">
        <f>SUM(V35:V54)</f>
        <v>450599771</v>
      </c>
      <c r="X59" s="8"/>
    </row>
    <row r="60" spans="1:24" x14ac:dyDescent="0.2">
      <c r="O60" s="14" t="s">
        <v>80</v>
      </c>
      <c r="S60" s="8"/>
      <c r="T60" s="26">
        <f>SUM(T10:T20)</f>
        <v>28403373</v>
      </c>
      <c r="U60" s="26"/>
      <c r="V60" s="26">
        <f>SUM(V10:V20)</f>
        <v>0</v>
      </c>
      <c r="X60" s="8"/>
    </row>
    <row r="61" spans="1:24" x14ac:dyDescent="0.2">
      <c r="O61" s="14" t="s">
        <v>81</v>
      </c>
      <c r="S61" s="8"/>
      <c r="T61" s="26">
        <f>T9</f>
        <v>24869280</v>
      </c>
      <c r="U61" s="26"/>
      <c r="V61" s="26">
        <f>V9</f>
        <v>0</v>
      </c>
    </row>
    <row r="62" spans="1:24" x14ac:dyDescent="0.2">
      <c r="O62" s="14" t="s">
        <v>82</v>
      </c>
      <c r="S62" s="8"/>
      <c r="T62" s="26">
        <f>SUM(T57:T61)</f>
        <v>5491040419.4742889</v>
      </c>
      <c r="U62" s="26"/>
      <c r="V62" s="26">
        <f>SUM(V57:V61)</f>
        <v>1076016214.5257115</v>
      </c>
    </row>
    <row r="63" spans="1:24" x14ac:dyDescent="0.2">
      <c r="O63" s="14" t="s">
        <v>83</v>
      </c>
      <c r="S63" s="8"/>
      <c r="T63" s="23">
        <f>T62/(T62+V62)</f>
        <v>0.8361493931764209</v>
      </c>
      <c r="U63" s="8"/>
      <c r="V63" s="23">
        <f>V62/(V62+T62)</f>
        <v>0.16385060682357921</v>
      </c>
    </row>
    <row r="64" spans="1:24" x14ac:dyDescent="0.2">
      <c r="A64" s="2"/>
      <c r="B64" s="2"/>
      <c r="C64" s="2"/>
      <c r="D64" s="2"/>
      <c r="E64" s="2"/>
      <c r="F64" s="2"/>
      <c r="G64" s="15"/>
      <c r="H64" s="2"/>
      <c r="I64" s="3"/>
      <c r="J64" s="2"/>
      <c r="K64" s="2"/>
      <c r="L64" s="2"/>
      <c r="M64" s="3"/>
      <c r="N64" s="2"/>
      <c r="O64" s="2"/>
      <c r="P64" s="2"/>
      <c r="Q64" s="4"/>
      <c r="R64" s="20"/>
      <c r="S64" s="2"/>
      <c r="T64" s="3"/>
      <c r="U64" s="2"/>
      <c r="V64" s="3"/>
    </row>
    <row r="66" spans="1:1" x14ac:dyDescent="0.2">
      <c r="A66" s="1" t="s">
        <v>89</v>
      </c>
    </row>
    <row r="67" spans="1:1" x14ac:dyDescent="0.2">
      <c r="A67" s="1" t="s">
        <v>97</v>
      </c>
    </row>
    <row r="68" spans="1:1" x14ac:dyDescent="0.2">
      <c r="A68" s="1" t="s">
        <v>98</v>
      </c>
    </row>
    <row r="69" spans="1:1" x14ac:dyDescent="0.2">
      <c r="A69" s="1" t="s">
        <v>99</v>
      </c>
    </row>
    <row r="71" spans="1:1" x14ac:dyDescent="0.2">
      <c r="A71" s="1" t="s">
        <v>96</v>
      </c>
    </row>
  </sheetData>
  <sortState ref="A9:V54">
    <sortCondition ref="K9:K54"/>
  </sortState>
  <mergeCells count="3">
    <mergeCell ref="A1:V1"/>
    <mergeCell ref="T6:V6"/>
    <mergeCell ref="A2:V2"/>
  </mergeCells>
  <printOptions horizontalCentered="1"/>
  <pageMargins left="0.2" right="0.2" top="0.5" bottom="0.5" header="0.3" footer="0.3"/>
  <pageSetup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Crew</dc:creator>
  <cp:lastModifiedBy>Jenny Dolen</cp:lastModifiedBy>
  <cp:lastPrinted>2017-03-02T20:00:46Z</cp:lastPrinted>
  <dcterms:created xsi:type="dcterms:W3CDTF">2017-02-08T15:40:33Z</dcterms:created>
  <dcterms:modified xsi:type="dcterms:W3CDTF">2017-03-02T20:00:57Z</dcterms:modified>
</cp:coreProperties>
</file>