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0" windowWidth="11355" windowHeight="7680" tabRatio="819"/>
  </bookViews>
  <sheets>
    <sheet name="Contents" sheetId="41" r:id="rId1"/>
    <sheet name="A" sheetId="40" r:id="rId2"/>
    <sheet name="Ap2" sheetId="126" r:id="rId3"/>
    <sheet name="A-1" sheetId="92" r:id="rId4"/>
    <sheet name="B" sheetId="190" r:id="rId5"/>
    <sheet name="B.1" sheetId="46" r:id="rId6"/>
    <sheet name="C" sheetId="14" r:id="rId7"/>
    <sheet name="C.1" sheetId="49" r:id="rId8"/>
    <sheet name="D P1" sheetId="209" r:id="rId9"/>
    <sheet name="D P2 " sheetId="208" r:id="rId10"/>
    <sheet name="D P3" sheetId="192" r:id="rId11"/>
    <sheet name="B-1" sheetId="45" r:id="rId12"/>
    <sheet name="B-2" sheetId="100" r:id="rId13"/>
    <sheet name="B-3" sheetId="44" r:id="rId14"/>
    <sheet name="B-3, P2" sheetId="199" r:id="rId15"/>
    <sheet name="B-4" sheetId="215" r:id="rId16"/>
    <sheet name="C-1 Int.Sync" sheetId="202" r:id="rId17"/>
    <sheet name="C-2 P1" sheetId="198" r:id="rId18"/>
    <sheet name="C-2 P2" sheetId="211" r:id="rId19"/>
    <sheet name="C-2 P3" sheetId="210" r:id="rId20"/>
    <sheet name="C-3 " sheetId="216" r:id="rId21"/>
    <sheet name="C-4" sheetId="55" r:id="rId22"/>
    <sheet name="C-5" sheetId="219" r:id="rId23"/>
    <sheet name="C-6" sheetId="27" r:id="rId24"/>
    <sheet name="C-7" sheetId="29" r:id="rId25"/>
    <sheet name="C-8 P1" sheetId="25" r:id="rId26"/>
    <sheet name="C-8 P2" sheetId="218" r:id="rId27"/>
    <sheet name="C-8 P3" sheetId="217" r:id="rId28"/>
    <sheet name="C-9" sheetId="200" r:id="rId29"/>
    <sheet name="C-11 " sheetId="184" r:id="rId30"/>
    <sheet name="&lt;- Used" sheetId="120" r:id="rId31"/>
    <sheet name="Not Used -&gt;" sheetId="119" r:id="rId32"/>
    <sheet name="AMS-Avg Service Life" sheetId="137" r:id="rId33"/>
    <sheet name="Affiliate P1" sheetId="30" r:id="rId34"/>
    <sheet name="Affiliate P2" sheetId="212" r:id="rId35"/>
    <sheet name="Affiliate P3" sheetId="213" r:id="rId36"/>
    <sheet name="50 BP ROE" sheetId="205" r:id="rId37"/>
    <sheet name="D Base Period" sheetId="36" r:id="rId38"/>
    <sheet name="D Forecasted Period" sheetId="207" r:id="rId39"/>
    <sheet name="D P2 Base Period" sheetId="193" r:id="rId40"/>
    <sheet name="D P2 Forecasted Period" sheetId="206" r:id="rId41"/>
  </sheets>
  <externalReferences>
    <externalReference r:id="rId42"/>
    <externalReference r:id="rId43"/>
  </externalReferences>
  <definedNames>
    <definedName name="_xlnm.Print_Area" localSheetId="1">A!$A$1:$K$28</definedName>
    <definedName name="_xlnm.Print_Area" localSheetId="3">'A-1'!$A$1:$O$40</definedName>
    <definedName name="_xlnm.Print_Area" localSheetId="2">'Ap2'!$A$1:$N$57</definedName>
    <definedName name="_xlnm.Print_Area" localSheetId="5">B.1!$A$1:$J$43</definedName>
    <definedName name="_xlnm.Print_Area" localSheetId="14">'B-3, P2'!$A$1:$J$30</definedName>
    <definedName name="_xlnm.Print_Area" localSheetId="6">'C'!$A$1:$N$41</definedName>
    <definedName name="_xlnm.Print_Area" localSheetId="7">C.1!$E$1:$Q$30</definedName>
    <definedName name="_xlnm.Print_Area" localSheetId="29">'C-11 '!$A$1:$I$36</definedName>
    <definedName name="_xlnm.Print_Area" localSheetId="21">'C-4'!#REF!</definedName>
    <definedName name="_xlnm.Print_Area" localSheetId="0">Contents!$A$1:$D$56</definedName>
    <definedName name="_xlnm.Print_Area" localSheetId="37">'D Base Period'!$A$1:$O$31</definedName>
    <definedName name="_xlnm.Print_Area" localSheetId="38">'D Forecasted Period'!$A$1:$O$34</definedName>
    <definedName name="_xlnm.Print_Area" localSheetId="8">'D P1'!$A$1:$O$33</definedName>
    <definedName name="_xlnm.Print_Area" localSheetId="9">'D P2 '!$A$1:$Z$30</definedName>
    <definedName name="_xlnm.Print_Area" localSheetId="39">'D P2 Base Period'!$A$1:$Y$30</definedName>
    <definedName name="_xlnm.Print_Area" localSheetId="40">'D P2 Forecasted Period'!$A$1:$Y$30</definedName>
    <definedName name="_xlnm.Print_Area" localSheetId="10">'D P3'!$A$1:$U$33</definedName>
    <definedName name="_xlnm.Print_Titles" localSheetId="7">C.1!$A:$D</definedName>
  </definedNames>
  <calcPr calcId="145621" iterate="1"/>
</workbook>
</file>

<file path=xl/calcChain.xml><?xml version="1.0" encoding="utf-8"?>
<calcChain xmlns="http://schemas.openxmlformats.org/spreadsheetml/2006/main">
  <c r="A27" i="199" l="1"/>
  <c r="A28" i="199" s="1"/>
  <c r="G38" i="126" l="1"/>
  <c r="J3" i="46" l="1"/>
  <c r="J1" i="46"/>
  <c r="A14" i="190" l="1"/>
  <c r="L32" i="184" l="1"/>
  <c r="I3" i="184" l="1"/>
  <c r="I1" i="184"/>
  <c r="E32" i="184" l="1"/>
  <c r="E34" i="184" s="1"/>
  <c r="I34" i="184" s="1"/>
  <c r="E20" i="184"/>
  <c r="E22" i="184" s="1"/>
  <c r="I22" i="184" l="1"/>
  <c r="M3" i="100"/>
  <c r="M1" i="100"/>
  <c r="M21" i="100"/>
  <c r="I21" i="100"/>
  <c r="I20" i="100"/>
  <c r="M20" i="100" s="1"/>
  <c r="E29" i="100"/>
  <c r="I32" i="215"/>
  <c r="I28" i="215"/>
  <c r="I22" i="100" l="1"/>
  <c r="I29" i="215"/>
  <c r="I30" i="215" s="1"/>
  <c r="K30" i="192" l="1"/>
  <c r="AC21" i="208" s="1"/>
  <c r="E29" i="192"/>
  <c r="E31" i="192" s="1"/>
  <c r="K28" i="192"/>
  <c r="AC20" i="208" s="1"/>
  <c r="K27" i="192"/>
  <c r="A27" i="192"/>
  <c r="A28" i="192" s="1"/>
  <c r="A29" i="192" s="1"/>
  <c r="A30" i="192" s="1"/>
  <c r="A31" i="192" s="1"/>
  <c r="Q25" i="192"/>
  <c r="Q24" i="192"/>
  <c r="Q23" i="192"/>
  <c r="K31" i="192" l="1"/>
  <c r="AC19" i="208"/>
  <c r="AC22" i="208" s="1"/>
  <c r="A1" i="184" l="1"/>
  <c r="E26" i="184"/>
  <c r="E28" i="184" s="1"/>
  <c r="B31" i="41"/>
  <c r="B30" i="41"/>
  <c r="B29" i="41"/>
  <c r="B27" i="41"/>
  <c r="I28" i="184" l="1"/>
  <c r="I36" i="184" s="1"/>
  <c r="E10" i="184" s="1"/>
  <c r="Q15" i="49" s="1"/>
  <c r="G39" i="126" s="1"/>
  <c r="E36" i="184"/>
  <c r="A23" i="200"/>
  <c r="G42" i="200"/>
  <c r="G21" i="200"/>
  <c r="Q19" i="49" l="1"/>
  <c r="I22" i="199"/>
  <c r="G3" i="200"/>
  <c r="G1" i="200"/>
  <c r="A1" i="200"/>
  <c r="G36" i="200"/>
  <c r="G38" i="200" s="1"/>
  <c r="A24" i="200"/>
  <c r="A25" i="200" s="1"/>
  <c r="A26" i="200" s="1"/>
  <c r="A27" i="200" s="1"/>
  <c r="A28" i="200" s="1"/>
  <c r="A29" i="200" s="1"/>
  <c r="A30" i="200" s="1"/>
  <c r="A31" i="200" s="1"/>
  <c r="A32" i="200" s="1"/>
  <c r="A33" i="200" s="1"/>
  <c r="A34" i="200" s="1"/>
  <c r="A35" i="200" s="1"/>
  <c r="A36" i="200" s="1"/>
  <c r="E45" i="219"/>
  <c r="G42" i="219"/>
  <c r="E42" i="219"/>
  <c r="E27" i="219"/>
  <c r="G22" i="219"/>
  <c r="G21" i="219"/>
  <c r="G20" i="219"/>
  <c r="G27" i="219" s="1"/>
  <c r="A19" i="219"/>
  <c r="A20" i="219" s="1"/>
  <c r="A21" i="219" s="1"/>
  <c r="A22" i="219" s="1"/>
  <c r="A23" i="219" s="1"/>
  <c r="A24" i="219" s="1"/>
  <c r="A27" i="219" s="1"/>
  <c r="A39" i="219" s="1"/>
  <c r="A40" i="219" s="1"/>
  <c r="A42" i="219" s="1"/>
  <c r="A45" i="219" s="1"/>
  <c r="A46" i="219" s="1"/>
  <c r="A47" i="219" s="1"/>
  <c r="E10" i="219"/>
  <c r="G44" i="200" l="1"/>
  <c r="E10" i="200" s="1"/>
  <c r="O15" i="49" s="1"/>
  <c r="E46" i="219"/>
  <c r="E47" i="219" s="1"/>
  <c r="G10" i="219" s="1"/>
  <c r="I10" i="219" s="1"/>
  <c r="K15" i="49" s="1"/>
  <c r="G33" i="126" s="1"/>
  <c r="M12" i="92"/>
  <c r="A37" i="200"/>
  <c r="G37" i="126" l="1"/>
  <c r="I20" i="199"/>
  <c r="O19" i="49"/>
  <c r="K19" i="49"/>
  <c r="I16" i="199"/>
  <c r="A38" i="200"/>
  <c r="A40" i="200" s="1"/>
  <c r="A41" i="200" s="1"/>
  <c r="A42" i="200" s="1"/>
  <c r="A44" i="200" s="1"/>
  <c r="K7" i="49" l="1"/>
  <c r="J7" i="49"/>
  <c r="I7" i="49"/>
  <c r="E12" i="29"/>
  <c r="G3" i="27" l="1"/>
  <c r="G1" i="27"/>
  <c r="A1" i="27"/>
  <c r="E22" i="27"/>
  <c r="E25" i="27" s="1"/>
  <c r="B19" i="41" l="1"/>
  <c r="C21" i="126" s="1"/>
  <c r="E55" i="217"/>
  <c r="E15" i="217" s="1"/>
  <c r="E49" i="218"/>
  <c r="E16" i="218" s="1"/>
  <c r="A16" i="218"/>
  <c r="A17" i="218" s="1"/>
  <c r="A18" i="218" s="1"/>
  <c r="A19" i="218" s="1"/>
  <c r="A22" i="218" s="1"/>
  <c r="A23" i="218" s="1"/>
  <c r="A24" i="218" s="1"/>
  <c r="A25" i="218" s="1"/>
  <c r="A26" i="218" s="1"/>
  <c r="A27" i="218" s="1"/>
  <c r="A28" i="218" s="1"/>
  <c r="A29" i="218" s="1"/>
  <c r="A30" i="218" s="1"/>
  <c r="A31" i="218" s="1"/>
  <c r="A32" i="218" s="1"/>
  <c r="A33" i="218" s="1"/>
  <c r="A35" i="218" s="1"/>
  <c r="A36" i="218" s="1"/>
  <c r="A37" i="218" s="1"/>
  <c r="A39" i="218" s="1"/>
  <c r="A15" i="217"/>
  <c r="A16" i="217" s="1"/>
  <c r="A17" i="217" s="1"/>
  <c r="A18" i="217" s="1"/>
  <c r="A19" i="217" s="1"/>
  <c r="A20" i="217" s="1"/>
  <c r="A23" i="217" s="1"/>
  <c r="A24" i="217" s="1"/>
  <c r="A25" i="217" s="1"/>
  <c r="A26" i="217" s="1"/>
  <c r="A27" i="217" s="1"/>
  <c r="A28" i="217" s="1"/>
  <c r="A29" i="217" s="1"/>
  <c r="A30" i="217" s="1"/>
  <c r="A31" i="217" s="1"/>
  <c r="A32" i="217" s="1"/>
  <c r="A33" i="217" s="1"/>
  <c r="A34" i="217" s="1"/>
  <c r="A35" i="217" s="1"/>
  <c r="A36" i="217" s="1"/>
  <c r="A37" i="217" s="1"/>
  <c r="A39" i="217" s="1"/>
  <c r="A40" i="217" s="1"/>
  <c r="A41" i="217" s="1"/>
  <c r="A42" i="217" s="1"/>
  <c r="A43" i="217" s="1"/>
  <c r="A45" i="217" s="1"/>
  <c r="I3" i="25"/>
  <c r="I1" i="25"/>
  <c r="I39" i="217"/>
  <c r="I41" i="217" s="1"/>
  <c r="I43" i="217" s="1"/>
  <c r="G17" i="25" s="1"/>
  <c r="I32" i="217"/>
  <c r="I31" i="217"/>
  <c r="I30" i="217"/>
  <c r="I29" i="217"/>
  <c r="I28" i="217"/>
  <c r="I27" i="217"/>
  <c r="I26" i="217"/>
  <c r="I25" i="217"/>
  <c r="I24" i="217"/>
  <c r="I23" i="217"/>
  <c r="I14" i="217"/>
  <c r="I3" i="217"/>
  <c r="I1" i="217"/>
  <c r="I35" i="218"/>
  <c r="I37" i="218" s="1"/>
  <c r="E17" i="25" s="1"/>
  <c r="I30" i="218"/>
  <c r="I29" i="218"/>
  <c r="I28" i="218"/>
  <c r="I27" i="218"/>
  <c r="I26" i="218"/>
  <c r="I25" i="218"/>
  <c r="I24" i="218"/>
  <c r="I23" i="218"/>
  <c r="I22" i="218"/>
  <c r="I15" i="218"/>
  <c r="I17" i="25" l="1"/>
  <c r="N18" i="49" s="1"/>
  <c r="I33" i="217"/>
  <c r="I35" i="217" s="1"/>
  <c r="I37" i="217" s="1"/>
  <c r="G14" i="25" s="1"/>
  <c r="I31" i="218"/>
  <c r="I33" i="218" s="1"/>
  <c r="E14" i="25" s="1"/>
  <c r="I14" i="25" l="1"/>
  <c r="I3" i="218"/>
  <c r="I1" i="218"/>
  <c r="E41" i="217"/>
  <c r="E43" i="217" s="1"/>
  <c r="E33" i="217"/>
  <c r="E35" i="217" s="1"/>
  <c r="E37" i="217" s="1"/>
  <c r="A1" i="217"/>
  <c r="E37" i="218"/>
  <c r="E31" i="218"/>
  <c r="E33" i="218" s="1"/>
  <c r="A1" i="218"/>
  <c r="E16" i="217" l="1"/>
  <c r="E18" i="217" s="1"/>
  <c r="E20" i="217" s="1"/>
  <c r="E45" i="217" s="1"/>
  <c r="I15" i="217"/>
  <c r="I16" i="217" s="1"/>
  <c r="I18" i="217" s="1"/>
  <c r="E17" i="218"/>
  <c r="E19" i="218" s="1"/>
  <c r="E39" i="218" s="1"/>
  <c r="I16" i="218"/>
  <c r="I17" i="218" s="1"/>
  <c r="I19" i="218" s="1"/>
  <c r="I20" i="217" l="1"/>
  <c r="E13" i="25"/>
  <c r="E15" i="25" s="1"/>
  <c r="I39" i="218"/>
  <c r="I45" i="217" l="1"/>
  <c r="G13" i="25"/>
  <c r="G15" i="25" s="1"/>
  <c r="I13" i="25" l="1"/>
  <c r="I15" i="25" s="1"/>
  <c r="N15" i="49" s="1"/>
  <c r="G36" i="126" s="1"/>
  <c r="E29" i="215"/>
  <c r="E30" i="215" s="1"/>
  <c r="I3" i="215"/>
  <c r="I1" i="215"/>
  <c r="E37" i="46"/>
  <c r="E32" i="46"/>
  <c r="E30" i="46"/>
  <c r="E29" i="46"/>
  <c r="E28" i="46"/>
  <c r="E22" i="46"/>
  <c r="E20" i="46"/>
  <c r="E13" i="46"/>
  <c r="N19" i="49" l="1"/>
  <c r="I19" i="199"/>
  <c r="E14" i="215"/>
  <c r="J21" i="46" s="1"/>
  <c r="E21" i="46" s="1"/>
  <c r="E12" i="215"/>
  <c r="E16" i="215" l="1"/>
  <c r="J17" i="46"/>
  <c r="E17" i="46" l="1"/>
  <c r="G18" i="190" s="1"/>
  <c r="I18" i="190" s="1"/>
  <c r="J33" i="46"/>
  <c r="J23" i="46"/>
  <c r="J15" i="46"/>
  <c r="E11" i="190"/>
  <c r="K33" i="216"/>
  <c r="E13" i="216" s="1"/>
  <c r="I16" i="49" s="1"/>
  <c r="K28" i="216"/>
  <c r="K27" i="216"/>
  <c r="K26" i="216"/>
  <c r="K25" i="216"/>
  <c r="K29" i="216" l="1"/>
  <c r="E11" i="216" s="1"/>
  <c r="I15" i="49" s="1"/>
  <c r="G31" i="126" s="1"/>
  <c r="J25" i="46"/>
  <c r="J35" i="46" s="1"/>
  <c r="J39" i="46" s="1"/>
  <c r="G29" i="216"/>
  <c r="K3" i="216"/>
  <c r="K1" i="216"/>
  <c r="A1" i="216"/>
  <c r="A1" i="215"/>
  <c r="I19" i="49" l="1"/>
  <c r="I14" i="199"/>
  <c r="I21" i="126"/>
  <c r="E56" i="192"/>
  <c r="K3" i="29"/>
  <c r="K1" i="29"/>
  <c r="G28" i="29"/>
  <c r="K28" i="29" s="1"/>
  <c r="G27" i="29"/>
  <c r="K27" i="29" s="1"/>
  <c r="G22" i="100"/>
  <c r="M15" i="192" l="1"/>
  <c r="M14" i="192"/>
  <c r="M13" i="192"/>
  <c r="K29" i="29"/>
  <c r="E11" i="29" s="1"/>
  <c r="G29" i="29"/>
  <c r="M22" i="100"/>
  <c r="E28" i="100" s="1"/>
  <c r="E30" i="100" s="1"/>
  <c r="E31" i="100" s="1"/>
  <c r="M16" i="192" l="1"/>
  <c r="E57" i="192" s="1"/>
  <c r="E58" i="192" s="1"/>
  <c r="E13" i="29"/>
  <c r="M23" i="100"/>
  <c r="M24" i="100" s="1"/>
  <c r="E11" i="100" s="1"/>
  <c r="E15" i="29" l="1"/>
  <c r="M16" i="49" s="1"/>
  <c r="H10" i="46"/>
  <c r="K3" i="30"/>
  <c r="K1" i="30"/>
  <c r="M19" i="49" l="1"/>
  <c r="G35" i="126"/>
  <c r="O44" i="212"/>
  <c r="Q10" i="213"/>
  <c r="O39" i="212" s="1"/>
  <c r="K24" i="213"/>
  <c r="K23" i="213"/>
  <c r="K22" i="213"/>
  <c r="K21" i="213"/>
  <c r="K20" i="213"/>
  <c r="Q14" i="213"/>
  <c r="O62" i="212" s="1"/>
  <c r="Q13" i="213"/>
  <c r="O61" i="212" s="1"/>
  <c r="Q12" i="213"/>
  <c r="O48" i="212" s="1"/>
  <c r="Q11" i="213"/>
  <c r="Q3" i="213"/>
  <c r="Q1" i="213"/>
  <c r="A1" i="213"/>
  <c r="I69" i="212" l="1"/>
  <c r="G69" i="212"/>
  <c r="K68" i="212"/>
  <c r="O68" i="212" s="1"/>
  <c r="K67" i="212"/>
  <c r="O67" i="212" s="1"/>
  <c r="K66" i="212"/>
  <c r="O66" i="212" s="1"/>
  <c r="K65" i="212"/>
  <c r="O65" i="212" s="1"/>
  <c r="K64" i="212"/>
  <c r="O64" i="212" s="1"/>
  <c r="K63" i="212"/>
  <c r="O63" i="212"/>
  <c r="K62" i="212"/>
  <c r="M62" i="212" s="1"/>
  <c r="G15" i="30" s="1"/>
  <c r="K15" i="30" s="1"/>
  <c r="K61" i="212"/>
  <c r="M61" i="212" s="1"/>
  <c r="G14" i="30" s="1"/>
  <c r="K14" i="30" s="1"/>
  <c r="K60" i="212"/>
  <c r="O60" i="212" s="1"/>
  <c r="K59" i="212"/>
  <c r="O59" i="212" s="1"/>
  <c r="K58" i="212"/>
  <c r="K57" i="212"/>
  <c r="K56" i="212"/>
  <c r="O56" i="212" s="1"/>
  <c r="K55" i="212"/>
  <c r="O55" i="212" s="1"/>
  <c r="K54" i="212"/>
  <c r="K53" i="212"/>
  <c r="K52" i="212"/>
  <c r="K51" i="212"/>
  <c r="O51" i="212" s="1"/>
  <c r="K50" i="212"/>
  <c r="O50" i="212" s="1"/>
  <c r="K49" i="212"/>
  <c r="O49" i="212" s="1"/>
  <c r="K48" i="212"/>
  <c r="M48" i="212" s="1"/>
  <c r="G13" i="30" s="1"/>
  <c r="K13" i="30" s="1"/>
  <c r="M15" i="212"/>
  <c r="I15" i="212"/>
  <c r="G15" i="212"/>
  <c r="O58" i="212"/>
  <c r="O57" i="212"/>
  <c r="O53" i="212"/>
  <c r="O52" i="212"/>
  <c r="K47" i="212"/>
  <c r="O47" i="212" s="1"/>
  <c r="K46" i="212"/>
  <c r="O46" i="212" s="1"/>
  <c r="K45" i="212"/>
  <c r="O45" i="212" s="1"/>
  <c r="K44" i="212"/>
  <c r="M44" i="212" s="1"/>
  <c r="G12" i="30" s="1"/>
  <c r="K12" i="30" s="1"/>
  <c r="K43" i="212"/>
  <c r="O43" i="212" s="1"/>
  <c r="K42" i="212"/>
  <c r="O42" i="212" s="1"/>
  <c r="K41" i="212"/>
  <c r="O41" i="212" s="1"/>
  <c r="K40" i="212"/>
  <c r="O40" i="212" s="1"/>
  <c r="K39" i="212"/>
  <c r="M39" i="212" s="1"/>
  <c r="G11" i="30" s="1"/>
  <c r="K38" i="212"/>
  <c r="O38" i="212" s="1"/>
  <c r="K37" i="212"/>
  <c r="O37" i="212" s="1"/>
  <c r="K36" i="212"/>
  <c r="O36" i="212" s="1"/>
  <c r="K35" i="212"/>
  <c r="O35" i="212" s="1"/>
  <c r="K34" i="212"/>
  <c r="O34" i="212" s="1"/>
  <c r="K33" i="212"/>
  <c r="O33" i="212" s="1"/>
  <c r="K32" i="212"/>
  <c r="O32" i="212" s="1"/>
  <c r="K31" i="212"/>
  <c r="O31" i="212" s="1"/>
  <c r="K30" i="212"/>
  <c r="O30" i="212" s="1"/>
  <c r="K29" i="212"/>
  <c r="O29" i="212" s="1"/>
  <c r="K28" i="212"/>
  <c r="O28" i="212" s="1"/>
  <c r="K27" i="212"/>
  <c r="O27" i="212" s="1"/>
  <c r="K26" i="212"/>
  <c r="O26" i="212" s="1"/>
  <c r="K25" i="212"/>
  <c r="O25" i="212" s="1"/>
  <c r="K24" i="212"/>
  <c r="O24" i="212" s="1"/>
  <c r="K23" i="212"/>
  <c r="O23" i="212" s="1"/>
  <c r="K22" i="212"/>
  <c r="O22" i="212" s="1"/>
  <c r="K21" i="212"/>
  <c r="O21" i="212" s="1"/>
  <c r="K20" i="212"/>
  <c r="O20" i="212" s="1"/>
  <c r="K19" i="212"/>
  <c r="O19" i="212" s="1"/>
  <c r="K18" i="212"/>
  <c r="O18" i="212" s="1"/>
  <c r="K14" i="212"/>
  <c r="O14" i="212" s="1"/>
  <c r="K13" i="212"/>
  <c r="O13" i="212" s="1"/>
  <c r="K12" i="212"/>
  <c r="O12" i="212" s="1"/>
  <c r="K11" i="212"/>
  <c r="O11" i="212" s="1"/>
  <c r="K10" i="212"/>
  <c r="A11" i="212"/>
  <c r="A12" i="212" s="1"/>
  <c r="A13" i="212" s="1"/>
  <c r="A14" i="212" s="1"/>
  <c r="A15" i="212" s="1"/>
  <c r="O3" i="212"/>
  <c r="O1" i="212"/>
  <c r="A1" i="212"/>
  <c r="E14" i="55"/>
  <c r="E16" i="55" s="1"/>
  <c r="J15" i="49" s="1"/>
  <c r="G32" i="126" s="1"/>
  <c r="J19" i="49" l="1"/>
  <c r="I15" i="199"/>
  <c r="K15" i="212"/>
  <c r="A18" i="212"/>
  <c r="A19" i="212" s="1"/>
  <c r="A20" i="212" s="1"/>
  <c r="A21" i="212" s="1"/>
  <c r="A22" i="212" s="1"/>
  <c r="A23" i="212" s="1"/>
  <c r="A24" i="212" s="1"/>
  <c r="A25" i="212" s="1"/>
  <c r="A26" i="212" s="1"/>
  <c r="A27" i="212" s="1"/>
  <c r="A28" i="212" s="1"/>
  <c r="A29" i="212" s="1"/>
  <c r="A30" i="212" s="1"/>
  <c r="A31" i="212" s="1"/>
  <c r="A32" i="212" s="1"/>
  <c r="A33" i="212" s="1"/>
  <c r="A34" i="212" s="1"/>
  <c r="A35" i="212" s="1"/>
  <c r="A36" i="212" s="1"/>
  <c r="A37" i="212" s="1"/>
  <c r="A38" i="212" s="1"/>
  <c r="A39" i="212" s="1"/>
  <c r="A40" i="212" s="1"/>
  <c r="A41" i="212" s="1"/>
  <c r="A42" i="212" s="1"/>
  <c r="A43" i="212" s="1"/>
  <c r="A44" i="212" s="1"/>
  <c r="A45" i="212" s="1"/>
  <c r="A46" i="212" s="1"/>
  <c r="A47" i="212" s="1"/>
  <c r="A48" i="212" s="1"/>
  <c r="A49" i="212" s="1"/>
  <c r="A50" i="212" s="1"/>
  <c r="A51" i="212" s="1"/>
  <c r="A52" i="212" s="1"/>
  <c r="A53" i="212" s="1"/>
  <c r="A54" i="212" s="1"/>
  <c r="A55" i="212" s="1"/>
  <c r="A56" i="212" s="1"/>
  <c r="A57" i="212" s="1"/>
  <c r="A58" i="212" s="1"/>
  <c r="A59" i="212" s="1"/>
  <c r="A60" i="212" s="1"/>
  <c r="A61" i="212" s="1"/>
  <c r="A62" i="212" s="1"/>
  <c r="A63" i="212" s="1"/>
  <c r="A64" i="212" s="1"/>
  <c r="A65" i="212" s="1"/>
  <c r="A66" i="212" s="1"/>
  <c r="A67" i="212" s="1"/>
  <c r="A68" i="212" s="1"/>
  <c r="A69" i="212" s="1"/>
  <c r="O10" i="212"/>
  <c r="O15" i="212" s="1"/>
  <c r="K69" i="212"/>
  <c r="M69" i="212"/>
  <c r="G16" i="30"/>
  <c r="K11" i="30"/>
  <c r="K16" i="30" s="1"/>
  <c r="O54" i="212"/>
  <c r="O69" i="212" s="1"/>
  <c r="E62" i="211"/>
  <c r="G61" i="211" s="1"/>
  <c r="K3" i="211"/>
  <c r="K1" i="211"/>
  <c r="E51" i="211"/>
  <c r="I50" i="211"/>
  <c r="I49" i="211"/>
  <c r="I48" i="211"/>
  <c r="I47" i="211"/>
  <c r="I46" i="211"/>
  <c r="I45" i="211"/>
  <c r="I44" i="211"/>
  <c r="I43" i="211"/>
  <c r="I42" i="211"/>
  <c r="I41" i="211"/>
  <c r="I40" i="211"/>
  <c r="I39" i="211"/>
  <c r="I38" i="211"/>
  <c r="I37" i="211"/>
  <c r="I36" i="211"/>
  <c r="I35" i="211"/>
  <c r="I34" i="211"/>
  <c r="I33" i="211"/>
  <c r="I32" i="211"/>
  <c r="I31" i="211"/>
  <c r="I30" i="211"/>
  <c r="I29" i="211"/>
  <c r="I28" i="211"/>
  <c r="I27" i="211"/>
  <c r="I26" i="211"/>
  <c r="I25" i="211"/>
  <c r="I24" i="211"/>
  <c r="I23" i="211"/>
  <c r="I22" i="211"/>
  <c r="I21" i="211"/>
  <c r="I20" i="211"/>
  <c r="I19" i="211"/>
  <c r="I18" i="211"/>
  <c r="I17" i="211"/>
  <c r="I16" i="211"/>
  <c r="I15" i="211"/>
  <c r="I14" i="211"/>
  <c r="I13" i="211"/>
  <c r="I12" i="211"/>
  <c r="I11" i="211"/>
  <c r="A12" i="211"/>
  <c r="A13" i="211" s="1"/>
  <c r="A14" i="211" s="1"/>
  <c r="A15" i="211" s="1"/>
  <c r="A16" i="211" s="1"/>
  <c r="A17" i="211" s="1"/>
  <c r="A18" i="211" s="1"/>
  <c r="A19" i="211" s="1"/>
  <c r="A20" i="211" s="1"/>
  <c r="A21" i="211" s="1"/>
  <c r="A22" i="211" s="1"/>
  <c r="A23" i="211" s="1"/>
  <c r="A24" i="211" s="1"/>
  <c r="A25" i="211" s="1"/>
  <c r="A26" i="211" s="1"/>
  <c r="A27" i="211" s="1"/>
  <c r="A28" i="211" s="1"/>
  <c r="A29" i="211" s="1"/>
  <c r="A30" i="211" s="1"/>
  <c r="A31" i="211" s="1"/>
  <c r="A32" i="211" s="1"/>
  <c r="A33" i="211" s="1"/>
  <c r="A34" i="211" s="1"/>
  <c r="A35" i="211" s="1"/>
  <c r="A36" i="211" s="1"/>
  <c r="A37" i="211" s="1"/>
  <c r="A38" i="211" l="1"/>
  <c r="A39" i="211" s="1"/>
  <c r="A40" i="211" s="1"/>
  <c r="A41" i="211" s="1"/>
  <c r="A42" i="211" s="1"/>
  <c r="A43" i="211" s="1"/>
  <c r="A44" i="211" s="1"/>
  <c r="A45" i="211" s="1"/>
  <c r="A46" i="211" s="1"/>
  <c r="A47" i="211" s="1"/>
  <c r="A48" i="211" s="1"/>
  <c r="A49" i="211" s="1"/>
  <c r="A50" i="211" s="1"/>
  <c r="A51" i="211" s="1"/>
  <c r="A59" i="211" s="1"/>
  <c r="A60" i="211" s="1"/>
  <c r="A61" i="211" s="1"/>
  <c r="A62" i="211" s="1"/>
  <c r="G60" i="211"/>
  <c r="G59" i="211"/>
  <c r="I51" i="211"/>
  <c r="I60" i="211" l="1"/>
  <c r="E20" i="198" s="1"/>
  <c r="I61" i="211"/>
  <c r="E21" i="198" s="1"/>
  <c r="I59" i="211"/>
  <c r="E19" i="198" s="1"/>
  <c r="I63" i="137"/>
  <c r="E63" i="137"/>
  <c r="I62" i="137"/>
  <c r="E62" i="137"/>
  <c r="I61" i="137"/>
  <c r="E61" i="137"/>
  <c r="I60" i="137"/>
  <c r="E60" i="137"/>
  <c r="I59" i="137"/>
  <c r="E59" i="137"/>
  <c r="I58" i="137"/>
  <c r="E58" i="137"/>
  <c r="I57" i="137"/>
  <c r="E57" i="137"/>
  <c r="I56" i="137"/>
  <c r="E56" i="137"/>
  <c r="I55" i="137"/>
  <c r="E55" i="137"/>
  <c r="I54" i="137"/>
  <c r="E54" i="137"/>
  <c r="I53" i="137"/>
  <c r="E53" i="137"/>
  <c r="I52" i="137"/>
  <c r="E52" i="137"/>
  <c r="K47" i="137"/>
  <c r="G47" i="137"/>
  <c r="I17" i="137" s="1"/>
  <c r="K17" i="137" s="1"/>
  <c r="M46" i="137"/>
  <c r="M45" i="137"/>
  <c r="M44" i="137"/>
  <c r="M43" i="137"/>
  <c r="M42" i="137"/>
  <c r="M41" i="137"/>
  <c r="M40" i="137"/>
  <c r="M39" i="137"/>
  <c r="M38" i="137"/>
  <c r="M37" i="137"/>
  <c r="M36" i="137"/>
  <c r="M35" i="137"/>
  <c r="G33" i="137"/>
  <c r="K33" i="137" s="1"/>
  <c r="I18" i="137"/>
  <c r="K18" i="137" s="1"/>
  <c r="A13" i="137"/>
  <c r="A14" i="137" s="1"/>
  <c r="A17" i="137" s="1"/>
  <c r="A18" i="137" s="1"/>
  <c r="K11" i="137"/>
  <c r="G50" i="137" s="1"/>
  <c r="K19" i="137" l="1"/>
  <c r="K21" i="137" s="1"/>
  <c r="M18" i="137"/>
  <c r="M47" i="137"/>
  <c r="A19" i="137"/>
  <c r="A20" i="137" s="1"/>
  <c r="A21" i="137" s="1"/>
  <c r="A33" i="137" s="1"/>
  <c r="A35" i="137" s="1"/>
  <c r="A36" i="137" s="1"/>
  <c r="A37" i="137" s="1"/>
  <c r="A38" i="137" s="1"/>
  <c r="A39" i="137" s="1"/>
  <c r="A40" i="137" s="1"/>
  <c r="A41" i="137" s="1"/>
  <c r="A42" i="137" s="1"/>
  <c r="A43" i="137" s="1"/>
  <c r="A44" i="137" s="1"/>
  <c r="A45" i="137" s="1"/>
  <c r="A46" i="137" s="1"/>
  <c r="A47" i="137" s="1"/>
  <c r="A50" i="137" s="1"/>
  <c r="A52" i="137" s="1"/>
  <c r="A53" i="137" s="1"/>
  <c r="A54" i="137" s="1"/>
  <c r="A55" i="137" s="1"/>
  <c r="A56" i="137" s="1"/>
  <c r="A57" i="137" s="1"/>
  <c r="A58" i="137" s="1"/>
  <c r="A59" i="137" s="1"/>
  <c r="A60" i="137" s="1"/>
  <c r="A61" i="137" s="1"/>
  <c r="A62" i="137" s="1"/>
  <c r="A63" i="137" s="1"/>
  <c r="A64" i="137" s="1"/>
  <c r="I19" i="137"/>
  <c r="I21" i="137" s="1"/>
  <c r="M21" i="137" s="1"/>
  <c r="M17" i="137"/>
  <c r="G61" i="137"/>
  <c r="K50" i="137"/>
  <c r="K59" i="137" s="1"/>
  <c r="G63" i="137"/>
  <c r="G59" i="137"/>
  <c r="G57" i="137"/>
  <c r="G55" i="137"/>
  <c r="G53" i="137"/>
  <c r="T45" i="137"/>
  <c r="U45" i="137" s="1"/>
  <c r="T43" i="137"/>
  <c r="U43" i="137" s="1"/>
  <c r="T41" i="137"/>
  <c r="U41" i="137" s="1"/>
  <c r="T39" i="137"/>
  <c r="U39" i="137" s="1"/>
  <c r="T37" i="137"/>
  <c r="U37" i="137" s="1"/>
  <c r="T35" i="137"/>
  <c r="T46" i="137"/>
  <c r="U46" i="137" s="1"/>
  <c r="T44" i="137"/>
  <c r="U44" i="137" s="1"/>
  <c r="T42" i="137"/>
  <c r="U42" i="137" s="1"/>
  <c r="T40" i="137"/>
  <c r="U40" i="137" s="1"/>
  <c r="T36" i="137"/>
  <c r="U36" i="137" s="1"/>
  <c r="T38" i="137"/>
  <c r="U38" i="137" s="1"/>
  <c r="G52" i="137"/>
  <c r="G54" i="137"/>
  <c r="G56" i="137"/>
  <c r="G58" i="137"/>
  <c r="G60" i="137"/>
  <c r="G62" i="137"/>
  <c r="Q37" i="137"/>
  <c r="R37" i="137" s="1"/>
  <c r="Q43" i="137"/>
  <c r="R43" i="137" s="1"/>
  <c r="Q45" i="137"/>
  <c r="R45" i="137" s="1"/>
  <c r="Q35" i="137"/>
  <c r="Q39" i="137"/>
  <c r="R39" i="137" s="1"/>
  <c r="Q41" i="137"/>
  <c r="R41" i="137" s="1"/>
  <c r="Q36" i="137"/>
  <c r="R36" i="137" s="1"/>
  <c r="Q38" i="137"/>
  <c r="R38" i="137" s="1"/>
  <c r="Q40" i="137"/>
  <c r="R40" i="137" s="1"/>
  <c r="Q42" i="137"/>
  <c r="R42" i="137" s="1"/>
  <c r="Q44" i="137"/>
  <c r="R44" i="137" s="1"/>
  <c r="Q46" i="137"/>
  <c r="R46" i="137" s="1"/>
  <c r="U35" i="137" l="1"/>
  <c r="T47" i="137"/>
  <c r="R35" i="137"/>
  <c r="Q47" i="137"/>
  <c r="R47" i="137" s="1"/>
  <c r="K52" i="137"/>
  <c r="M52" i="137" s="1"/>
  <c r="K62" i="137"/>
  <c r="M62" i="137" s="1"/>
  <c r="K60" i="137"/>
  <c r="K58" i="137"/>
  <c r="M58" i="137" s="1"/>
  <c r="K56" i="137"/>
  <c r="M56" i="137" s="1"/>
  <c r="K54" i="137"/>
  <c r="M54" i="137" s="1"/>
  <c r="G64" i="137"/>
  <c r="K61" i="137"/>
  <c r="M61" i="137" s="1"/>
  <c r="K53" i="137"/>
  <c r="M53" i="137" s="1"/>
  <c r="K63" i="137"/>
  <c r="M63" i="137" s="1"/>
  <c r="K55" i="137"/>
  <c r="M55" i="137" s="1"/>
  <c r="M60" i="137"/>
  <c r="M59" i="137"/>
  <c r="K57" i="137"/>
  <c r="M57" i="137" s="1"/>
  <c r="K18" i="210"/>
  <c r="L17" i="210" s="1"/>
  <c r="H18" i="210"/>
  <c r="I17" i="210" s="1"/>
  <c r="E18" i="210"/>
  <c r="F17" i="210" s="1"/>
  <c r="G3" i="198"/>
  <c r="G1" i="198"/>
  <c r="L12" i="210" l="1"/>
  <c r="L14" i="210"/>
  <c r="L16" i="210"/>
  <c r="L13" i="210"/>
  <c r="L15" i="210"/>
  <c r="I12" i="210"/>
  <c r="I13" i="210"/>
  <c r="I14" i="210"/>
  <c r="I15" i="210"/>
  <c r="I16" i="210"/>
  <c r="F13" i="210"/>
  <c r="F15" i="210"/>
  <c r="F12" i="210"/>
  <c r="F14" i="210"/>
  <c r="F16" i="210"/>
  <c r="K64" i="137"/>
  <c r="M64" i="137"/>
  <c r="A1" i="44"/>
  <c r="H18" i="44"/>
  <c r="I14" i="44"/>
  <c r="E18" i="44"/>
  <c r="E20" i="44" s="1"/>
  <c r="A14" i="44"/>
  <c r="B25" i="41"/>
  <c r="C12" i="199" s="1"/>
  <c r="O12" i="92"/>
  <c r="E35" i="92" s="1"/>
  <c r="M14" i="92"/>
  <c r="M13" i="92"/>
  <c r="O13" i="92" s="1"/>
  <c r="E36" i="92" s="1"/>
  <c r="M11" i="92"/>
  <c r="M15" i="92" s="1"/>
  <c r="M16" i="92" s="1"/>
  <c r="O16" i="92" s="1"/>
  <c r="E37" i="92" s="1"/>
  <c r="K13" i="92"/>
  <c r="K12" i="92"/>
  <c r="K11" i="92"/>
  <c r="I15" i="92"/>
  <c r="I16" i="92" s="1"/>
  <c r="K16" i="92" s="1"/>
  <c r="K15" i="92" l="1"/>
  <c r="K18" i="92" s="1"/>
  <c r="K19" i="92" s="1"/>
  <c r="K20" i="92" s="1"/>
  <c r="K22" i="92" s="1"/>
  <c r="F18" i="210"/>
  <c r="L18" i="210"/>
  <c r="O11" i="92"/>
  <c r="O15" i="92" s="1"/>
  <c r="O18" i="92" s="1"/>
  <c r="I18" i="210"/>
  <c r="M13" i="209" l="1"/>
  <c r="K46" i="126"/>
  <c r="G15" i="40"/>
  <c r="O19" i="92"/>
  <c r="E38" i="92" s="1"/>
  <c r="G14" i="202"/>
  <c r="A11" i="202"/>
  <c r="A12" i="202" s="1"/>
  <c r="A14" i="202" s="1"/>
  <c r="A15" i="202" s="1"/>
  <c r="O20" i="92" l="1"/>
  <c r="E39" i="92" l="1"/>
  <c r="O22" i="92"/>
  <c r="K12" i="126" s="1"/>
  <c r="K14" i="45"/>
  <c r="I14" i="45"/>
  <c r="G13" i="45"/>
  <c r="G15" i="45" s="1"/>
  <c r="G24" i="45" s="1"/>
  <c r="G34" i="45" s="1"/>
  <c r="E13" i="45"/>
  <c r="E15" i="45" s="1"/>
  <c r="E24" i="45" s="1"/>
  <c r="E34" i="45" s="1"/>
  <c r="I10" i="45"/>
  <c r="M10" i="45" s="1"/>
  <c r="M13" i="45" s="1"/>
  <c r="I13" i="45" l="1"/>
  <c r="I15" i="45" s="1"/>
  <c r="I24" i="45" s="1"/>
  <c r="M14" i="45"/>
  <c r="O14" i="45" s="1"/>
  <c r="I15" i="40"/>
  <c r="M19" i="209"/>
  <c r="K45" i="126"/>
  <c r="M15" i="45"/>
  <c r="M24" i="45" s="1"/>
  <c r="O10" i="45"/>
  <c r="O13" i="45" l="1"/>
  <c r="O15" i="45" s="1"/>
  <c r="O24" i="45" s="1"/>
  <c r="E24" i="27"/>
  <c r="E26" i="27" s="1"/>
  <c r="E10" i="27" s="1"/>
  <c r="E12" i="27" l="1"/>
  <c r="L16" i="49" s="1"/>
  <c r="E16" i="49" s="1"/>
  <c r="G18" i="14" s="1"/>
  <c r="I18" i="14" s="1"/>
  <c r="M18" i="14" s="1"/>
  <c r="G10" i="46"/>
  <c r="E10" i="46" s="1"/>
  <c r="G13" i="14"/>
  <c r="I13" i="14" s="1"/>
  <c r="M13" i="14" s="1"/>
  <c r="I22" i="49"/>
  <c r="G14" i="199" s="1"/>
  <c r="J22" i="49"/>
  <c r="G15" i="199" s="1"/>
  <c r="K22" i="49"/>
  <c r="G16" i="199" s="1"/>
  <c r="M22" i="49"/>
  <c r="G18" i="199" s="1"/>
  <c r="N22" i="49"/>
  <c r="G19" i="199" s="1"/>
  <c r="O22" i="49"/>
  <c r="G20" i="199" s="1"/>
  <c r="P22" i="49"/>
  <c r="G21" i="199" s="1"/>
  <c r="Q22" i="49"/>
  <c r="G22" i="199" s="1"/>
  <c r="E21" i="49"/>
  <c r="G23" i="14" s="1"/>
  <c r="I23" i="14" s="1"/>
  <c r="M23" i="14" s="1"/>
  <c r="E20" i="49"/>
  <c r="G22" i="14" s="1"/>
  <c r="I22" i="14" s="1"/>
  <c r="M22" i="14" s="1"/>
  <c r="E17" i="36"/>
  <c r="I17" i="36"/>
  <c r="E18" i="36"/>
  <c r="I18" i="36"/>
  <c r="G38" i="190"/>
  <c r="I38" i="190" s="1"/>
  <c r="G33" i="46"/>
  <c r="H33" i="46"/>
  <c r="G23" i="46"/>
  <c r="H23" i="46"/>
  <c r="I23" i="46"/>
  <c r="F36" i="190"/>
  <c r="H36" i="190"/>
  <c r="G31" i="190"/>
  <c r="I31" i="190" s="1"/>
  <c r="G33" i="190"/>
  <c r="I33" i="190" s="1"/>
  <c r="G29" i="190"/>
  <c r="E11" i="49"/>
  <c r="E17" i="49"/>
  <c r="G19" i="14" s="1"/>
  <c r="I19" i="14" s="1"/>
  <c r="M19" i="14" s="1"/>
  <c r="I19" i="209"/>
  <c r="AF21" i="208" s="1"/>
  <c r="AG21" i="208" s="1"/>
  <c r="I17" i="209"/>
  <c r="AF19" i="208" s="1"/>
  <c r="AG19" i="208" s="1"/>
  <c r="I18" i="209"/>
  <c r="AF20" i="208" s="1"/>
  <c r="AG20" i="208" s="1"/>
  <c r="O22" i="193"/>
  <c r="G22" i="193"/>
  <c r="O22" i="206"/>
  <c r="G22" i="206"/>
  <c r="O22" i="208"/>
  <c r="G22" i="208"/>
  <c r="I19" i="208"/>
  <c r="M19" i="208" s="1"/>
  <c r="Q19" i="208" s="1"/>
  <c r="I20" i="208"/>
  <c r="M20" i="208" s="1"/>
  <c r="I21" i="208"/>
  <c r="M21" i="208"/>
  <c r="Q21" i="208" s="1"/>
  <c r="I11" i="209"/>
  <c r="I12" i="209"/>
  <c r="I13" i="209"/>
  <c r="E24" i="14"/>
  <c r="I16" i="14"/>
  <c r="I13" i="207"/>
  <c r="I12" i="207"/>
  <c r="I11" i="207"/>
  <c r="E11" i="207"/>
  <c r="E12" i="207"/>
  <c r="E13" i="207"/>
  <c r="I19" i="206"/>
  <c r="I20" i="206"/>
  <c r="M20" i="206" s="1"/>
  <c r="Q20" i="206" s="1"/>
  <c r="I21" i="206"/>
  <c r="M21" i="206" s="1"/>
  <c r="Q21" i="206" s="1"/>
  <c r="I17" i="207"/>
  <c r="I19" i="207"/>
  <c r="I18" i="207"/>
  <c r="E19" i="207"/>
  <c r="E18" i="207"/>
  <c r="E17" i="207"/>
  <c r="G30" i="190"/>
  <c r="I30" i="190" s="1"/>
  <c r="G23" i="190"/>
  <c r="G22" i="190"/>
  <c r="I22" i="190" s="1"/>
  <c r="A12" i="46"/>
  <c r="A13" i="46"/>
  <c r="A15" i="46" s="1"/>
  <c r="I19" i="193"/>
  <c r="M19" i="193"/>
  <c r="Q19" i="193" s="1"/>
  <c r="Q22" i="193" s="1"/>
  <c r="I21" i="193"/>
  <c r="I22" i="193" s="1"/>
  <c r="M21" i="193"/>
  <c r="Q21" i="193" s="1"/>
  <c r="I11" i="36"/>
  <c r="I12" i="36"/>
  <c r="I13" i="36"/>
  <c r="I19" i="36"/>
  <c r="E19" i="36"/>
  <c r="E22" i="193"/>
  <c r="E22" i="208"/>
  <c r="I22" i="208"/>
  <c r="E22" i="206"/>
  <c r="I22" i="206" l="1"/>
  <c r="I36" i="206" s="1"/>
  <c r="L19" i="49"/>
  <c r="L22" i="49" s="1"/>
  <c r="G17" i="199" s="1"/>
  <c r="G34" i="126"/>
  <c r="M19" i="206"/>
  <c r="M22" i="206" s="1"/>
  <c r="S21" i="206" s="1"/>
  <c r="M22" i="193"/>
  <c r="S20" i="193" s="1"/>
  <c r="G18" i="36" s="1"/>
  <c r="K18" i="36" s="1"/>
  <c r="O18" i="36" s="1"/>
  <c r="A17" i="46"/>
  <c r="A20" i="46" s="1"/>
  <c r="A21" i="46" s="1"/>
  <c r="A22" i="46" s="1"/>
  <c r="A23" i="46" s="1"/>
  <c r="A25" i="46" s="1"/>
  <c r="E14" i="207"/>
  <c r="E20" i="207"/>
  <c r="Q20" i="208"/>
  <c r="S21" i="193"/>
  <c r="Q22" i="208"/>
  <c r="I29" i="190"/>
  <c r="E20" i="36"/>
  <c r="M22" i="208"/>
  <c r="G39" i="205"/>
  <c r="E37" i="205"/>
  <c r="I37" i="205" s="1"/>
  <c r="E20" i="205"/>
  <c r="E15" i="205"/>
  <c r="G12" i="205" s="1"/>
  <c r="A12" i="205"/>
  <c r="A13" i="205" s="1"/>
  <c r="A14" i="205" s="1"/>
  <c r="A15" i="205" s="1"/>
  <c r="A18" i="205" s="1"/>
  <c r="A19" i="205" s="1"/>
  <c r="A20" i="205" s="1"/>
  <c r="A21" i="205" s="1"/>
  <c r="A22" i="205" s="1"/>
  <c r="A24" i="205" s="1"/>
  <c r="A26" i="205" s="1"/>
  <c r="O3" i="205"/>
  <c r="O1" i="205"/>
  <c r="A1" i="205"/>
  <c r="K3" i="40"/>
  <c r="I1" i="202"/>
  <c r="A1" i="25"/>
  <c r="A1" i="29"/>
  <c r="A1" i="30"/>
  <c r="G3" i="55"/>
  <c r="G1" i="55"/>
  <c r="G12" i="49"/>
  <c r="H12" i="49"/>
  <c r="I12" i="49"/>
  <c r="I24" i="49" s="1"/>
  <c r="J12" i="49"/>
  <c r="J24" i="49" s="1"/>
  <c r="I32" i="126" s="1"/>
  <c r="K12" i="49"/>
  <c r="K24" i="49" s="1"/>
  <c r="I33" i="126" s="1"/>
  <c r="L12" i="49"/>
  <c r="L24" i="49" s="1"/>
  <c r="I34" i="126" s="1"/>
  <c r="M12" i="49"/>
  <c r="M24" i="49" s="1"/>
  <c r="I35" i="126" s="1"/>
  <c r="N12" i="49"/>
  <c r="N24" i="49" s="1"/>
  <c r="I36" i="126" s="1"/>
  <c r="O12" i="49"/>
  <c r="O24" i="49" s="1"/>
  <c r="I37" i="126" s="1"/>
  <c r="P12" i="49"/>
  <c r="P24" i="49" s="1"/>
  <c r="I38" i="126" s="1"/>
  <c r="Q12" i="49"/>
  <c r="Q24" i="49" s="1"/>
  <c r="I39" i="126" s="1"/>
  <c r="I21" i="199"/>
  <c r="E18" i="49"/>
  <c r="G20" i="14" s="1"/>
  <c r="I20" i="14" s="1"/>
  <c r="M20" i="14" s="1"/>
  <c r="E22" i="199"/>
  <c r="B35" i="41"/>
  <c r="C22" i="199" s="1"/>
  <c r="E21" i="199"/>
  <c r="C21" i="199"/>
  <c r="E20" i="199"/>
  <c r="B33" i="41"/>
  <c r="C20" i="199" s="1"/>
  <c r="E19" i="199"/>
  <c r="B32" i="41"/>
  <c r="C19" i="199" s="1"/>
  <c r="E18" i="199"/>
  <c r="C18" i="199"/>
  <c r="E17" i="199"/>
  <c r="C17" i="199"/>
  <c r="E16" i="199"/>
  <c r="C16" i="199"/>
  <c r="E15" i="199"/>
  <c r="B28" i="41"/>
  <c r="C15" i="199" s="1"/>
  <c r="E14" i="199"/>
  <c r="E13" i="199"/>
  <c r="B26" i="41"/>
  <c r="C13" i="199" s="1"/>
  <c r="A13" i="199"/>
  <c r="A14" i="199" s="1"/>
  <c r="A15" i="199" s="1"/>
  <c r="A16" i="199" s="1"/>
  <c r="A17" i="199" s="1"/>
  <c r="A18" i="199" s="1"/>
  <c r="E12" i="199"/>
  <c r="I3" i="199"/>
  <c r="I1" i="199"/>
  <c r="A1" i="199"/>
  <c r="A1" i="100"/>
  <c r="O15" i="208"/>
  <c r="G15" i="208"/>
  <c r="E15" i="208"/>
  <c r="I14" i="208"/>
  <c r="M14" i="208" s="1"/>
  <c r="I13" i="208"/>
  <c r="M13" i="208" s="1"/>
  <c r="I12" i="208"/>
  <c r="Y3" i="208"/>
  <c r="U3" i="192" s="1"/>
  <c r="Y1" i="208"/>
  <c r="U1" i="192" s="1"/>
  <c r="A1" i="208"/>
  <c r="A1" i="192" s="1"/>
  <c r="E39" i="206"/>
  <c r="E38" i="206"/>
  <c r="AA21" i="206"/>
  <c r="AB21" i="206" s="1"/>
  <c r="AA19" i="206"/>
  <c r="AB19" i="206" s="1"/>
  <c r="O15" i="206"/>
  <c r="G15" i="206"/>
  <c r="E15" i="206"/>
  <c r="I14" i="206"/>
  <c r="M14" i="206" s="1"/>
  <c r="Q14" i="206" s="1"/>
  <c r="I13" i="206"/>
  <c r="I12" i="206"/>
  <c r="M12" i="206" s="1"/>
  <c r="W3" i="206"/>
  <c r="W1" i="206"/>
  <c r="A1" i="206"/>
  <c r="E39" i="193"/>
  <c r="E38" i="193"/>
  <c r="I36" i="193"/>
  <c r="AB21" i="193"/>
  <c r="AC21" i="193" s="1"/>
  <c r="AB19" i="193"/>
  <c r="AC19" i="193" s="1"/>
  <c r="O15" i="193"/>
  <c r="G15" i="193"/>
  <c r="E15" i="193"/>
  <c r="I14" i="193"/>
  <c r="M14" i="193" s="1"/>
  <c r="Q14" i="193" s="1"/>
  <c r="I12" i="193"/>
  <c r="W3" i="193"/>
  <c r="W1" i="193"/>
  <c r="A1" i="193"/>
  <c r="A12" i="209"/>
  <c r="A13" i="209" s="1"/>
  <c r="A14" i="209" s="1"/>
  <c r="A17" i="209" s="1"/>
  <c r="A18" i="209" s="1"/>
  <c r="A19" i="209" s="1"/>
  <c r="A20" i="209" s="1"/>
  <c r="A22" i="209" s="1"/>
  <c r="A24" i="209" s="1"/>
  <c r="O3" i="209"/>
  <c r="O1" i="209"/>
  <c r="A1" i="209"/>
  <c r="A12" i="207"/>
  <c r="A13" i="207" s="1"/>
  <c r="A14" i="207" s="1"/>
  <c r="A17" i="207" s="1"/>
  <c r="A18" i="207" s="1"/>
  <c r="A19" i="207" s="1"/>
  <c r="A20" i="207" s="1"/>
  <c r="A22" i="207" s="1"/>
  <c r="A24" i="207" s="1"/>
  <c r="O3" i="207"/>
  <c r="O1" i="207"/>
  <c r="A1" i="207"/>
  <c r="E11" i="36"/>
  <c r="E12" i="36"/>
  <c r="E13" i="36"/>
  <c r="A12" i="36"/>
  <c r="A13" i="36" s="1"/>
  <c r="A14" i="36" s="1"/>
  <c r="A17" i="36" s="1"/>
  <c r="A18" i="36" s="1"/>
  <c r="A19" i="36" s="1"/>
  <c r="A20" i="36" s="1"/>
  <c r="A22" i="36" s="1"/>
  <c r="A24" i="36" s="1"/>
  <c r="O3" i="36"/>
  <c r="O1" i="36"/>
  <c r="A1" i="36"/>
  <c r="E10" i="49"/>
  <c r="A11" i="49"/>
  <c r="A12" i="49" s="1"/>
  <c r="A15" i="49" s="1"/>
  <c r="A16" i="49" s="1"/>
  <c r="A17" i="49" s="1"/>
  <c r="A18" i="49" s="1"/>
  <c r="A19" i="49" s="1"/>
  <c r="A20" i="49" s="1"/>
  <c r="A21" i="49" s="1"/>
  <c r="A22" i="49" s="1"/>
  <c r="A24" i="49" s="1"/>
  <c r="A1" i="49"/>
  <c r="Z30" i="14"/>
  <c r="T9" i="14"/>
  <c r="E14" i="14"/>
  <c r="A13" i="14"/>
  <c r="A14" i="14" s="1"/>
  <c r="A17" i="14" s="1"/>
  <c r="A18" i="14" s="1"/>
  <c r="A19" i="14" s="1"/>
  <c r="A20" i="14" s="1"/>
  <c r="A21" i="14" s="1"/>
  <c r="A22" i="14" s="1"/>
  <c r="A23" i="14" s="1"/>
  <c r="A24" i="14" s="1"/>
  <c r="A26" i="14" s="1"/>
  <c r="A28" i="14" s="1"/>
  <c r="A30" i="14" s="1"/>
  <c r="A32" i="14" s="1"/>
  <c r="A34" i="14" s="1"/>
  <c r="M3" i="14"/>
  <c r="M1" i="14"/>
  <c r="A1" i="14"/>
  <c r="I15" i="46"/>
  <c r="I25" i="46" s="1"/>
  <c r="H15" i="46"/>
  <c r="H25" i="46" s="1"/>
  <c r="G15" i="46"/>
  <c r="G25" i="46" s="1"/>
  <c r="G14" i="190"/>
  <c r="A1" i="46"/>
  <c r="A1" i="40"/>
  <c r="A1" i="126" s="1"/>
  <c r="E34" i="190"/>
  <c r="I23" i="190"/>
  <c r="E24" i="190"/>
  <c r="E16" i="190"/>
  <c r="A16" i="190"/>
  <c r="I3" i="190"/>
  <c r="I1" i="190"/>
  <c r="C35" i="92"/>
  <c r="A12" i="92"/>
  <c r="A13" i="92" s="1"/>
  <c r="A14" i="92" s="1"/>
  <c r="A15" i="92" s="1"/>
  <c r="A16" i="92" s="1"/>
  <c r="A17" i="92" s="1"/>
  <c r="A18" i="92" s="1"/>
  <c r="A19" i="92" s="1"/>
  <c r="A20" i="92" s="1"/>
  <c r="A22" i="92" s="1"/>
  <c r="A28" i="92" s="1"/>
  <c r="A33" i="92" s="1"/>
  <c r="A35" i="92" s="1"/>
  <c r="A36" i="92" s="1"/>
  <c r="A37" i="92" s="1"/>
  <c r="A38" i="92" s="1"/>
  <c r="A39" i="92" s="1"/>
  <c r="A40" i="92" s="1"/>
  <c r="K1" i="40"/>
  <c r="A1" i="92"/>
  <c r="O40" i="126"/>
  <c r="AD30" i="126"/>
  <c r="AC30" i="126"/>
  <c r="AB30" i="126"/>
  <c r="AA30" i="126"/>
  <c r="Z30" i="126"/>
  <c r="Y30" i="126"/>
  <c r="X30" i="126"/>
  <c r="W30" i="126"/>
  <c r="V30" i="126"/>
  <c r="U30" i="126"/>
  <c r="T30" i="126"/>
  <c r="S30" i="126"/>
  <c r="R30" i="126"/>
  <c r="AD29" i="126"/>
  <c r="AA29" i="126"/>
  <c r="Z29" i="126"/>
  <c r="X29" i="126"/>
  <c r="V29" i="126"/>
  <c r="C29" i="126"/>
  <c r="B18" i="41"/>
  <c r="C20" i="126" s="1"/>
  <c r="B17" i="41"/>
  <c r="C19" i="126" s="1"/>
  <c r="B16" i="41"/>
  <c r="C18" i="126" s="1"/>
  <c r="S17" i="126"/>
  <c r="R17" i="126"/>
  <c r="Q17" i="126"/>
  <c r="A12" i="126"/>
  <c r="A13" i="126" s="1"/>
  <c r="A15" i="126" s="1"/>
  <c r="A16" i="126" s="1"/>
  <c r="A18" i="126" s="1"/>
  <c r="A19" i="126" s="1"/>
  <c r="A20" i="126" s="1"/>
  <c r="A11" i="40"/>
  <c r="A12" i="40" s="1"/>
  <c r="A13" i="40" s="1"/>
  <c r="A14" i="40" s="1"/>
  <c r="A15" i="40" s="1"/>
  <c r="A16" i="40" s="1"/>
  <c r="A17" i="40" s="1"/>
  <c r="A19" i="40" s="1"/>
  <c r="A20" i="40" s="1"/>
  <c r="A22" i="40" s="1"/>
  <c r="AB57" i="41"/>
  <c r="AA58" i="41" s="1"/>
  <c r="AA57" i="41"/>
  <c r="AB56" i="41"/>
  <c r="AA56" i="41"/>
  <c r="AD56" i="41" s="1"/>
  <c r="C56" i="41"/>
  <c r="U44" i="41"/>
  <c r="U45" i="41" s="1"/>
  <c r="P44" i="41"/>
  <c r="Q44" i="41" s="1"/>
  <c r="A44" i="41" s="1"/>
  <c r="F44" i="41" s="1"/>
  <c r="P43" i="41"/>
  <c r="Q43" i="41" s="1"/>
  <c r="A43" i="41" s="1"/>
  <c r="F43" i="41" s="1"/>
  <c r="P38" i="41"/>
  <c r="P39" i="41" s="1"/>
  <c r="J38" i="41"/>
  <c r="J39" i="41" s="1"/>
  <c r="I38" i="41"/>
  <c r="L38" i="41" s="1"/>
  <c r="D38" i="41" s="1"/>
  <c r="X29" i="41"/>
  <c r="U27" i="41"/>
  <c r="U28" i="41" s="1"/>
  <c r="U29" i="41" s="1"/>
  <c r="U30" i="41" s="1"/>
  <c r="U31" i="41" s="1"/>
  <c r="U32" i="41" s="1"/>
  <c r="U33" i="41" s="1"/>
  <c r="U34" i="41" s="1"/>
  <c r="U35" i="41" s="1"/>
  <c r="U36" i="41" s="1"/>
  <c r="U37" i="41" s="1"/>
  <c r="P26" i="41"/>
  <c r="P27" i="41" s="1"/>
  <c r="P28" i="41" s="1"/>
  <c r="Q25" i="41"/>
  <c r="A25" i="41" s="1"/>
  <c r="G7" i="49" s="1"/>
  <c r="E29" i="126" s="1"/>
  <c r="S21" i="41"/>
  <c r="F21" i="41"/>
  <c r="F20" i="41"/>
  <c r="S18" i="41"/>
  <c r="S19" i="41" s="1"/>
  <c r="P18" i="41"/>
  <c r="P19" i="41" s="1"/>
  <c r="P22" i="41" s="1"/>
  <c r="P17" i="41"/>
  <c r="Q17" i="41" s="1"/>
  <c r="A17" i="41" s="1"/>
  <c r="Q16" i="41"/>
  <c r="A16" i="41"/>
  <c r="G7" i="46" s="1"/>
  <c r="Q16" i="126" s="1"/>
  <c r="A13" i="41"/>
  <c r="A12" i="41"/>
  <c r="Q11" i="41"/>
  <c r="A11" i="41"/>
  <c r="A10" i="41"/>
  <c r="A9" i="41"/>
  <c r="X8" i="41"/>
  <c r="I8" i="41"/>
  <c r="A8" i="41"/>
  <c r="W8" i="41" s="1"/>
  <c r="AB7" i="41"/>
  <c r="AA8" i="41" s="1"/>
  <c r="Q7" i="41"/>
  <c r="L7" i="41"/>
  <c r="D7" i="41" s="1"/>
  <c r="J7" i="41"/>
  <c r="J8" i="41" s="1"/>
  <c r="A7" i="41"/>
  <c r="W20" i="193" l="1"/>
  <c r="S20" i="206"/>
  <c r="Q26" i="41"/>
  <c r="A26" i="41" s="1"/>
  <c r="W29" i="126"/>
  <c r="AB29" i="126"/>
  <c r="E40" i="206"/>
  <c r="S19" i="193"/>
  <c r="W19" i="193" s="1"/>
  <c r="U29" i="126"/>
  <c r="AC29" i="126"/>
  <c r="Y29" i="126"/>
  <c r="A18" i="190"/>
  <c r="A21" i="190" s="1"/>
  <c r="A22" i="190" s="1"/>
  <c r="A23" i="190" s="1"/>
  <c r="A24" i="190" s="1"/>
  <c r="A26" i="190" s="1"/>
  <c r="A21" i="126"/>
  <c r="A22" i="126" s="1"/>
  <c r="A24" i="126" s="1"/>
  <c r="A26" i="126" s="1"/>
  <c r="A29" i="126" s="1"/>
  <c r="A30" i="126" s="1"/>
  <c r="A31" i="126" s="1"/>
  <c r="A32" i="126" s="1"/>
  <c r="A33" i="126" s="1"/>
  <c r="A34" i="126" s="1"/>
  <c r="A35" i="126" s="1"/>
  <c r="A36" i="126" s="1"/>
  <c r="A37" i="126" s="1"/>
  <c r="A38" i="126" s="1"/>
  <c r="A39" i="126" s="1"/>
  <c r="A40" i="126" s="1"/>
  <c r="AD57" i="41"/>
  <c r="E26" i="190"/>
  <c r="I15" i="193"/>
  <c r="I15" i="206"/>
  <c r="G14" i="205"/>
  <c r="T14" i="205" s="1"/>
  <c r="A28" i="46"/>
  <c r="A29" i="46" s="1"/>
  <c r="A30" i="46" s="1"/>
  <c r="A31" i="46" s="1"/>
  <c r="A32" i="46" s="1"/>
  <c r="A33" i="46" s="1"/>
  <c r="A35" i="46" s="1"/>
  <c r="A37" i="46" s="1"/>
  <c r="A39" i="46" s="1"/>
  <c r="W16" i="41"/>
  <c r="G13" i="205"/>
  <c r="K13" i="205" s="1"/>
  <c r="O13" i="205" s="1"/>
  <c r="Q19" i="206"/>
  <c r="Q22" i="206" s="1"/>
  <c r="S19" i="206"/>
  <c r="I15" i="208"/>
  <c r="C39" i="126"/>
  <c r="G35" i="46"/>
  <c r="G39" i="46" s="1"/>
  <c r="H35" i="46"/>
  <c r="H39" i="46" s="1"/>
  <c r="C14" i="199"/>
  <c r="C36" i="126"/>
  <c r="T29" i="126"/>
  <c r="I31" i="126"/>
  <c r="C31" i="126"/>
  <c r="O1" i="92"/>
  <c r="I3" i="202"/>
  <c r="C32" i="126"/>
  <c r="C38" i="126"/>
  <c r="M3" i="126"/>
  <c r="O3" i="92" s="1"/>
  <c r="C35" i="126"/>
  <c r="C30" i="126"/>
  <c r="C34" i="126"/>
  <c r="X16" i="41"/>
  <c r="C33" i="126"/>
  <c r="C37" i="126"/>
  <c r="I14" i="190"/>
  <c r="E14" i="36"/>
  <c r="M1" i="126"/>
  <c r="J9" i="41"/>
  <c r="I9" i="41"/>
  <c r="H7" i="46"/>
  <c r="F17" i="41"/>
  <c r="P29" i="41"/>
  <c r="Q28" i="41"/>
  <c r="A28" i="41" s="1"/>
  <c r="P20" i="41"/>
  <c r="Q19" i="41"/>
  <c r="A19" i="41" s="1"/>
  <c r="F19" i="41" s="1"/>
  <c r="H7" i="49"/>
  <c r="F26" i="41"/>
  <c r="P40" i="41"/>
  <c r="Q39" i="41"/>
  <c r="A39" i="41" s="1"/>
  <c r="F39" i="41" s="1"/>
  <c r="L8" i="41"/>
  <c r="D8" i="41" s="1"/>
  <c r="J40" i="41"/>
  <c r="I40" i="41"/>
  <c r="U46" i="41"/>
  <c r="P45" i="41"/>
  <c r="Q45" i="41" s="1"/>
  <c r="A45" i="41" s="1"/>
  <c r="F45" i="41" s="1"/>
  <c r="E36" i="190"/>
  <c r="E40" i="190" s="1"/>
  <c r="E15" i="46"/>
  <c r="G11" i="190"/>
  <c r="G19" i="40"/>
  <c r="E26" i="14"/>
  <c r="G12" i="14"/>
  <c r="E12" i="49"/>
  <c r="AB8" i="41"/>
  <c r="AD8" i="41" s="1"/>
  <c r="AD7" i="41"/>
  <c r="F16" i="41"/>
  <c r="Q18" i="41"/>
  <c r="A18" i="41" s="1"/>
  <c r="F25" i="41"/>
  <c r="Q27" i="41"/>
  <c r="A27" i="41" s="1"/>
  <c r="Q38" i="41"/>
  <c r="A38" i="41" s="1"/>
  <c r="F38" i="41" s="1"/>
  <c r="I39" i="41"/>
  <c r="L39" i="41" s="1"/>
  <c r="D39" i="41" s="1"/>
  <c r="AB58" i="41"/>
  <c r="AD58" i="41" s="1"/>
  <c r="E18" i="126"/>
  <c r="R28" i="126"/>
  <c r="A1" i="190"/>
  <c r="G39" i="206"/>
  <c r="G38" i="206"/>
  <c r="O38" i="206" s="1"/>
  <c r="Q14" i="208"/>
  <c r="T12" i="205"/>
  <c r="K12" i="205"/>
  <c r="O12" i="205" s="1"/>
  <c r="O39" i="206"/>
  <c r="E23" i="46"/>
  <c r="G21" i="190"/>
  <c r="G19" i="36"/>
  <c r="K19" i="36" s="1"/>
  <c r="W21" i="193"/>
  <c r="G18" i="207"/>
  <c r="K18" i="207" s="1"/>
  <c r="O18" i="207" s="1"/>
  <c r="W20" i="206"/>
  <c r="G17" i="207"/>
  <c r="W19" i="206"/>
  <c r="S22" i="206"/>
  <c r="M12" i="193"/>
  <c r="E40" i="193"/>
  <c r="Q12" i="206"/>
  <c r="M13" i="206"/>
  <c r="M12" i="208"/>
  <c r="Q13" i="208"/>
  <c r="G11" i="205"/>
  <c r="G17" i="36"/>
  <c r="S22" i="193"/>
  <c r="G19" i="207"/>
  <c r="K19" i="207" s="1"/>
  <c r="W21" i="206"/>
  <c r="E15" i="192" l="1"/>
  <c r="G30" i="192"/>
  <c r="E14" i="192"/>
  <c r="G28" i="192"/>
  <c r="A41" i="126"/>
  <c r="A42" i="126" s="1"/>
  <c r="A45" i="126" s="1"/>
  <c r="A46" i="126" s="1"/>
  <c r="A47" i="126" s="1"/>
  <c r="A48" i="126" s="1"/>
  <c r="A49" i="126" s="1"/>
  <c r="A50" i="126" s="1"/>
  <c r="A51" i="126" s="1"/>
  <c r="A52" i="126" s="1"/>
  <c r="A53" i="126" s="1"/>
  <c r="A54" i="126" s="1"/>
  <c r="I19" i="126"/>
  <c r="E48" i="192"/>
  <c r="I18" i="126"/>
  <c r="E44" i="192"/>
  <c r="E13" i="209"/>
  <c r="T15" i="205"/>
  <c r="L9" i="41"/>
  <c r="D9" i="41" s="1"/>
  <c r="A29" i="190"/>
  <c r="A30" i="190" s="1"/>
  <c r="A31" i="190" s="1"/>
  <c r="A32" i="190" s="1"/>
  <c r="A33" i="190" s="1"/>
  <c r="A34" i="190" s="1"/>
  <c r="A36" i="190" s="1"/>
  <c r="A38" i="190" s="1"/>
  <c r="A40" i="190" s="1"/>
  <c r="A42" i="190" s="1"/>
  <c r="E12" i="209"/>
  <c r="K14" i="205"/>
  <c r="O40" i="206"/>
  <c r="W22" i="193"/>
  <c r="L40" i="41"/>
  <c r="D40" i="41" s="1"/>
  <c r="E25" i="46"/>
  <c r="I11" i="190"/>
  <c r="I16" i="190" s="1"/>
  <c r="G16" i="190"/>
  <c r="W22" i="206"/>
  <c r="K11" i="205"/>
  <c r="G15" i="205"/>
  <c r="M15" i="208"/>
  <c r="U12" i="208" s="1"/>
  <c r="Q12" i="208"/>
  <c r="Q12" i="193"/>
  <c r="Q15" i="193" s="1"/>
  <c r="M15" i="193"/>
  <c r="G24" i="190"/>
  <c r="I21" i="190"/>
  <c r="I24" i="190" s="1"/>
  <c r="K17" i="36"/>
  <c r="G20" i="36"/>
  <c r="Q13" i="206"/>
  <c r="G39" i="193"/>
  <c r="G38" i="193"/>
  <c r="K17" i="207"/>
  <c r="G20" i="207"/>
  <c r="U39" i="206"/>
  <c r="K39" i="206"/>
  <c r="AC21" i="206"/>
  <c r="AD21" i="206" s="1"/>
  <c r="F27" i="41"/>
  <c r="I7" i="46"/>
  <c r="F18" i="41"/>
  <c r="G14" i="14"/>
  <c r="I12" i="14"/>
  <c r="P46" i="41"/>
  <c r="Q46" i="41" s="1"/>
  <c r="A46" i="41" s="1"/>
  <c r="F46" i="41" s="1"/>
  <c r="U47" i="41"/>
  <c r="J41" i="41"/>
  <c r="I41" i="41"/>
  <c r="P41" i="41"/>
  <c r="Q40" i="41"/>
  <c r="A40" i="41" s="1"/>
  <c r="F40" i="41" s="1"/>
  <c r="E30" i="126"/>
  <c r="S28" i="126"/>
  <c r="Q20" i="41"/>
  <c r="P21" i="41"/>
  <c r="P30" i="41"/>
  <c r="Q29" i="41"/>
  <c r="A29" i="41" s="1"/>
  <c r="E19" i="126"/>
  <c r="R16" i="126"/>
  <c r="J10" i="41"/>
  <c r="I10" i="41"/>
  <c r="M15" i="206"/>
  <c r="I39" i="206"/>
  <c r="W15" i="205"/>
  <c r="G40" i="206"/>
  <c r="U38" i="206"/>
  <c r="U40" i="206" s="1"/>
  <c r="K38" i="206"/>
  <c r="K40" i="206" s="1"/>
  <c r="AC19" i="206"/>
  <c r="AD19" i="206" s="1"/>
  <c r="AB59" i="41"/>
  <c r="AA59" i="41"/>
  <c r="AA9" i="41"/>
  <c r="AB9" i="41"/>
  <c r="G13" i="40"/>
  <c r="I41" i="126" s="1"/>
  <c r="E34" i="14"/>
  <c r="E30" i="14"/>
  <c r="E40" i="92"/>
  <c r="F28" i="41"/>
  <c r="Q15" i="206"/>
  <c r="I38" i="206"/>
  <c r="I40" i="206" s="1"/>
  <c r="AD9" i="41" l="1"/>
  <c r="G39" i="192"/>
  <c r="E13" i="192"/>
  <c r="E16" i="192" s="1"/>
  <c r="E10" i="202" s="1"/>
  <c r="G27" i="192"/>
  <c r="I15" i="192"/>
  <c r="I14" i="192"/>
  <c r="I13" i="192"/>
  <c r="G15" i="192"/>
  <c r="G14" i="192"/>
  <c r="G13" i="192"/>
  <c r="Q15" i="208"/>
  <c r="E42" i="190" s="1"/>
  <c r="G10" i="40" s="1"/>
  <c r="E11" i="209"/>
  <c r="E14" i="209" s="1"/>
  <c r="I26" i="190"/>
  <c r="G26" i="190"/>
  <c r="M19" i="207"/>
  <c r="O19" i="207" s="1"/>
  <c r="M19" i="36"/>
  <c r="O19" i="36" s="1"/>
  <c r="I11" i="41"/>
  <c r="J11" i="41"/>
  <c r="Q39" i="206"/>
  <c r="Q38" i="206"/>
  <c r="E32" i="126"/>
  <c r="U28" i="126"/>
  <c r="AB10" i="41"/>
  <c r="AA10" i="41"/>
  <c r="M39" i="206"/>
  <c r="M38" i="206"/>
  <c r="S12" i="206"/>
  <c r="S14" i="206"/>
  <c r="F29" i="41"/>
  <c r="W29" i="41"/>
  <c r="Q22" i="41"/>
  <c r="F22" i="41" s="1"/>
  <c r="Q21" i="41"/>
  <c r="U48" i="41"/>
  <c r="P47" i="41"/>
  <c r="Q47" i="41" s="1"/>
  <c r="A47" i="41" s="1"/>
  <c r="F47" i="41" s="1"/>
  <c r="I14" i="14"/>
  <c r="Q12" i="14"/>
  <c r="O17" i="207"/>
  <c r="K24" i="207"/>
  <c r="K20" i="207"/>
  <c r="U39" i="193"/>
  <c r="K39" i="193"/>
  <c r="AD21" i="193"/>
  <c r="AE21" i="193" s="1"/>
  <c r="I39" i="193"/>
  <c r="O39" i="193"/>
  <c r="S13" i="193"/>
  <c r="M39" i="193"/>
  <c r="M38" i="193"/>
  <c r="S14" i="193"/>
  <c r="M21" i="205"/>
  <c r="M13" i="36"/>
  <c r="M14" i="205"/>
  <c r="M13" i="207"/>
  <c r="K16" i="126"/>
  <c r="AD59" i="41"/>
  <c r="L10" i="41"/>
  <c r="D10" i="41" s="1"/>
  <c r="L41" i="41"/>
  <c r="D41" i="41" s="1"/>
  <c r="S13" i="206"/>
  <c r="S12" i="193"/>
  <c r="AA60" i="41"/>
  <c r="AB60" i="41"/>
  <c r="P31" i="41"/>
  <c r="Q30" i="41"/>
  <c r="A30" i="41" s="1"/>
  <c r="P42" i="41"/>
  <c r="Q41" i="41"/>
  <c r="A41" i="41" s="1"/>
  <c r="F41" i="41" s="1"/>
  <c r="J42" i="41"/>
  <c r="I42" i="41"/>
  <c r="S16" i="126"/>
  <c r="E20" i="126"/>
  <c r="E31" i="126"/>
  <c r="T28" i="126"/>
  <c r="G40" i="193"/>
  <c r="U38" i="193"/>
  <c r="K38" i="193"/>
  <c r="K40" i="193" s="1"/>
  <c r="AD19" i="193"/>
  <c r="AE19" i="193" s="1"/>
  <c r="I38" i="193"/>
  <c r="I40" i="193" s="1"/>
  <c r="O38" i="193"/>
  <c r="O17" i="36"/>
  <c r="K24" i="36"/>
  <c r="K20" i="36"/>
  <c r="Q39" i="193"/>
  <c r="Q38" i="193"/>
  <c r="Q40" i="193" s="1"/>
  <c r="G11" i="209"/>
  <c r="K11" i="209" s="1"/>
  <c r="Y12" i="208"/>
  <c r="U13" i="208"/>
  <c r="U14" i="208"/>
  <c r="K15" i="205"/>
  <c r="W16" i="205" s="1"/>
  <c r="O11" i="205"/>
  <c r="Q40" i="206" l="1"/>
  <c r="G38" i="192"/>
  <c r="G31" i="192"/>
  <c r="I27" i="192"/>
  <c r="G16" i="192"/>
  <c r="E45" i="192" s="1"/>
  <c r="E46" i="192" s="1"/>
  <c r="I16" i="192"/>
  <c r="E49" i="192" s="1"/>
  <c r="E50" i="192" s="1"/>
  <c r="L42" i="41"/>
  <c r="D42" i="41" s="1"/>
  <c r="O40" i="193"/>
  <c r="U40" i="193"/>
  <c r="G12" i="209"/>
  <c r="Y13" i="208"/>
  <c r="O20" i="36"/>
  <c r="O24" i="36"/>
  <c r="AB61" i="41"/>
  <c r="AA61" i="41"/>
  <c r="G11" i="36"/>
  <c r="W12" i="193"/>
  <c r="S15" i="193"/>
  <c r="G13" i="209"/>
  <c r="Y14" i="208"/>
  <c r="Y15" i="208" s="1"/>
  <c r="J43" i="41"/>
  <c r="I43" i="41"/>
  <c r="P51" i="41"/>
  <c r="Q42" i="41"/>
  <c r="A42" i="41" s="1"/>
  <c r="F42" i="41" s="1"/>
  <c r="P32" i="41"/>
  <c r="Q31" i="41"/>
  <c r="A31" i="41" s="1"/>
  <c r="G12" i="207"/>
  <c r="W13" i="206"/>
  <c r="K30" i="126"/>
  <c r="K32" i="126"/>
  <c r="M32" i="126" s="1"/>
  <c r="K34" i="126"/>
  <c r="M34" i="126" s="1"/>
  <c r="K36" i="126"/>
  <c r="M36" i="126" s="1"/>
  <c r="K38" i="126"/>
  <c r="M38" i="126" s="1"/>
  <c r="K29" i="126"/>
  <c r="K31" i="126"/>
  <c r="M31" i="126" s="1"/>
  <c r="K33" i="126"/>
  <c r="M33" i="126" s="1"/>
  <c r="K35" i="126"/>
  <c r="M35" i="126" s="1"/>
  <c r="K37" i="126"/>
  <c r="M37" i="126" s="1"/>
  <c r="K39" i="126"/>
  <c r="M39" i="126" s="1"/>
  <c r="K39" i="205"/>
  <c r="K37" i="205"/>
  <c r="M37" i="205" s="1"/>
  <c r="O14" i="205"/>
  <c r="O15" i="205" s="1"/>
  <c r="G12" i="36"/>
  <c r="W13" i="193"/>
  <c r="Q14" i="14"/>
  <c r="S12" i="14" s="1"/>
  <c r="I19" i="40"/>
  <c r="K19" i="40" s="1"/>
  <c r="P48" i="41"/>
  <c r="Q48" i="41" s="1"/>
  <c r="A48" i="41" s="1"/>
  <c r="F48" i="41" s="1"/>
  <c r="U49" i="41"/>
  <c r="G13" i="207"/>
  <c r="W14" i="206"/>
  <c r="U15" i="208"/>
  <c r="AD60" i="41"/>
  <c r="M40" i="193"/>
  <c r="M40" i="206"/>
  <c r="AD10" i="41"/>
  <c r="L11" i="41"/>
  <c r="D11" i="41" s="1"/>
  <c r="S34" i="14"/>
  <c r="L7" i="49"/>
  <c r="F30" i="41"/>
  <c r="U10" i="205"/>
  <c r="U10" i="36"/>
  <c r="I13" i="126"/>
  <c r="U10" i="207"/>
  <c r="V15" i="205"/>
  <c r="G13" i="36"/>
  <c r="W14" i="193"/>
  <c r="O20" i="207"/>
  <c r="O24" i="207"/>
  <c r="E33" i="126"/>
  <c r="V28" i="126"/>
  <c r="S15" i="206"/>
  <c r="G11" i="207"/>
  <c r="W12" i="206"/>
  <c r="AB11" i="41"/>
  <c r="AA11" i="41"/>
  <c r="J12" i="41"/>
  <c r="I12" i="41"/>
  <c r="K47" i="126"/>
  <c r="I31" i="192" l="1"/>
  <c r="AD61" i="41"/>
  <c r="I30" i="192"/>
  <c r="K37" i="192" s="1"/>
  <c r="M27" i="192"/>
  <c r="M28" i="192"/>
  <c r="O28" i="192" s="1"/>
  <c r="M30" i="192"/>
  <c r="O30" i="192" s="1"/>
  <c r="I28" i="192"/>
  <c r="G40" i="192"/>
  <c r="I39" i="192" s="1"/>
  <c r="K39" i="192" s="1"/>
  <c r="W15" i="206"/>
  <c r="W39" i="206" s="1"/>
  <c r="L43" i="41"/>
  <c r="D43" i="41" s="1"/>
  <c r="G14" i="209"/>
  <c r="J13" i="41"/>
  <c r="I13" i="41"/>
  <c r="L13" i="41" s="1"/>
  <c r="D13" i="41" s="1"/>
  <c r="AB12" i="41"/>
  <c r="AA12" i="41"/>
  <c r="K11" i="207"/>
  <c r="G14" i="207"/>
  <c r="X16" i="207"/>
  <c r="K13" i="207"/>
  <c r="O13" i="207" s="1"/>
  <c r="T13" i="207"/>
  <c r="W38" i="206"/>
  <c r="S38" i="206"/>
  <c r="S39" i="206"/>
  <c r="K13" i="36"/>
  <c r="O13" i="36" s="1"/>
  <c r="T13" i="36"/>
  <c r="E34" i="126"/>
  <c r="W28" i="126"/>
  <c r="U50" i="41"/>
  <c r="P50" i="41" s="1"/>
  <c r="Q50" i="41" s="1"/>
  <c r="A50" i="41" s="1"/>
  <c r="F50" i="41" s="1"/>
  <c r="P49" i="41"/>
  <c r="Q49" i="41" s="1"/>
  <c r="A49" i="41" s="1"/>
  <c r="F49" i="41" s="1"/>
  <c r="T12" i="14"/>
  <c r="T14" i="14" s="1"/>
  <c r="S14" i="14"/>
  <c r="K12" i="36"/>
  <c r="O12" i="36" s="1"/>
  <c r="T12" i="36"/>
  <c r="K12" i="207"/>
  <c r="O12" i="207" s="1"/>
  <c r="T12" i="207"/>
  <c r="P33" i="41"/>
  <c r="Q32" i="41"/>
  <c r="A32" i="41" s="1"/>
  <c r="Q51" i="41"/>
  <c r="A51" i="41" s="1"/>
  <c r="F51" i="41" s="1"/>
  <c r="P52" i="41"/>
  <c r="J44" i="41"/>
  <c r="I44" i="41"/>
  <c r="S38" i="193"/>
  <c r="S39" i="193"/>
  <c r="K11" i="36"/>
  <c r="G14" i="36"/>
  <c r="AA62" i="41"/>
  <c r="AB62" i="41"/>
  <c r="K12" i="209"/>
  <c r="L12" i="41"/>
  <c r="D12" i="41" s="1"/>
  <c r="AD11" i="41"/>
  <c r="X16" i="36"/>
  <c r="V16" i="205"/>
  <c r="V18" i="205" s="1"/>
  <c r="X17" i="205"/>
  <c r="M7" i="49"/>
  <c r="F31" i="41"/>
  <c r="O11" i="209"/>
  <c r="K13" i="209"/>
  <c r="O13" i="209" s="1"/>
  <c r="W15" i="193"/>
  <c r="M31" i="192" l="1"/>
  <c r="O27" i="192"/>
  <c r="O31" i="192" s="1"/>
  <c r="I38" i="192"/>
  <c r="I40" i="192" s="1"/>
  <c r="L44" i="41"/>
  <c r="D44" i="41" s="1"/>
  <c r="AD12" i="41"/>
  <c r="T14" i="207"/>
  <c r="W14" i="207" s="1"/>
  <c r="T14" i="36"/>
  <c r="W14" i="36" s="1"/>
  <c r="O12" i="209"/>
  <c r="O14" i="209" s="1"/>
  <c r="E11" i="202"/>
  <c r="W39" i="193"/>
  <c r="W38" i="193"/>
  <c r="W40" i="193" s="1"/>
  <c r="E35" i="126"/>
  <c r="X28" i="126"/>
  <c r="K14" i="36"/>
  <c r="O11" i="36"/>
  <c r="O14" i="36" s="1"/>
  <c r="I45" i="41"/>
  <c r="J45" i="41"/>
  <c r="P34" i="41"/>
  <c r="Q33" i="41"/>
  <c r="A33" i="41" s="1"/>
  <c r="K14" i="207"/>
  <c r="O11" i="207"/>
  <c r="O14" i="207" s="1"/>
  <c r="AB13" i="41"/>
  <c r="AA13" i="41"/>
  <c r="I16" i="41"/>
  <c r="J16" i="41"/>
  <c r="K14" i="209"/>
  <c r="AD62" i="41"/>
  <c r="S40" i="193"/>
  <c r="S40" i="206"/>
  <c r="W40" i="206"/>
  <c r="AB63" i="41"/>
  <c r="AA63" i="41"/>
  <c r="Q52" i="41"/>
  <c r="A52" i="41" s="1"/>
  <c r="F52" i="41" s="1"/>
  <c r="P53" i="41"/>
  <c r="N7" i="49"/>
  <c r="F32" i="41"/>
  <c r="V14" i="207"/>
  <c r="V14" i="36"/>
  <c r="K38" i="192" l="1"/>
  <c r="K40" i="192" s="1"/>
  <c r="AD63" i="41"/>
  <c r="L16" i="41"/>
  <c r="D16" i="41" s="1"/>
  <c r="L45" i="41"/>
  <c r="D45" i="41" s="1"/>
  <c r="E36" i="126"/>
  <c r="Y28" i="126"/>
  <c r="AA64" i="41"/>
  <c r="AB64" i="41"/>
  <c r="J17" i="41"/>
  <c r="I17" i="41"/>
  <c r="O7" i="49"/>
  <c r="F33" i="41"/>
  <c r="J46" i="41"/>
  <c r="I46" i="41"/>
  <c r="AD13" i="41"/>
  <c r="Q53" i="41"/>
  <c r="A53" i="41" s="1"/>
  <c r="F53" i="41" s="1"/>
  <c r="P54" i="41"/>
  <c r="G11" i="40"/>
  <c r="G12" i="40" s="1"/>
  <c r="AB16" i="41"/>
  <c r="AA16" i="41"/>
  <c r="W15" i="207"/>
  <c r="K22" i="207"/>
  <c r="V15" i="207"/>
  <c r="V17" i="207" s="1"/>
  <c r="P35" i="41"/>
  <c r="Q34" i="41"/>
  <c r="A34" i="41" s="1"/>
  <c r="W15" i="36"/>
  <c r="K22" i="36"/>
  <c r="V15" i="36"/>
  <c r="V17" i="36" s="1"/>
  <c r="L17" i="41" l="1"/>
  <c r="D17" i="41" s="1"/>
  <c r="L46" i="41"/>
  <c r="D46" i="41" s="1"/>
  <c r="P36" i="41"/>
  <c r="Q35" i="41"/>
  <c r="A35" i="41" s="1"/>
  <c r="P56" i="41"/>
  <c r="Q56" i="41" s="1"/>
  <c r="Q54" i="41"/>
  <c r="A54" i="41" s="1"/>
  <c r="F54" i="41" s="1"/>
  <c r="I47" i="41"/>
  <c r="J47" i="41"/>
  <c r="E37" i="126"/>
  <c r="Z28" i="126"/>
  <c r="J18" i="41"/>
  <c r="I18" i="41"/>
  <c r="AD16" i="41"/>
  <c r="AD64" i="41"/>
  <c r="F34" i="41"/>
  <c r="P7" i="49"/>
  <c r="AA17" i="41"/>
  <c r="AD17" i="41" s="1"/>
  <c r="AB17" i="41"/>
  <c r="G14" i="40"/>
  <c r="AB65" i="41"/>
  <c r="AA65" i="41"/>
  <c r="L18" i="41" l="1"/>
  <c r="D18" i="41" s="1"/>
  <c r="AA66" i="41"/>
  <c r="AB66" i="41"/>
  <c r="G16" i="40"/>
  <c r="G17" i="40" s="1"/>
  <c r="K48" i="126"/>
  <c r="M49" i="126" s="1"/>
  <c r="AA18" i="41"/>
  <c r="AB18" i="41"/>
  <c r="E38" i="126"/>
  <c r="AA28" i="126"/>
  <c r="J19" i="41"/>
  <c r="I19" i="41"/>
  <c r="P37" i="41"/>
  <c r="Q37" i="41" s="1"/>
  <c r="Q36" i="41"/>
  <c r="AD65" i="41"/>
  <c r="L47" i="41"/>
  <c r="D47" i="41" s="1"/>
  <c r="J48" i="41"/>
  <c r="I48" i="41"/>
  <c r="Q7" i="49"/>
  <c r="F35" i="41"/>
  <c r="L48" i="41" l="1"/>
  <c r="D48" i="41" s="1"/>
  <c r="L19" i="41"/>
  <c r="D19" i="41" s="1"/>
  <c r="AB19" i="41"/>
  <c r="AA19" i="41"/>
  <c r="AD19" i="41" s="1"/>
  <c r="E39" i="126"/>
  <c r="AB28" i="126"/>
  <c r="I49" i="41"/>
  <c r="J49" i="41"/>
  <c r="F37" i="41"/>
  <c r="I20" i="41"/>
  <c r="J20" i="41"/>
  <c r="M51" i="126"/>
  <c r="AD18" i="41"/>
  <c r="AD66" i="41"/>
  <c r="F36" i="41"/>
  <c r="AB67" i="41"/>
  <c r="AA67" i="41"/>
  <c r="AD67" i="41" s="1"/>
  <c r="AA68" i="41" l="1"/>
  <c r="AB68" i="41"/>
  <c r="AC28" i="126"/>
  <c r="G20" i="40"/>
  <c r="G22" i="40"/>
  <c r="AD28" i="126"/>
  <c r="AB20" i="41"/>
  <c r="AA20" i="41"/>
  <c r="L20" i="41"/>
  <c r="D20" i="41" s="1"/>
  <c r="L49" i="41"/>
  <c r="D49" i="41" s="1"/>
  <c r="I21" i="41"/>
  <c r="J21" i="41"/>
  <c r="J50" i="41"/>
  <c r="I50" i="41"/>
  <c r="AD20" i="41" l="1"/>
  <c r="L50" i="41"/>
  <c r="D50" i="41" s="1"/>
  <c r="J22" i="41"/>
  <c r="I22" i="41"/>
  <c r="I51" i="41"/>
  <c r="J51" i="41"/>
  <c r="AA21" i="41"/>
  <c r="AB21" i="41"/>
  <c r="L21" i="41"/>
  <c r="D21" i="41" s="1"/>
  <c r="AD68" i="41"/>
  <c r="AB69" i="41"/>
  <c r="AA69" i="41"/>
  <c r="AD69" i="41" l="1"/>
  <c r="L22" i="41"/>
  <c r="D22" i="41" s="1"/>
  <c r="AA23" i="41"/>
  <c r="AB23" i="41"/>
  <c r="I52" i="41"/>
  <c r="J52" i="41"/>
  <c r="AA70" i="41"/>
  <c r="AB70" i="41"/>
  <c r="J25" i="41"/>
  <c r="I25" i="41"/>
  <c r="AD21" i="41"/>
  <c r="L51" i="41"/>
  <c r="D51" i="41" s="1"/>
  <c r="L25" i="41" l="1"/>
  <c r="D25" i="41" s="1"/>
  <c r="J26" i="41"/>
  <c r="I26" i="41"/>
  <c r="AD70" i="41"/>
  <c r="L52" i="41"/>
  <c r="D52" i="41" s="1"/>
  <c r="AD23" i="41"/>
  <c r="AB71" i="41"/>
  <c r="AA71" i="41"/>
  <c r="I53" i="41"/>
  <c r="J53" i="41"/>
  <c r="AB24" i="41"/>
  <c r="AA24" i="41"/>
  <c r="L53" i="41" l="1"/>
  <c r="D53" i="41" s="1"/>
  <c r="L26" i="41"/>
  <c r="D26" i="41" s="1"/>
  <c r="I54" i="41"/>
  <c r="J54" i="41"/>
  <c r="I27" i="41"/>
  <c r="J27" i="41"/>
  <c r="AD24" i="41"/>
  <c r="AD71" i="41"/>
  <c r="AB25" i="41"/>
  <c r="AA25" i="41"/>
  <c r="AA72" i="41"/>
  <c r="AB72" i="41"/>
  <c r="AD25" i="41" l="1"/>
  <c r="AA26" i="41"/>
  <c r="AB26" i="41"/>
  <c r="AD72" i="41"/>
  <c r="L27" i="41"/>
  <c r="D27" i="41" s="1"/>
  <c r="L54" i="41"/>
  <c r="D54" i="41" s="1"/>
  <c r="J28" i="41"/>
  <c r="I28" i="41"/>
  <c r="L28" i="41" l="1"/>
  <c r="D28" i="41" s="1"/>
  <c r="AD26" i="41"/>
  <c r="J29" i="41"/>
  <c r="I29" i="41"/>
  <c r="AA27" i="41"/>
  <c r="AB27" i="41"/>
  <c r="L29" i="41" l="1"/>
  <c r="D29" i="41" s="1"/>
  <c r="AB28" i="41"/>
  <c r="AA28" i="41"/>
  <c r="I30" i="41"/>
  <c r="J30" i="41"/>
  <c r="AD27" i="41"/>
  <c r="AD28" i="41" l="1"/>
  <c r="AB31" i="41"/>
  <c r="AA31" i="41"/>
  <c r="L30" i="41"/>
  <c r="D30" i="41" s="1"/>
  <c r="J31" i="41"/>
  <c r="I31" i="41"/>
  <c r="AD31" i="41" l="1"/>
  <c r="AB32" i="41"/>
  <c r="AA32" i="41"/>
  <c r="L31" i="41"/>
  <c r="D31" i="41" s="1"/>
  <c r="J32" i="41"/>
  <c r="I32" i="41"/>
  <c r="AD32" i="41" l="1"/>
  <c r="J33" i="41"/>
  <c r="I33" i="41"/>
  <c r="AB33" i="41"/>
  <c r="AA33" i="41"/>
  <c r="L32" i="41"/>
  <c r="D32" i="41" s="1"/>
  <c r="AD33" i="41" l="1"/>
  <c r="L33" i="41"/>
  <c r="D33" i="41" s="1"/>
  <c r="AB34" i="41"/>
  <c r="AA34" i="41"/>
  <c r="J34" i="41"/>
  <c r="I34" i="41"/>
  <c r="L34" i="41" l="1"/>
  <c r="D34" i="41" s="1"/>
  <c r="AD34" i="41"/>
  <c r="J35" i="41"/>
  <c r="I35" i="41"/>
  <c r="AB35" i="41"/>
  <c r="AA35" i="41"/>
  <c r="AD35" i="41" l="1"/>
  <c r="L35" i="41"/>
  <c r="D35" i="41" s="1"/>
  <c r="AB36" i="41"/>
  <c r="AA36" i="41"/>
  <c r="J36" i="41"/>
  <c r="I36" i="41"/>
  <c r="L36" i="41" l="1"/>
  <c r="D36" i="41" s="1"/>
  <c r="AD36" i="41"/>
  <c r="J37" i="41"/>
  <c r="I37" i="41"/>
  <c r="AB37" i="41"/>
  <c r="AA37" i="41"/>
  <c r="AD37" i="41" l="1"/>
  <c r="L37" i="41"/>
  <c r="D37" i="41" s="1"/>
  <c r="E22" i="198" l="1"/>
  <c r="E24" i="198" s="1"/>
  <c r="E11" i="198" s="1"/>
  <c r="H15" i="49" s="1"/>
  <c r="G30" i="126" s="1"/>
  <c r="H19" i="49" l="1"/>
  <c r="I13" i="199"/>
  <c r="E15" i="49"/>
  <c r="H22" i="49" l="1"/>
  <c r="G13" i="199" s="1"/>
  <c r="G17" i="14"/>
  <c r="I27" i="199" s="1"/>
  <c r="H24" i="49" l="1"/>
  <c r="I30" i="126" s="1"/>
  <c r="I23" i="199"/>
  <c r="I17" i="14"/>
  <c r="G12" i="44" l="1"/>
  <c r="I12" i="44" s="1"/>
  <c r="I18" i="44" s="1"/>
  <c r="I20" i="44" s="1"/>
  <c r="I28" i="199"/>
  <c r="S29" i="126"/>
  <c r="M30" i="126"/>
  <c r="G18" i="44" l="1"/>
  <c r="G20" i="44" s="1"/>
  <c r="I31" i="46" s="1"/>
  <c r="E31" i="46" l="1"/>
  <c r="I33" i="46"/>
  <c r="I35" i="46" s="1"/>
  <c r="I39" i="46" s="1"/>
  <c r="I20" i="126" l="1"/>
  <c r="I22" i="126" s="1"/>
  <c r="I24" i="126" s="1"/>
  <c r="E52" i="192"/>
  <c r="G32" i="190"/>
  <c r="E33" i="46"/>
  <c r="E35" i="46" s="1"/>
  <c r="E39" i="46" s="1"/>
  <c r="K14" i="192" l="1"/>
  <c r="O14" i="192" s="1"/>
  <c r="Q14" i="192" s="1"/>
  <c r="Q28" i="192" s="1"/>
  <c r="K13" i="192"/>
  <c r="K15" i="192"/>
  <c r="O15" i="192" s="1"/>
  <c r="Q15" i="192" s="1"/>
  <c r="Q30" i="192" s="1"/>
  <c r="I32" i="190"/>
  <c r="I34" i="190" s="1"/>
  <c r="I36" i="190" s="1"/>
  <c r="I40" i="190" s="1"/>
  <c r="G34" i="190"/>
  <c r="G36" i="190" s="1"/>
  <c r="G40" i="190" s="1"/>
  <c r="G32" i="14" s="1"/>
  <c r="I32" i="14" s="1"/>
  <c r="M32" i="14" s="1"/>
  <c r="K16" i="192" l="1"/>
  <c r="E53" i="192" s="1"/>
  <c r="E54" i="192" s="1"/>
  <c r="O13" i="192"/>
  <c r="Q16" i="207"/>
  <c r="Q17" i="205"/>
  <c r="Q16" i="36"/>
  <c r="Q13" i="192" l="1"/>
  <c r="O16" i="192"/>
  <c r="G42" i="190" s="1"/>
  <c r="Q19" i="36"/>
  <c r="Q18" i="36"/>
  <c r="Q17" i="36"/>
  <c r="Q17" i="207"/>
  <c r="Q19" i="207"/>
  <c r="Q18" i="207"/>
  <c r="G62" i="211"/>
  <c r="G28" i="14" l="1"/>
  <c r="I28" i="14" s="1"/>
  <c r="M28" i="14" s="1"/>
  <c r="I42" i="190"/>
  <c r="I10" i="40" s="1"/>
  <c r="K10" i="40" s="1"/>
  <c r="Q16" i="192"/>
  <c r="Q27" i="192"/>
  <c r="Q31" i="192" s="1"/>
  <c r="Q20" i="36"/>
  <c r="Q20" i="207"/>
  <c r="I62" i="211"/>
  <c r="S28" i="192" l="1"/>
  <c r="S27" i="192"/>
  <c r="S30" i="192"/>
  <c r="E12" i="202"/>
  <c r="E15" i="202" s="1"/>
  <c r="U28" i="192" l="1"/>
  <c r="S14" i="192"/>
  <c r="S13" i="192"/>
  <c r="U27" i="192"/>
  <c r="S31" i="192"/>
  <c r="S15" i="192"/>
  <c r="U30" i="192"/>
  <c r="E21" i="205" l="1"/>
  <c r="E39" i="205" s="1"/>
  <c r="I39" i="205" s="1"/>
  <c r="S21" i="208"/>
  <c r="E19" i="205"/>
  <c r="S20" i="208"/>
  <c r="E18" i="209" s="1"/>
  <c r="S16" i="192"/>
  <c r="E18" i="205"/>
  <c r="S19" i="208"/>
  <c r="U31" i="192"/>
  <c r="O24" i="126" l="1"/>
  <c r="P24" i="126" s="1"/>
  <c r="G10" i="202"/>
  <c r="E22" i="205"/>
  <c r="G19" i="205" s="1"/>
  <c r="K19" i="205" s="1"/>
  <c r="E19" i="209"/>
  <c r="S22" i="208"/>
  <c r="U20" i="208" s="1"/>
  <c r="E17" i="209"/>
  <c r="U19" i="208" l="1"/>
  <c r="AD19" i="208" s="1"/>
  <c r="U21" i="208"/>
  <c r="Y21" i="208" s="1"/>
  <c r="Y19" i="208"/>
  <c r="G17" i="209"/>
  <c r="O19" i="205"/>
  <c r="Q19" i="205"/>
  <c r="AD20" i="208"/>
  <c r="G18" i="209"/>
  <c r="K18" i="209" s="1"/>
  <c r="Y20" i="208"/>
  <c r="G21" i="205"/>
  <c r="K21" i="205" s="1"/>
  <c r="G20" i="205"/>
  <c r="K20" i="205" s="1"/>
  <c r="E20" i="209"/>
  <c r="G18" i="205"/>
  <c r="U22" i="208" l="1"/>
  <c r="AD22" i="208" s="1"/>
  <c r="AD21" i="208"/>
  <c r="G19" i="209"/>
  <c r="K19" i="209" s="1"/>
  <c r="O19" i="209" s="1"/>
  <c r="O21" i="205"/>
  <c r="Q21" i="205"/>
  <c r="O20" i="205"/>
  <c r="Q20" i="205"/>
  <c r="O18" i="209"/>
  <c r="AI20" i="208"/>
  <c r="AJ20" i="208" s="1"/>
  <c r="Y22" i="208"/>
  <c r="G11" i="202"/>
  <c r="G12" i="202" s="1"/>
  <c r="G15" i="202" s="1"/>
  <c r="I15" i="202" s="1"/>
  <c r="G19" i="49" s="1"/>
  <c r="K18" i="205"/>
  <c r="G22" i="205"/>
  <c r="K17" i="209"/>
  <c r="AI21" i="208" l="1"/>
  <c r="AJ21" i="208" s="1"/>
  <c r="G20" i="209"/>
  <c r="AI19" i="208"/>
  <c r="K20" i="209"/>
  <c r="K24" i="209"/>
  <c r="O17" i="209"/>
  <c r="G22" i="49"/>
  <c r="E19" i="49"/>
  <c r="Q18" i="205"/>
  <c r="Q22" i="205" s="1"/>
  <c r="K26" i="205"/>
  <c r="K22" i="205"/>
  <c r="K24" i="205" s="1"/>
  <c r="O18" i="205"/>
  <c r="G24" i="49" l="1"/>
  <c r="G12" i="199"/>
  <c r="G23" i="199" s="1"/>
  <c r="AJ19" i="208"/>
  <c r="AI22" i="208"/>
  <c r="AJ22" i="208" s="1"/>
  <c r="O22" i="205"/>
  <c r="O26" i="205"/>
  <c r="E22" i="49"/>
  <c r="G24" i="199" s="1"/>
  <c r="G21" i="14"/>
  <c r="K15" i="126"/>
  <c r="I11" i="40"/>
  <c r="I12" i="40" s="1"/>
  <c r="K22" i="209"/>
  <c r="O20" i="209"/>
  <c r="O22" i="209" s="1"/>
  <c r="K18" i="126" l="1"/>
  <c r="M18" i="126" s="1"/>
  <c r="O31" i="126" s="1"/>
  <c r="K19" i="126"/>
  <c r="M19" i="126" s="1"/>
  <c r="K21" i="126"/>
  <c r="M21" i="126" s="1"/>
  <c r="K20" i="126"/>
  <c r="M20" i="126" s="1"/>
  <c r="R29" i="126"/>
  <c r="I29" i="126"/>
  <c r="G40" i="126"/>
  <c r="S20" i="207"/>
  <c r="T20" i="207" s="1"/>
  <c r="S22" i="205"/>
  <c r="T22" i="205" s="1"/>
  <c r="S20" i="36"/>
  <c r="T20" i="36" s="1"/>
  <c r="K12" i="40"/>
  <c r="G25" i="199"/>
  <c r="K11" i="126"/>
  <c r="K13" i="126" s="1"/>
  <c r="M13" i="126" s="1"/>
  <c r="E24" i="49"/>
  <c r="G24" i="14"/>
  <c r="G26" i="14" s="1"/>
  <c r="I21" i="14"/>
  <c r="I24" i="14" s="1"/>
  <c r="I26" i="14" s="1"/>
  <c r="I40" i="126" l="1"/>
  <c r="M29" i="126"/>
  <c r="M50" i="126" s="1"/>
  <c r="M52" i="126" s="1"/>
  <c r="I30" i="14"/>
  <c r="I13" i="40"/>
  <c r="I34" i="14"/>
  <c r="P40" i="126" l="1"/>
  <c r="I42" i="126"/>
  <c r="O42" i="126"/>
  <c r="K13" i="40"/>
  <c r="I14" i="40"/>
  <c r="P42" i="126" l="1"/>
  <c r="I16" i="40"/>
  <c r="K14" i="40"/>
  <c r="I17" i="40" l="1"/>
  <c r="G33" i="92"/>
  <c r="M53" i="126"/>
  <c r="M54" i="126" s="1"/>
  <c r="K16" i="40"/>
  <c r="I22" i="40" l="1"/>
  <c r="I20" i="40"/>
  <c r="K20" i="40" s="1"/>
  <c r="K12" i="14"/>
  <c r="G35" i="92"/>
  <c r="G38" i="92"/>
  <c r="G37" i="92"/>
  <c r="G39" i="92"/>
  <c r="G36" i="92"/>
  <c r="K17" i="40"/>
  <c r="O50" i="126"/>
  <c r="P50" i="126" s="1"/>
  <c r="K21" i="14" l="1"/>
  <c r="M21" i="14" s="1"/>
  <c r="M12" i="14"/>
  <c r="K14" i="14"/>
  <c r="Z12" i="14"/>
  <c r="G40" i="92"/>
  <c r="K17" i="14"/>
  <c r="M17" i="14" l="1"/>
  <c r="M24" i="14" s="1"/>
  <c r="K24" i="14"/>
  <c r="K26" i="14" s="1"/>
  <c r="Y12" i="14"/>
  <c r="AA12" i="14" s="1"/>
  <c r="M14" i="14"/>
  <c r="M26" i="14" l="1"/>
  <c r="M34" i="14" s="1"/>
  <c r="T34" i="14" s="1"/>
  <c r="M30" i="14" l="1"/>
  <c r="Y30" i="14" s="1"/>
  <c r="AA30" i="14" s="1"/>
</calcChain>
</file>

<file path=xl/sharedStrings.xml><?xml version="1.0" encoding="utf-8"?>
<sst xmlns="http://schemas.openxmlformats.org/spreadsheetml/2006/main" count="2052" uniqueCount="815">
  <si>
    <t>Line</t>
  </si>
  <si>
    <t>Proposed</t>
  </si>
  <si>
    <t>No.</t>
  </si>
  <si>
    <t>Description</t>
  </si>
  <si>
    <t>Adjustments</t>
  </si>
  <si>
    <t>Per</t>
  </si>
  <si>
    <t>(A)</t>
  </si>
  <si>
    <t>(B)</t>
  </si>
  <si>
    <t>(C )</t>
  </si>
  <si>
    <t>Notes and Source</t>
  </si>
  <si>
    <t>Col.A:</t>
  </si>
  <si>
    <t>Rate of return</t>
  </si>
  <si>
    <t>Net operating income required</t>
  </si>
  <si>
    <t>Adjusted net operating income</t>
  </si>
  <si>
    <t>Gross revenue conversion factor</t>
  </si>
  <si>
    <t>Reference</t>
  </si>
  <si>
    <t>Amount</t>
  </si>
  <si>
    <t>Capital Structure and Cost Rates</t>
  </si>
  <si>
    <t>(C)</t>
  </si>
  <si>
    <t>Weighted</t>
  </si>
  <si>
    <t xml:space="preserve">Cost </t>
  </si>
  <si>
    <t>Capital</t>
  </si>
  <si>
    <t>Cost</t>
  </si>
  <si>
    <t>Rate</t>
  </si>
  <si>
    <t>Ratio</t>
  </si>
  <si>
    <t>Short Term Debt</t>
  </si>
  <si>
    <t>Long Term Debt</t>
  </si>
  <si>
    <t>Common Equity</t>
  </si>
  <si>
    <t>Total</t>
  </si>
  <si>
    <t>Difference</t>
  </si>
  <si>
    <t>Col.B:</t>
  </si>
  <si>
    <t>Adjusted Rate Base</t>
  </si>
  <si>
    <t>Number</t>
  </si>
  <si>
    <t>Summary of Adjustments to Rate Base</t>
  </si>
  <si>
    <t>Adjustment</t>
  </si>
  <si>
    <t>Net Operating Income Adjustments</t>
  </si>
  <si>
    <t>Rate Base Adjustments</t>
  </si>
  <si>
    <t>Page 1 of 1</t>
  </si>
  <si>
    <t>(D)</t>
  </si>
  <si>
    <t>Notes</t>
  </si>
  <si>
    <t>Line No.</t>
  </si>
  <si>
    <t>Col.C:</t>
  </si>
  <si>
    <t>Col.A + Col.B</t>
  </si>
  <si>
    <t>A</t>
  </si>
  <si>
    <t>B</t>
  </si>
  <si>
    <t>Company</t>
  </si>
  <si>
    <t xml:space="preserve">Schedule </t>
  </si>
  <si>
    <t>Per Company</t>
  </si>
  <si>
    <t>Operating Revenue</t>
  </si>
  <si>
    <t>Rate Base</t>
  </si>
  <si>
    <t>(E)</t>
  </si>
  <si>
    <t>(F)</t>
  </si>
  <si>
    <t>Page 2 of 2</t>
  </si>
  <si>
    <t>Calculation of Revenue Deficiency (Sufficiency)</t>
  </si>
  <si>
    <t>Revenue deficiency (Sufficiency)</t>
  </si>
  <si>
    <t>Earned Rate of Return</t>
  </si>
  <si>
    <t>Schedule C-3</t>
  </si>
  <si>
    <t>Summary of Net Operating Income Adjustments</t>
  </si>
  <si>
    <t>Accompanying the Direct Testimony of Ralph Smith</t>
  </si>
  <si>
    <t>Gross Revenue Conversion Factor</t>
  </si>
  <si>
    <t>Tax Rates</t>
  </si>
  <si>
    <t>Operating Revenues</t>
  </si>
  <si>
    <t>Less: State Income Taxes</t>
  </si>
  <si>
    <t>Income Before Federal Income Taxes</t>
  </si>
  <si>
    <t>Less: Federal Income Taxes</t>
  </si>
  <si>
    <t>Operating Income Percentage</t>
  </si>
  <si>
    <t>Revenue</t>
  </si>
  <si>
    <t>Requirement</t>
  </si>
  <si>
    <t>Schedule C-4</t>
  </si>
  <si>
    <t>Interest Synchronization</t>
  </si>
  <si>
    <t>(H)</t>
  </si>
  <si>
    <t>Page 1 of 2</t>
  </si>
  <si>
    <t xml:space="preserve">Col.D: </t>
  </si>
  <si>
    <t>Col.E:</t>
  </si>
  <si>
    <t>Col. C + Col. D</t>
  </si>
  <si>
    <t>Components</t>
  </si>
  <si>
    <t>of Revenue</t>
  </si>
  <si>
    <t>Impact</t>
  </si>
  <si>
    <t>Schedule A (DH)</t>
  </si>
  <si>
    <t>Adjusted Net Operating Income</t>
  </si>
  <si>
    <t>Schedule</t>
  </si>
  <si>
    <t>Multiplier</t>
  </si>
  <si>
    <t>Pre-Tax</t>
  </si>
  <si>
    <t>Net Operating Income</t>
  </si>
  <si>
    <t>GRCF</t>
  </si>
  <si>
    <t>Pre-tax return computed using Gross Revenue Conversion Factor</t>
  </si>
  <si>
    <t>Company Adjusted NOI Deficiency</t>
  </si>
  <si>
    <t>GRCF Difference</t>
  </si>
  <si>
    <t>Gross Revenue Conversion Factor Difference:</t>
  </si>
  <si>
    <t xml:space="preserve">  </t>
  </si>
  <si>
    <t xml:space="preserve">A </t>
  </si>
  <si>
    <t xml:space="preserve">A-1 </t>
  </si>
  <si>
    <t xml:space="preserve">B </t>
  </si>
  <si>
    <t xml:space="preserve">B.1 </t>
  </si>
  <si>
    <t xml:space="preserve">C </t>
  </si>
  <si>
    <t>C.1</t>
  </si>
  <si>
    <t xml:space="preserve">D </t>
  </si>
  <si>
    <t xml:space="preserve">Schedule A </t>
  </si>
  <si>
    <t xml:space="preserve">Schedule B </t>
  </si>
  <si>
    <t xml:space="preserve">Schedule A-1 </t>
  </si>
  <si>
    <t xml:space="preserve">Schedule B.1 </t>
  </si>
  <si>
    <t xml:space="preserve">Schedule C </t>
  </si>
  <si>
    <t xml:space="preserve">Schedule D </t>
  </si>
  <si>
    <t xml:space="preserve">Calculation of Revenue Deficiency (Sufficiency) </t>
  </si>
  <si>
    <t xml:space="preserve">Revenue Requirement Summary Schedules </t>
  </si>
  <si>
    <t xml:space="preserve">Adjusted Rate Base </t>
  </si>
  <si>
    <t>Summary of Rate Base Adjustments</t>
  </si>
  <si>
    <t xml:space="preserve">Adjusted Net Operating Income </t>
  </si>
  <si>
    <t xml:space="preserve">Summary of Net Operating Income Adjustments </t>
  </si>
  <si>
    <t xml:space="preserve">Capital Structure and Cost Rates </t>
  </si>
  <si>
    <t>Income Before State Taxes</t>
  </si>
  <si>
    <t xml:space="preserve">Schedule C.1 </t>
  </si>
  <si>
    <t>State Income Taxes</t>
  </si>
  <si>
    <t>Federal Income Taxes</t>
  </si>
  <si>
    <t>Combined state and federal income tax rate</t>
  </si>
  <si>
    <t>Sch D</t>
  </si>
  <si>
    <t>Sch C</t>
  </si>
  <si>
    <t>Sch A-1</t>
  </si>
  <si>
    <t>Structure</t>
  </si>
  <si>
    <t>B-</t>
  </si>
  <si>
    <t>C-</t>
  </si>
  <si>
    <t>I. Per Company</t>
  </si>
  <si>
    <t>Col B - Col. A</t>
  </si>
  <si>
    <t>Issue Folders</t>
  </si>
  <si>
    <t>E2 - E1</t>
  </si>
  <si>
    <t>D2 - D1</t>
  </si>
  <si>
    <t>Diff</t>
  </si>
  <si>
    <t>check internally this schedule</t>
  </si>
  <si>
    <t>See referenced schedule for each adjustment</t>
  </si>
  <si>
    <t>(I)</t>
  </si>
  <si>
    <t>Schedule C-2</t>
  </si>
  <si>
    <t>C</t>
  </si>
  <si>
    <t>Cash Working Capital</t>
  </si>
  <si>
    <t>Revenue Requirement Reconciliation</t>
  </si>
  <si>
    <t>Component</t>
  </si>
  <si>
    <t>D</t>
  </si>
  <si>
    <t>A-1</t>
  </si>
  <si>
    <t>x</t>
  </si>
  <si>
    <t>NOI Amount</t>
  </si>
  <si>
    <t>Sch C.1</t>
  </si>
  <si>
    <t>Sch. A-1</t>
  </si>
  <si>
    <t>Net Operating Income per Company Filing</t>
  </si>
  <si>
    <t>Operating Income</t>
  </si>
  <si>
    <t>Sch B.1</t>
  </si>
  <si>
    <t>Total Pages  (Including Contents Page)</t>
  </si>
  <si>
    <t>No. of Pages</t>
  </si>
  <si>
    <t>Begin</t>
  </si>
  <si>
    <t>End</t>
  </si>
  <si>
    <t>Range</t>
  </si>
  <si>
    <t>-</t>
  </si>
  <si>
    <t>Exhibit Page No.</t>
  </si>
  <si>
    <t>Total Operating Revenues</t>
  </si>
  <si>
    <t>Operating Expenses</t>
  </si>
  <si>
    <t>Total Operating Expenses</t>
  </si>
  <si>
    <t>RB</t>
  </si>
  <si>
    <t>Per Filing</t>
  </si>
  <si>
    <t>Note A</t>
  </si>
  <si>
    <t>[A]</t>
  </si>
  <si>
    <t>Per AG</t>
  </si>
  <si>
    <t xml:space="preserve">, </t>
  </si>
  <si>
    <t>AG</t>
  </si>
  <si>
    <t>Percent</t>
  </si>
  <si>
    <t>Effect of AG Adjustments on NOI</t>
  </si>
  <si>
    <t>Total AG Adjustments to Operating Income</t>
  </si>
  <si>
    <t>AG Adjusted Net Operating Income</t>
  </si>
  <si>
    <t>AG REVENUE REQUIREMENT ADJUSTMENTS ABOVE</t>
  </si>
  <si>
    <t>Pre Tax Income</t>
  </si>
  <si>
    <t>Net Oper Income</t>
  </si>
  <si>
    <t>Components of Base Rate Revenue Change</t>
  </si>
  <si>
    <t xml:space="preserve">II. Per AG </t>
  </si>
  <si>
    <t>AG Adjustments</t>
  </si>
  <si>
    <t>Revenue Change</t>
  </si>
  <si>
    <t>Change in Expenses and Net Operating Income:</t>
  </si>
  <si>
    <t>Change</t>
  </si>
  <si>
    <t>Total Revenue Change</t>
  </si>
  <si>
    <t>Schedule B-3</t>
  </si>
  <si>
    <t xml:space="preserve">Adjusted at </t>
  </si>
  <si>
    <t>Present Rates</t>
  </si>
  <si>
    <t>Col.B:    See referenced schedules</t>
  </si>
  <si>
    <t>Difference Not Accounted for Above</t>
  </si>
  <si>
    <t>L.10 - L.5</t>
  </si>
  <si>
    <t>Other Operating Revenues</t>
  </si>
  <si>
    <t>Adjusted operating revenues</t>
  </si>
  <si>
    <t>Revenue requirement</t>
  </si>
  <si>
    <t>Revenue increase, percent</t>
  </si>
  <si>
    <t>Exhibit RCS-1</t>
  </si>
  <si>
    <t>Weighted Cost of Debt per AG</t>
  </si>
  <si>
    <t xml:space="preserve"> </t>
  </si>
  <si>
    <t>ROR Difference</t>
  </si>
  <si>
    <t xml:space="preserve">Rate of Return </t>
  </si>
  <si>
    <t>Cash</t>
  </si>
  <si>
    <t>Adjusted</t>
  </si>
  <si>
    <t>Page 2 of 3</t>
  </si>
  <si>
    <t>Page 3 of 3</t>
  </si>
  <si>
    <t>Page 1 of 3</t>
  </si>
  <si>
    <t>AG Adjusted RB</t>
  </si>
  <si>
    <t>Required NOI</t>
  </si>
  <si>
    <t>Sch A</t>
  </si>
  <si>
    <t>NOI Increase</t>
  </si>
  <si>
    <t>Test Year Ended September 30, 2014</t>
  </si>
  <si>
    <t>Accounts Receivable Financing</t>
  </si>
  <si>
    <t>Taxes Other Than Income Taxes</t>
  </si>
  <si>
    <t>Net Electric Operating Income</t>
  </si>
  <si>
    <t>RATE BASE</t>
  </si>
  <si>
    <t>Electric Utility Plant</t>
  </si>
  <si>
    <t>Net Electric Utility Plant</t>
  </si>
  <si>
    <t>Materials and Supplies</t>
  </si>
  <si>
    <t>Subtotal</t>
  </si>
  <si>
    <t>Change in Revenue</t>
  </si>
  <si>
    <t>Adjusted Capitalization</t>
  </si>
  <si>
    <t>WACC</t>
  </si>
  <si>
    <t>GCRF</t>
  </si>
  <si>
    <t>(Pre-Tax)</t>
  </si>
  <si>
    <t>(J)</t>
  </si>
  <si>
    <t>(K)</t>
  </si>
  <si>
    <t>(M)</t>
  </si>
  <si>
    <t>Kentucky</t>
  </si>
  <si>
    <t>Reapportioned</t>
  </si>
  <si>
    <t>PER BOOK</t>
  </si>
  <si>
    <t>BALANCE</t>
  </si>
  <si>
    <t>Jurisdictional</t>
  </si>
  <si>
    <t>Capital Structure and Cost Rates - Capitalization</t>
  </si>
  <si>
    <t>Capitalization</t>
  </si>
  <si>
    <t>Schedule C-5</t>
  </si>
  <si>
    <t>Kentucky Jurisdictional Allocation Factor</t>
  </si>
  <si>
    <t>Schedule B-1</t>
  </si>
  <si>
    <t>Schedule B-2</t>
  </si>
  <si>
    <t>O&amp;M</t>
  </si>
  <si>
    <t>Expense</t>
  </si>
  <si>
    <t>TOTAL</t>
  </si>
  <si>
    <t xml:space="preserve">Difference </t>
  </si>
  <si>
    <t xml:space="preserve">Cash Working Capital - AG Adjustments to Expenses </t>
  </si>
  <si>
    <t>Schedule C-6</t>
  </si>
  <si>
    <t>Schedule C-7</t>
  </si>
  <si>
    <t>KPCo</t>
  </si>
  <si>
    <t xml:space="preserve">Line </t>
  </si>
  <si>
    <t>1/8 Formula Percentage</t>
  </si>
  <si>
    <t>Schedule C-8</t>
  </si>
  <si>
    <t>Incentive Compensation Expense</t>
  </si>
  <si>
    <t>Total AG</t>
  </si>
  <si>
    <t>Schedule C-9</t>
  </si>
  <si>
    <t>B-1</t>
  </si>
  <si>
    <t>B-2</t>
  </si>
  <si>
    <t>Schedule C-11</t>
  </si>
  <si>
    <t xml:space="preserve">Working </t>
  </si>
  <si>
    <t>B-3</t>
  </si>
  <si>
    <t>Net operating income deficiency (Sufficiency)</t>
  </si>
  <si>
    <t>Amounts from Exhibit AJE-5 which was filed in conjunction with Company witness Elliott's Direct Testimony</t>
  </si>
  <si>
    <t xml:space="preserve">Adjustment </t>
  </si>
  <si>
    <t>Sum of Lines 6, 7 &amp; 8</t>
  </si>
  <si>
    <t>Cols. A-D (Lines 1-5): Section V, Exhibit 1, Workpaper S-2 from filing.  See page 2 of this schedule for a reproduction of KPCo's capitalization related adjustments.</t>
  </si>
  <si>
    <t>* The amounts in Column L were multiplied by the Kentucky jurisdictional allocation factor for Gross Plant - Total which is</t>
  </si>
  <si>
    <t>in CWC</t>
  </si>
  <si>
    <t>Col. C, lines 6-9: Cost rates and Return on Equity as recommended by AG witness J. Randall Woolridge</t>
  </si>
  <si>
    <t>AG Adjusted Capitalization</t>
  </si>
  <si>
    <t>Cash Working Capital does not flow through to the capitalization, thus CWC has no impact on the revenue requirement</t>
  </si>
  <si>
    <t>Do not print below this line</t>
  </si>
  <si>
    <t>WORKPAPER</t>
  </si>
  <si>
    <t>II. Per AG</t>
  </si>
  <si>
    <t>Col. C:</t>
  </si>
  <si>
    <t>The Company's allocation creates a negative balance of short term debt, which does not exist</t>
  </si>
  <si>
    <t>The AG's allocation uses the ratios of the per book balances of Long Term Debt and Common Equity, and preserves the per book balance of Accounts Receivable Financing</t>
  </si>
  <si>
    <t>(F) = D x E</t>
  </si>
  <si>
    <t>Col F, L1-4:</t>
  </si>
  <si>
    <t xml:space="preserve">Col. E: </t>
  </si>
  <si>
    <t>L2 - L1</t>
  </si>
  <si>
    <t>B&amp;D</t>
  </si>
  <si>
    <t>Company Requested Base Rate Revenue Increase (Decrease)</t>
  </si>
  <si>
    <t>Jurisdictional Capitalization</t>
  </si>
  <si>
    <t>Col. B: See page 2</t>
  </si>
  <si>
    <t>IMPACT OF 50 BASIS POINTS ON ROE</t>
  </si>
  <si>
    <t>50 BP ROE</t>
  </si>
  <si>
    <t>Required</t>
  </si>
  <si>
    <t>NOI</t>
  </si>
  <si>
    <t>Kentucky Utilities Company</t>
  </si>
  <si>
    <t>Case No. 2016-00370</t>
  </si>
  <si>
    <t>Test Year Ended February 28, 2017</t>
  </si>
  <si>
    <t>Electric Sales Revenues</t>
  </si>
  <si>
    <t>Operations &amp; Maintenance Expense</t>
  </si>
  <si>
    <t>Depreciation and Amortization</t>
  </si>
  <si>
    <t>Regulatory Debits</t>
  </si>
  <si>
    <t>Total Income Taxes</t>
  </si>
  <si>
    <t>Investment Tax Credit</t>
  </si>
  <si>
    <t>Losses/(Gains) from Deposition of Allowances</t>
  </si>
  <si>
    <t>Capitalization Allocated to Kentucky Jurisdiction</t>
  </si>
  <si>
    <t>Rate of Return on Capitalization</t>
  </si>
  <si>
    <t>Kentucky Jurisdiction Rate Base</t>
  </si>
  <si>
    <t>Less: Uncollectible Accounts Expense</t>
  </si>
  <si>
    <t>Less: PSC Fees</t>
  </si>
  <si>
    <t>Less: Production Activities Deduction - State</t>
  </si>
  <si>
    <t>Less: Production Activities Deduction - Federal</t>
  </si>
  <si>
    <t>KU Schedule H-1</t>
  </si>
  <si>
    <t>(C=A+B)</t>
  </si>
  <si>
    <t>Percentage</t>
  </si>
  <si>
    <t>(E=CxD)</t>
  </si>
  <si>
    <t>Adjusted Capital</t>
  </si>
  <si>
    <t>of Total</t>
  </si>
  <si>
    <t xml:space="preserve">Weighted </t>
  </si>
  <si>
    <t>(J=HxI)</t>
  </si>
  <si>
    <t>(G=E+F)</t>
  </si>
  <si>
    <t>13 Month</t>
  </si>
  <si>
    <t>Average</t>
  </si>
  <si>
    <t>Utility Plant - Original Cost</t>
  </si>
  <si>
    <t>Cols. A-D (Lines 1-3): Schedule J-1.1/J-2.2, Page 1 of KU's filing</t>
  </si>
  <si>
    <t>Deduct</t>
  </si>
  <si>
    <t>Reserve for Depreciation</t>
  </si>
  <si>
    <t>Col. A: Amounts from Supporting Schedule B-1.1, Page 3 of 4 of KU's filing</t>
  </si>
  <si>
    <t>Deduct:</t>
  </si>
  <si>
    <t>Customer Advances for Construction</t>
  </si>
  <si>
    <t>Accumulated Deferred Income taxes</t>
  </si>
  <si>
    <t>Income Tax Credit</t>
  </si>
  <si>
    <t>Total Deductions</t>
  </si>
  <si>
    <t>Add:</t>
  </si>
  <si>
    <t>Prepayments</t>
  </si>
  <si>
    <t>Emmission Allowances</t>
  </si>
  <si>
    <t>Unamortized Closure Costs</t>
  </si>
  <si>
    <t>Total Additions</t>
  </si>
  <si>
    <t>Total Net Original Cost Rate Base</t>
  </si>
  <si>
    <t>Net Plant Deductions</t>
  </si>
  <si>
    <t>ARO Balance Offset</t>
  </si>
  <si>
    <t>Total Net Original Cost Rate Base for Capital Allocation</t>
  </si>
  <si>
    <t>Schedule A from Company filing</t>
  </si>
  <si>
    <t xml:space="preserve">Cols. A-D (Lines 1-3): Schedule J-1, Page 2 from filing. </t>
  </si>
  <si>
    <t xml:space="preserve">Cols. A-D (Lines 1-3):Schedule J-1, Page 1 from filing. </t>
  </si>
  <si>
    <t>Amounts above from Schedule J-1, Page 2 from the Company's filing</t>
  </si>
  <si>
    <t>Amounts above from Schedule J-1, Page 1 from the Company's filing</t>
  </si>
  <si>
    <t>KU</t>
  </si>
  <si>
    <t>KU Schedule C-1, Column 3</t>
  </si>
  <si>
    <t>Forecasted Test Period Ended June 30, 2018</t>
  </si>
  <si>
    <t>Line 8: Composite Income Tax Rate</t>
  </si>
  <si>
    <t>Slippage</t>
  </si>
  <si>
    <t>Slippage Adjustment</t>
  </si>
  <si>
    <t>Plant &amp; CWIP</t>
  </si>
  <si>
    <t>Rate Base Component</t>
  </si>
  <si>
    <t>Base Period</t>
  </si>
  <si>
    <t>13 Month Avg Forecast Period</t>
  </si>
  <si>
    <t>Increase From Base Period</t>
  </si>
  <si>
    <t>Slippage Factor</t>
  </si>
  <si>
    <t>Slippage Adjusted</t>
  </si>
  <si>
    <t>(E)=C x D</t>
  </si>
  <si>
    <t>(F) = E-C</t>
  </si>
  <si>
    <t>ELECTRIC:</t>
  </si>
  <si>
    <t>Plant in Service</t>
  </si>
  <si>
    <t>Property Held for Future Use</t>
  </si>
  <si>
    <t>Accumulated Depreciation and Amortization</t>
  </si>
  <si>
    <t>Net Plant in Service (Lines 1+2+3)</t>
  </si>
  <si>
    <t>Construction Work in Progress</t>
  </si>
  <si>
    <t>Net Plant (Lines 4+5)</t>
  </si>
  <si>
    <t>Cash Working Capital Allowance</t>
  </si>
  <si>
    <t>Other Working Capital Allowances</t>
  </si>
  <si>
    <t>Deferred Income Taxes</t>
  </si>
  <si>
    <t>Investment Tax Credits</t>
  </si>
  <si>
    <t>Other Items</t>
  </si>
  <si>
    <t>Rate Base (Lines 6 through 12)</t>
  </si>
  <si>
    <t>Cols. A and B:  Company Schedule B-1</t>
  </si>
  <si>
    <t>Col.C: Col. B - Col.A</t>
  </si>
  <si>
    <t>Col. D: Company response to Staff 1-13</t>
  </si>
  <si>
    <t>WORKPAPER THIS LINE AND BELOW</t>
  </si>
  <si>
    <t>Amounts from B-1</t>
  </si>
  <si>
    <t>Difference (should be zero)</t>
  </si>
  <si>
    <t>Capitilization</t>
  </si>
  <si>
    <t>Recommended</t>
  </si>
  <si>
    <t>Ratios</t>
  </si>
  <si>
    <t>(N)</t>
  </si>
  <si>
    <t>Total Debt</t>
  </si>
  <si>
    <t>WORKPAPER BELOW THIS LINE</t>
  </si>
  <si>
    <t>Equity Difference</t>
  </si>
  <si>
    <t>Before</t>
  </si>
  <si>
    <t>Reapportionment</t>
  </si>
  <si>
    <t>L.8- L.4</t>
  </si>
  <si>
    <t>Adjusted Jurisdictional Capitalization</t>
  </si>
  <si>
    <t>Weighted Cost of Debt</t>
  </si>
  <si>
    <t>Synchornized Interest Deduction</t>
  </si>
  <si>
    <t>Composite Federal and State Income Tax Rate</t>
  </si>
  <si>
    <t>Notes and Source:</t>
  </si>
  <si>
    <t>Col. B: Debt capitalization amounts and cost rates are from Schedule D</t>
  </si>
  <si>
    <t>Col. A: Amounts from WPD-2, Sheet 3 of 3 from Company's filing</t>
  </si>
  <si>
    <t>State</t>
  </si>
  <si>
    <t>Federal</t>
  </si>
  <si>
    <t>Col. B: See Schedule B.1</t>
  </si>
  <si>
    <t>Case No. 2016-00371</t>
  </si>
  <si>
    <t>Base</t>
  </si>
  <si>
    <t>Electric</t>
  </si>
  <si>
    <t>Electric O&amp;M Expenses</t>
  </si>
  <si>
    <t>Less:</t>
  </si>
  <si>
    <t>Electric Power Purchased</t>
  </si>
  <si>
    <t>Gas Supply Expenses</t>
  </si>
  <si>
    <t>Col. A: Amounts from Company's application, Supporting Schedule B-1.1, page 4 of 4</t>
  </si>
  <si>
    <t>KU Employees</t>
  </si>
  <si>
    <t>LGE-KU Services</t>
  </si>
  <si>
    <t>LG&amp;E</t>
  </si>
  <si>
    <t>Total Test Period Team Incentive Award Expense</t>
  </si>
  <si>
    <t>see page 2</t>
  </si>
  <si>
    <t>AG Adjustment to Test Year Team Incentive Award Expense</t>
  </si>
  <si>
    <t>Period</t>
  </si>
  <si>
    <t>Team Incentive Award Description</t>
  </si>
  <si>
    <t>Net Income</t>
  </si>
  <si>
    <t>Cost Control</t>
  </si>
  <si>
    <t>Customer Reliability</t>
  </si>
  <si>
    <t>Customer Satisfaction</t>
  </si>
  <si>
    <t>Corporate Safety</t>
  </si>
  <si>
    <t>Individual/Team Effectiveness</t>
  </si>
  <si>
    <t>Total Team Incentive Award Expense</t>
  </si>
  <si>
    <t>Kentucky Utilities</t>
  </si>
  <si>
    <t>AMS Meter Depreciation - Average Service Life Adjustment</t>
  </si>
  <si>
    <t>AMS Meters</t>
  </si>
  <si>
    <t>Proposed Depreciation Rate</t>
  </si>
  <si>
    <t>Proposed Average Service Life, in years</t>
  </si>
  <si>
    <t xml:space="preserve">Proposed Depreciation </t>
  </si>
  <si>
    <t>15S2.5</t>
  </si>
  <si>
    <t>Depreciation Expense in Forecasted Test Period</t>
  </si>
  <si>
    <t>KU-137001- KY AMS Meters</t>
  </si>
  <si>
    <t>KU-137002- KY AMS Meters</t>
  </si>
  <si>
    <t>Company response to Staff 1-66</t>
  </si>
  <si>
    <t>Att_KU_PSC_1-66_Depreciation_Exp_Wkpr</t>
  </si>
  <si>
    <t>Per Company:</t>
  </si>
  <si>
    <t>Month</t>
  </si>
  <si>
    <t>Company Base Forecast AMS Plant</t>
  </si>
  <si>
    <t>Calculated Depreciation Expense</t>
  </si>
  <si>
    <t>Total Calculated Depreciation Expense on Projected AMS Meter Plant</t>
  </si>
  <si>
    <t>CHECK CALCULATIONS</t>
  </si>
  <si>
    <t>(G)</t>
  </si>
  <si>
    <t>ColE</t>
  </si>
  <si>
    <t>Col G</t>
  </si>
  <si>
    <t>Depreciation Rate</t>
  </si>
  <si>
    <t>YE Jun-18</t>
  </si>
  <si>
    <t>A 20-year average service life is recommended for AMS Meters</t>
  </si>
  <si>
    <t>Jurisdictional Percentage</t>
  </si>
  <si>
    <t>Total Depreciation Expense</t>
  </si>
  <si>
    <t>Jurisdictional Percentage: Company Schedule C-2.1, Column 2, Line 140</t>
  </si>
  <si>
    <t>500</t>
  </si>
  <si>
    <t>501</t>
  </si>
  <si>
    <t>502</t>
  </si>
  <si>
    <t>505</t>
  </si>
  <si>
    <t>506</t>
  </si>
  <si>
    <t>510</t>
  </si>
  <si>
    <t>511</t>
  </si>
  <si>
    <t>512</t>
  </si>
  <si>
    <t>513</t>
  </si>
  <si>
    <t>514</t>
  </si>
  <si>
    <t>541</t>
  </si>
  <si>
    <t>542</t>
  </si>
  <si>
    <t>546</t>
  </si>
  <si>
    <t>551</t>
  </si>
  <si>
    <t>553</t>
  </si>
  <si>
    <t>554</t>
  </si>
  <si>
    <t>556</t>
  </si>
  <si>
    <t>560</t>
  </si>
  <si>
    <t>561</t>
  </si>
  <si>
    <t>562</t>
  </si>
  <si>
    <t>566</t>
  </si>
  <si>
    <t>570</t>
  </si>
  <si>
    <t>571</t>
  </si>
  <si>
    <t>580</t>
  </si>
  <si>
    <t>581</t>
  </si>
  <si>
    <t>582</t>
  </si>
  <si>
    <t>583</t>
  </si>
  <si>
    <t>586</t>
  </si>
  <si>
    <t>588</t>
  </si>
  <si>
    <t>592</t>
  </si>
  <si>
    <t>593</t>
  </si>
  <si>
    <t>594</t>
  </si>
  <si>
    <t>595</t>
  </si>
  <si>
    <t>901</t>
  </si>
  <si>
    <t>902</t>
  </si>
  <si>
    <t>903</t>
  </si>
  <si>
    <t>907</t>
  </si>
  <si>
    <t>908</t>
  </si>
  <si>
    <t>920</t>
  </si>
  <si>
    <t>935</t>
  </si>
  <si>
    <t>FERC</t>
  </si>
  <si>
    <t>Account</t>
  </si>
  <si>
    <t xml:space="preserve">Total </t>
  </si>
  <si>
    <t xml:space="preserve">Jurisdicitional </t>
  </si>
  <si>
    <t>Allocation</t>
  </si>
  <si>
    <t>Factor</t>
  </si>
  <si>
    <t>Total Test Period</t>
  </si>
  <si>
    <t>Amounts</t>
  </si>
  <si>
    <t>Cols. A-C: Amounts from the response to Kroger 2-3</t>
  </si>
  <si>
    <t>Jurisdictional amounts above from the response to Kroger 2-3</t>
  </si>
  <si>
    <t>Amounts*</t>
  </si>
  <si>
    <t>* Total Company amounts from the response to AG 1-68</t>
  </si>
  <si>
    <t>A: Adjustment to incentive compensation expense calculated as follows:</t>
  </si>
  <si>
    <t>Transmission Vegetation Management</t>
  </si>
  <si>
    <t>Transmission Vegetation Management Expense</t>
  </si>
  <si>
    <t>Test Period Transmission Vegetation Management Expense Per KU</t>
  </si>
  <si>
    <t>AG Adjustment to Transmission Vegetation Management Expense</t>
  </si>
  <si>
    <t>A: Amounts from the response to KIUC 2-12</t>
  </si>
  <si>
    <t>Affiliate Service Company Charges</t>
  </si>
  <si>
    <t xml:space="preserve">Direct </t>
  </si>
  <si>
    <t>Charged</t>
  </si>
  <si>
    <t>Allocated</t>
  </si>
  <si>
    <t>to KU</t>
  </si>
  <si>
    <t>Accumulated Provision for Depreciation</t>
  </si>
  <si>
    <t>Stores Expense Undistributed</t>
  </si>
  <si>
    <t>Other Regulatory Assets</t>
  </si>
  <si>
    <t>Clearing Accounts</t>
  </si>
  <si>
    <t>Taxes Other Than Income - Utility Operating Income</t>
  </si>
  <si>
    <t>Operation Supervision and Engineering</t>
  </si>
  <si>
    <t>Fuel</t>
  </si>
  <si>
    <t>Steam Expenses</t>
  </si>
  <si>
    <t>Electric Expenses</t>
  </si>
  <si>
    <t>Miscellaneous Steam Power Expenses</t>
  </si>
  <si>
    <t>Maintenance Supervision and Engineering</t>
  </si>
  <si>
    <t>Maintenance of Structures</t>
  </si>
  <si>
    <t>Maintenance of Steam Plant</t>
  </si>
  <si>
    <t>Maintenance of Misc. Other Power Generation Plant</t>
  </si>
  <si>
    <t>System Control and Load Dispatching</t>
  </si>
  <si>
    <t>Load Dispatch-Reliability</t>
  </si>
  <si>
    <t>Load Dispatch-Monitor and Operate Transmission System</t>
  </si>
  <si>
    <t>Load Dispatch-Transmission Service and Scheduling</t>
  </si>
  <si>
    <t>Reliability, Planning and Standards Development</t>
  </si>
  <si>
    <t>Station Expenses</t>
  </si>
  <si>
    <t>Miscellaneous Transmission Expenses</t>
  </si>
  <si>
    <t>Overhead Line Expenses</t>
  </si>
  <si>
    <t>Rents</t>
  </si>
  <si>
    <t>Maintenance of Station Equipment</t>
  </si>
  <si>
    <t>Maintenance of Overhead Lines</t>
  </si>
  <si>
    <t>Maintenance of Misc. Transmission Plant</t>
  </si>
  <si>
    <t>Load Dispatching</t>
  </si>
  <si>
    <t>Meter Expenses</t>
  </si>
  <si>
    <t>Cusomer Installation Expenses</t>
  </si>
  <si>
    <t>Miscellaneous Distribution Expenses</t>
  </si>
  <si>
    <t>Maintenance of Meters</t>
  </si>
  <si>
    <t>Maintenance of Miscellaneous Distribution Plant</t>
  </si>
  <si>
    <t>Supervision</t>
  </si>
  <si>
    <t>Meter Reading Expenses</t>
  </si>
  <si>
    <t>Customer Records and Collection Expenses</t>
  </si>
  <si>
    <t>Informational and Instructional Advertising Expense</t>
  </si>
  <si>
    <t>Misc. Customer Service and Informational Expense</t>
  </si>
  <si>
    <t>Advertising Expenses</t>
  </si>
  <si>
    <t>Adminstrative and General Salaries</t>
  </si>
  <si>
    <t>Office Supplies and Expenses</t>
  </si>
  <si>
    <t>Outside Services Employed</t>
  </si>
  <si>
    <t>Property Insurance</t>
  </si>
  <si>
    <t>Injuries and Damages</t>
  </si>
  <si>
    <t>Employee Pensions and Benefits</t>
  </si>
  <si>
    <t>Regulatory Commission Expenses</t>
  </si>
  <si>
    <t>General Advertising Expenses</t>
  </si>
  <si>
    <t>Miscellaneous General Expenses</t>
  </si>
  <si>
    <t>Maintenance of General Plant</t>
  </si>
  <si>
    <t>Cols. A-C: Amounts from the response to KIUC 1-38</t>
  </si>
  <si>
    <t>Total Operating Expenses Billed to KU from LKS</t>
  </si>
  <si>
    <t>Customer Assistance Expense</t>
  </si>
  <si>
    <t>AG Adjustment to Affiliate Service Company Charges Billed to KU</t>
  </si>
  <si>
    <t xml:space="preserve">Base </t>
  </si>
  <si>
    <t>Test</t>
  </si>
  <si>
    <t>Cols. A-H: Amounts from the response to KIUC 1-38</t>
  </si>
  <si>
    <t>a</t>
  </si>
  <si>
    <t>b</t>
  </si>
  <si>
    <t>c</t>
  </si>
  <si>
    <t>Variance</t>
  </si>
  <si>
    <t>Explanation</t>
  </si>
  <si>
    <t>b: KU stated that "The change is related to new/incremental operating expenses resulting from the Advanced Metering System (AMS) project."</t>
  </si>
  <si>
    <t>a: KU stated that "Vegetation management charges are budgeted to be paid by LKS, but most of the actual charges in the Base year were directly paid by KU."</t>
  </si>
  <si>
    <t>Col. D: see page 3</t>
  </si>
  <si>
    <t>Col. A: See page 2</t>
  </si>
  <si>
    <t>Col. B: Kentucky jurisdictional allocation factors from KU Schedule C-2.1</t>
  </si>
  <si>
    <t>AG Jurisdictional Adjustment to Transmission Vegetation Management Expense</t>
  </si>
  <si>
    <t>c: KU stated that "Prepaid insurance amortization was budgeted as an affiliate charge for the test year, but only for two months of the base year."</t>
  </si>
  <si>
    <t>Distribution Automation</t>
  </si>
  <si>
    <t>Adjustment (B-2)</t>
  </si>
  <si>
    <t>AG Jurisdictional Adjustment to Plant in Service Related to Distribution Automation</t>
  </si>
  <si>
    <t>OH Conductors and Devices</t>
  </si>
  <si>
    <t>Communication Equipment</t>
  </si>
  <si>
    <t>Plant</t>
  </si>
  <si>
    <t>Total Adjustment</t>
  </si>
  <si>
    <t>Companny</t>
  </si>
  <si>
    <t>Net Adjustment to Plant in Service Related to Distribution Automation</t>
  </si>
  <si>
    <t>Amount Reflected in Slippage Adjustment on Schedule B-1</t>
  </si>
  <si>
    <t>Distribution</t>
  </si>
  <si>
    <t>Holloway</t>
  </si>
  <si>
    <t>DA Total (From Line 7)</t>
  </si>
  <si>
    <t>Automation</t>
  </si>
  <si>
    <t>Depreciation Expense Related to Distribution Automation</t>
  </si>
  <si>
    <t>AG Jurisdictional Adjustment to Depreciation Expense Related to Distribution Automation</t>
  </si>
  <si>
    <t>A: This amount is a fallout adjustment related to AG witness Holloway's Distribution Automation related adjustment</t>
  </si>
  <si>
    <t>KU Proposed</t>
  </si>
  <si>
    <t>Depreciation</t>
  </si>
  <si>
    <t>Rate*</t>
  </si>
  <si>
    <t>(Sch. B-2)</t>
  </si>
  <si>
    <t>* Depreciation rates from the attachment provided in response to PSC 1-66</t>
  </si>
  <si>
    <t xml:space="preserve">AG Recommended Transmission Vegetation Management Expense </t>
  </si>
  <si>
    <t>Advanced Metering Systems</t>
  </si>
  <si>
    <t>Test Year</t>
  </si>
  <si>
    <t>Advanced Metering Services</t>
  </si>
  <si>
    <t>Adjustment to Remove AMS Costs from Operating Expenses</t>
  </si>
  <si>
    <t>A: Adjustment calculated using information from the response to KIUC 1-17 and shown below:</t>
  </si>
  <si>
    <t>Meter Expense</t>
  </si>
  <si>
    <t>Customer Records and Collection Services</t>
  </si>
  <si>
    <t>Miscellaneous Customer Service and Information Expense</t>
  </si>
  <si>
    <t>Total AMS Related Operating Expenses</t>
  </si>
  <si>
    <t>A: Adjustment calculated using information from the response to KIUC 1-13 and shown below:</t>
  </si>
  <si>
    <t>Schedule B-4</t>
  </si>
  <si>
    <t>Adjustment to Remove AMS Costs from Depreciation Expense</t>
  </si>
  <si>
    <t>B: Adjustment calculated using information from the response to KIUC 1-17 and shown below:</t>
  </si>
  <si>
    <t>AMS Related Depreciation Expense</t>
  </si>
  <si>
    <t>Factor*</t>
  </si>
  <si>
    <t>* Kentucky jurisdictional allocation factors from KU Schedule C-2.1</t>
  </si>
  <si>
    <t>Alvarez</t>
  </si>
  <si>
    <t>B-4</t>
  </si>
  <si>
    <t>Adjustment to Remove AMS Related Costs from CWIP</t>
  </si>
  <si>
    <t>Adjustment to Remove AMS Related ADIT</t>
  </si>
  <si>
    <t>13-Month Average CWIP Related to AMS</t>
  </si>
  <si>
    <t>13-Month Average ADIT Related to AMS</t>
  </si>
  <si>
    <t>Net Adjustment to 13-Month Average Rate Base</t>
  </si>
  <si>
    <t>Net Adjustment to CWIP Related to AMS</t>
  </si>
  <si>
    <t>Gas Line Tracker Mechanism</t>
  </si>
  <si>
    <t>N/A</t>
  </si>
  <si>
    <t>A: Adjustment calculated using information from the response to AG 2-8 and shown below:</t>
  </si>
  <si>
    <t>LKE</t>
  </si>
  <si>
    <t>Number of Vacant Positions</t>
  </si>
  <si>
    <t>Salaries</t>
  </si>
  <si>
    <t>Team Incentive Award*</t>
  </si>
  <si>
    <t>Employee Benefits</t>
  </si>
  <si>
    <t>401(k) Match</t>
  </si>
  <si>
    <t>Retirement Income</t>
  </si>
  <si>
    <t>Group Life Insurance</t>
  </si>
  <si>
    <t>Long Term Disability</t>
  </si>
  <si>
    <t>Post Retirement Benefits</t>
  </si>
  <si>
    <t>Worker's Compensation</t>
  </si>
  <si>
    <t>Dental</t>
  </si>
  <si>
    <t>Medical</t>
  </si>
  <si>
    <t>Other Miscellaneous</t>
  </si>
  <si>
    <t>Total Benefits</t>
  </si>
  <si>
    <t>Payroll Taxes</t>
  </si>
  <si>
    <t>Post Employment Benefits</t>
  </si>
  <si>
    <t>O&amp;M Percentage</t>
  </si>
  <si>
    <t>Total Payroll</t>
  </si>
  <si>
    <t>O&amp;M Payroll</t>
  </si>
  <si>
    <t>O&amp;M Employee Benefits</t>
  </si>
  <si>
    <t>O&amp;M Payroll Taxes</t>
  </si>
  <si>
    <t>AG Adjustment to Payroll Expense for Vacant Positions</t>
  </si>
  <si>
    <t>AG Adjustment to Employee Benefits Expense for Vacant Positions</t>
  </si>
  <si>
    <t>AG Adjustment to Payroll Tax Expense for Vacant Positions</t>
  </si>
  <si>
    <t>A: Amounts above from the response to AG 2-8</t>
  </si>
  <si>
    <t>O&amp;M Percentage^</t>
  </si>
  <si>
    <t>Col. A: see page 2</t>
  </si>
  <si>
    <t>Col. B: see page 3</t>
  </si>
  <si>
    <t>Total KU O&amp;M Payroll, Employee Benefits and Payroll Taxes</t>
  </si>
  <si>
    <t>Total LKE O&amp;M Payroll, Employee Benefits and Payroll Taxes</t>
  </si>
  <si>
    <t>Percentage to Allocate to KU</t>
  </si>
  <si>
    <t>LKE O&amp;M Payroll Allocated to KU</t>
  </si>
  <si>
    <t>LKE O&amp;M Employee Benefits Allocated to KU</t>
  </si>
  <si>
    <t>LKE O&amp;M Payroll Taxes Allocated to KU</t>
  </si>
  <si>
    <t>Payroll and Employee Benefits - Remove Vacant Positions</t>
  </si>
  <si>
    <t>Net Team Incentive Award Expense</t>
  </si>
  <si>
    <t>Team Incentive Award Expense</t>
  </si>
  <si>
    <t>AG recommended percentage of Team Incentive Award in Cost of Service</t>
  </si>
  <si>
    <t>Payroll and Employee Benefits Expense - Remove Vacant Positions</t>
  </si>
  <si>
    <t>LG&amp;E and KU Services Company</t>
  </si>
  <si>
    <t>^ O&amp;M percentages from 807 KAR 5:001 Section 16(8)(g), page 2</t>
  </si>
  <si>
    <t>Adjustment (B-4)</t>
  </si>
  <si>
    <t>AMS Total (From Line 7)</t>
  </si>
  <si>
    <t>Advanced</t>
  </si>
  <si>
    <t>Metering</t>
  </si>
  <si>
    <t>Systems</t>
  </si>
  <si>
    <t>Capitalization per KU's Filing</t>
  </si>
  <si>
    <t>Cols E&amp;F: The Base Period in the Company's filing is the 12 months ending February 28, 2017</t>
  </si>
  <si>
    <t>20SQ</t>
  </si>
  <si>
    <t>Depreciation Expense - Impacts of Slippage</t>
  </si>
  <si>
    <t xml:space="preserve">AG Adjustment to Depreciation Expense to Reflect the Impact of Slippage </t>
  </si>
  <si>
    <t>A: AG recommended adjustment to reflect the impact of slippage on depreciation expense calculated below:</t>
  </si>
  <si>
    <t>Depreciation and Amortization Expense Per LG&amp;E</t>
  </si>
  <si>
    <t>LG&amp;E Sch. C-1</t>
  </si>
  <si>
    <t>13-Month Average Plant in Service per LG&amp;E</t>
  </si>
  <si>
    <t>LG&amp;E Sch. B-1</t>
  </si>
  <si>
    <t>Composite Depreciation Expense Rate</t>
  </si>
  <si>
    <t>L2 / L3</t>
  </si>
  <si>
    <t>AG Adjustment to Plant in Service to Reflect the Impact of Slippage</t>
  </si>
  <si>
    <t>Sch. B-1</t>
  </si>
  <si>
    <t>Slippage Factor for Depreciation Expense</t>
  </si>
  <si>
    <t>Line 4</t>
  </si>
  <si>
    <t>Adjustment to Depreciation Expense to Reflect the Impact of Slippage</t>
  </si>
  <si>
    <t>L5 x L6</t>
  </si>
  <si>
    <t>Adjusted for Impact of Slippage</t>
  </si>
  <si>
    <t>AG Adjustment to Depreciation Expense Related to Distribution Automation - Adjusted for Slippage</t>
  </si>
  <si>
    <t>Uncollectibles Expense</t>
  </si>
  <si>
    <t>PSC Fees</t>
  </si>
  <si>
    <t>Effect of AG Adjustments to Capitalization</t>
  </si>
  <si>
    <t>Total AG Capitalization Adjustments</t>
  </si>
  <si>
    <t>AG Adjusted</t>
  </si>
  <si>
    <t>(C) =( B) - (A)</t>
  </si>
  <si>
    <t>Col (A): From Schedule C-2.1, Pages 7-12 of Company's Filing</t>
  </si>
  <si>
    <t>Year</t>
  </si>
  <si>
    <t xml:space="preserve">Uncollectible Accounts </t>
  </si>
  <si>
    <t>Expense Factor (5-Year Average)</t>
  </si>
  <si>
    <t>Col A: From KU's Attachment to Response to AG-1 Question No. 25(a)</t>
  </si>
  <si>
    <t>Col B, Line 5-6: From KU's Resposne to AG-1 Question No. 85</t>
  </si>
  <si>
    <t>AG-1 Question No. 25(a) and KU's Response to AG-1 Question No. 85</t>
  </si>
  <si>
    <t>Additional Calculations:</t>
  </si>
  <si>
    <t>From Schedule C-2.1, Pages 7-12 of Company's Filing:</t>
  </si>
  <si>
    <t>Total Unadjusted</t>
  </si>
  <si>
    <t>Jurisdictional Adjusted</t>
  </si>
  <si>
    <t>Uncollectible Accounts</t>
  </si>
  <si>
    <t>Total Sales to Ultimate Consumers</t>
  </si>
  <si>
    <t>Expense Factor (Line 9/Line 10)</t>
  </si>
  <si>
    <t>Per AG:</t>
  </si>
  <si>
    <t>[B]</t>
  </si>
  <si>
    <t>Uncollectible Expense Factor</t>
  </si>
  <si>
    <t>[B] Using Adjusted Jurisdictional amount from Schedule C-2.1 of Company's filing</t>
  </si>
  <si>
    <t>Rescheduling of Expiring Regulatory Asset Amortizations</t>
  </si>
  <si>
    <t>Affliliate Charges From PPL Services Corporation to LG&amp;E</t>
  </si>
  <si>
    <t>A: Adjustment calculated from information provided in response to AG 2-11 and calculated below:</t>
  </si>
  <si>
    <t>IT Joint Initiatives</t>
  </si>
  <si>
    <t>Audit - PCAOB Fees</t>
  </si>
  <si>
    <t>Office of Compliance</t>
  </si>
  <si>
    <t>Credit Services</t>
  </si>
  <si>
    <t>Financial Statement Reporting Software</t>
  </si>
  <si>
    <t>Hyperion Financial Management Software</t>
  </si>
  <si>
    <t>Insurance Services</t>
  </si>
  <si>
    <t>Internal Reporting</t>
  </si>
  <si>
    <t>Investor Relations</t>
  </si>
  <si>
    <t>Office of General Counsel</t>
  </si>
  <si>
    <t>Pension/Investments</t>
  </si>
  <si>
    <t>UI Planner Software</t>
  </si>
  <si>
    <t>Wall Street Software</t>
  </si>
  <si>
    <t>Total Account 921</t>
  </si>
  <si>
    <t>Kentucky Jurisdictional PPL Services Corporation Affiliate Charges to KU</t>
  </si>
  <si>
    <t>Kentucky Jurisdictional Amount</t>
  </si>
  <si>
    <t>* AG recommended removing 25% of TIA expense on Schedule C-2 - see calculation below:</t>
  </si>
  <si>
    <t xml:space="preserve">* AG recommended removing 25% of TIA expense on Schedule C-2. The amount above reflects this adjustment </t>
  </si>
  <si>
    <t>AG Adjustment to Reduce Amortization of Rate Case Expenses</t>
  </si>
  <si>
    <t>A: Adjustment calculated below using information from the response to KIUC 2-8</t>
  </si>
  <si>
    <t>Rate Case Expenses Beginning Balance</t>
  </si>
  <si>
    <t>Amortization of 2 Years</t>
  </si>
  <si>
    <t>Annual Amortization of Rate Case Expenses</t>
  </si>
  <si>
    <t>Annual Amortization of Rate Case Expenses Per LG&amp;E</t>
  </si>
  <si>
    <t>Company Proposed</t>
  </si>
  <si>
    <t>(G)=A+F</t>
  </si>
  <si>
    <t>(H) =P</t>
  </si>
  <si>
    <t>Capitalization Reapportionment Adjustment:</t>
  </si>
  <si>
    <t>Per Company Before Adjustment</t>
  </si>
  <si>
    <t>AG (Woolridge)</t>
  </si>
  <si>
    <t>Page 2, Col. G</t>
  </si>
  <si>
    <t>AG Capitalization Reapportionment</t>
  </si>
  <si>
    <t>Adjustment on</t>
  </si>
  <si>
    <t>Reapportion</t>
  </si>
  <si>
    <t>Company Amount</t>
  </si>
  <si>
    <t>AG Adjusted Amt.</t>
  </si>
  <si>
    <t>(L)=I</t>
  </si>
  <si>
    <t>(P)</t>
  </si>
  <si>
    <t>(Q) = P-O</t>
  </si>
  <si>
    <t>Cols. I and L: AG witness Woolridge recommended capital structure ratios. See Exhibits JRW-1 and JRW-5</t>
  </si>
  <si>
    <t>Slippage:</t>
  </si>
  <si>
    <t>Adjustment (from B-1)</t>
  </si>
  <si>
    <t>Total Slippage (From Line 7)</t>
  </si>
  <si>
    <t>Cash Working Capital:</t>
  </si>
  <si>
    <t>Adjustment (from B-3)</t>
  </si>
  <si>
    <t>Total Cash Working Capital (Line 7)</t>
  </si>
  <si>
    <t>line to Adj B-1 on Sch B.1</t>
  </si>
  <si>
    <t>on Sch B.1</t>
  </si>
  <si>
    <t>link to Adj B-2</t>
  </si>
  <si>
    <t>link to Adj B-3</t>
  </si>
  <si>
    <t>link to Adj B-4</t>
  </si>
  <si>
    <t>(K)=IxJ</t>
  </si>
  <si>
    <t>(O)=G</t>
  </si>
  <si>
    <t>CHECK CALCS</t>
  </si>
  <si>
    <t>From page 3</t>
  </si>
  <si>
    <t>Capital Structure</t>
  </si>
  <si>
    <t>Cost Rates</t>
  </si>
  <si>
    <t>From page 1</t>
  </si>
  <si>
    <t>Weighted cost</t>
  </si>
  <si>
    <t>ALL DIFFERENCES SHOULD BE ZERO</t>
  </si>
  <si>
    <t>See Schedule C-5</t>
  </si>
  <si>
    <t>Notes A&amp;B</t>
  </si>
  <si>
    <t xml:space="preserve">Revenue Requirement Deficiency Calculated on Schedule A </t>
  </si>
  <si>
    <t>Reconciled Revenue Deficiency</t>
  </si>
  <si>
    <t>Company Schedule WPH-1.B, line 7</t>
  </si>
  <si>
    <t>PPL Services Corporation Affiliate Charges to LG&amp;E</t>
  </si>
  <si>
    <t>B: The amount reflected in Overall Slippage Adjustment calculated as follows</t>
  </si>
  <si>
    <t>Total Distribution Automation Adjustment - Line 4</t>
  </si>
  <si>
    <t>Slippage Factor on Schedule B-1</t>
  </si>
  <si>
    <t>Slippage Adjusted Distribution Automation Adjustment</t>
  </si>
  <si>
    <t>Amount to Reflect in Overall Slippage Adjustment on Schedule B-1</t>
  </si>
  <si>
    <t xml:space="preserve">Half of </t>
  </si>
  <si>
    <t>Plant Amount</t>
  </si>
  <si>
    <t>L7 x L8</t>
  </si>
  <si>
    <t>L9 - L7</t>
  </si>
  <si>
    <t>Depreciation Expense Related to Adjustment to Distribution Automation</t>
  </si>
  <si>
    <t>Mountain Storm - Electric Beginning Balance</t>
  </si>
  <si>
    <t>Green River Retirement Beginning Balance</t>
  </si>
  <si>
    <t>Annual Amortization of Mountain Storm - Electric</t>
  </si>
  <si>
    <t>Annual Amortization of Mountain Storm - Electric Per KU</t>
  </si>
  <si>
    <t>AG Adjustment to Reduce Amortization of Mountain Storm - Electric</t>
  </si>
  <si>
    <t>Annual Amortization of Green River Retirement</t>
  </si>
  <si>
    <t>Annual Amortization of Green River Retirement Per KU</t>
  </si>
  <si>
    <t>AG Adjustment to Reduce Amortization of Green River Retirement</t>
  </si>
  <si>
    <t>Total AG Adjustment Related to Expiring Regulatory Asset Amortizations</t>
  </si>
  <si>
    <t>This schedule shows how the AG adjustments to operating expenses from Schedule C.1 are posted for CWC purposes.</t>
  </si>
  <si>
    <t>Total per Schedule C.1, line 11</t>
  </si>
  <si>
    <t>Cols. A-D (Lines 5-8): Also see pages 2 and 3 of this schedule</t>
  </si>
  <si>
    <t>Cols. B, C and D (lines 5-8): Cost rates and Return on Equity as recommended by AG witness J. Randall Woolridge</t>
  </si>
  <si>
    <t xml:space="preserve">Adjusted </t>
  </si>
  <si>
    <t>Part I: Amounts above from Schedule J-1.1/J-2.2, Page 1 from the Company's filing</t>
  </si>
  <si>
    <t>Part II: Lines 8-14, column H: See page 3, column H</t>
  </si>
  <si>
    <t>The long term debt cost rate has been updated by AG witness Woolridge</t>
  </si>
  <si>
    <t>Income Tax Adjustment (Ln 3 X Ln 4)</t>
  </si>
  <si>
    <t>AG Jurisdictional Adjustment to Reduce Amortization of Rate Case Expenses</t>
  </si>
  <si>
    <t>AG Jurisdictional Adjustment to Depreciation Expense Related to Distribution Automation - Adjusted for Slippage</t>
  </si>
  <si>
    <t>AG Jurisdictional Adjustment to Depreciation Expense to Reflect the Impact of Slippage</t>
  </si>
  <si>
    <t>Jurisdictional Adjustment to Remove Affiliate Charges from PPL Services Corporation</t>
  </si>
  <si>
    <t>Composite Jurisdictional</t>
  </si>
  <si>
    <t>Factor for Green River Retirement</t>
  </si>
  <si>
    <t>A: This adjustment is being sponsored by AG witness Larry Holloway and calculated below:</t>
  </si>
  <si>
    <t>* Kentucky jurisdictional allocation factor for Distribution plant from KU Schedule B-7</t>
  </si>
  <si>
    <t>Schedule C-1</t>
  </si>
  <si>
    <t>AG Jurisdictional Adjustment to Test Year Incentive Compensation Expense</t>
  </si>
  <si>
    <t>Percentage of Base Period Team Incentive Award Expense Recommended for Disallowance</t>
  </si>
  <si>
    <t>Five-Year Avg</t>
  </si>
  <si>
    <t xml:space="preserve">[A] Difference is noted between the percentage given in KU's Attachment to Response to </t>
  </si>
  <si>
    <t>Total Sales Revenue to Ultimate Consumers</t>
  </si>
  <si>
    <t>Not Used for KU</t>
  </si>
  <si>
    <t>Total O&amp;M Expense per Schedule C, column B, line 4</t>
  </si>
  <si>
    <t>Page 2, column G, lines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</si>
</sst>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_)"/>
    <numFmt numFmtId="167" formatCode="_(* #,##0_);_(* \(#,##0\);_(* &quot;-&quot;??_);_(@_)"/>
    <numFmt numFmtId="168" formatCode="0.0000%"/>
    <numFmt numFmtId="169" formatCode="0.000000%"/>
    <numFmt numFmtId="170" formatCode="0.00000%"/>
    <numFmt numFmtId="171" formatCode="0.000000"/>
    <numFmt numFmtId="172" formatCode="_(* #,##0.0000000000000000_);_(* \(#,##0.0000000000000000\);_(* &quot;-&quot;??_);_(@_)"/>
    <numFmt numFmtId="173" formatCode="0.0000000%"/>
    <numFmt numFmtId="174" formatCode="_(* #,##0.0000000_);_(* \(#,##0.0000000\);_(* &quot;-&quot;??_);_(@_)"/>
    <numFmt numFmtId="175" formatCode="_(* #,##0.0000_);_(* \(#,##0.0000\);_(* &quot;-&quot;??_);_(@_)"/>
    <numFmt numFmtId="176" formatCode="0.0000"/>
    <numFmt numFmtId="177" formatCode="0.000"/>
    <numFmt numFmtId="178" formatCode="0.0%"/>
    <numFmt numFmtId="179" formatCode="_(* #,##0.000_);_(* \(#,##0.000\);_(* &quot;-&quot;??_);_(@_)"/>
    <numFmt numFmtId="180" formatCode="###0;###0"/>
    <numFmt numFmtId="181" formatCode="0.000000_);\(0.000000\)"/>
    <numFmt numFmtId="182" formatCode="0.000000000000000000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/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8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164" fontId="2" fillId="0" borderId="0" xfId="2" applyNumberFormat="1" applyFont="1"/>
    <xf numFmtId="10" fontId="2" fillId="0" borderId="0" xfId="0" applyNumberFormat="1" applyFont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165" fontId="2" fillId="0" borderId="0" xfId="3" applyNumberFormat="1" applyFont="1"/>
    <xf numFmtId="164" fontId="2" fillId="0" borderId="0" xfId="2" applyNumberFormat="1" applyFont="1" applyAlignment="1">
      <alignment horizontal="center"/>
    </xf>
    <xf numFmtId="10" fontId="2" fillId="0" borderId="0" xfId="3" applyNumberFormat="1" applyFont="1" applyAlignment="1">
      <alignment horizontal="center"/>
    </xf>
    <xf numFmtId="164" fontId="2" fillId="0" borderId="3" xfId="2" applyNumberFormat="1" applyFont="1" applyBorder="1"/>
    <xf numFmtId="164" fontId="2" fillId="0" borderId="0" xfId="2" applyNumberFormat="1" applyFont="1" applyBorder="1"/>
    <xf numFmtId="164" fontId="2" fillId="0" borderId="4" xfId="2" applyNumberFormat="1" applyFont="1" applyBorder="1"/>
    <xf numFmtId="171" fontId="2" fillId="0" borderId="0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0" fontId="2" fillId="0" borderId="0" xfId="3" applyNumberFormat="1" applyFont="1"/>
    <xf numFmtId="0" fontId="2" fillId="0" borderId="0" xfId="0" applyFont="1" applyAlignment="1">
      <alignment horizontal="right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165" fontId="2" fillId="0" borderId="0" xfId="3" applyNumberFormat="1" applyFont="1" applyBorder="1"/>
    <xf numFmtId="10" fontId="2" fillId="0" borderId="0" xfId="0" applyNumberFormat="1" applyFont="1" applyBorder="1" applyProtection="1"/>
    <xf numFmtId="10" fontId="2" fillId="0" borderId="3" xfId="0" applyNumberFormat="1" applyFont="1" applyBorder="1"/>
    <xf numFmtId="10" fontId="2" fillId="0" borderId="0" xfId="0" applyNumberFormat="1" applyFont="1" applyBorder="1"/>
    <xf numFmtId="165" fontId="2" fillId="0" borderId="0" xfId="0" applyNumberFormat="1" applyFont="1" applyProtection="1"/>
    <xf numFmtId="165" fontId="3" fillId="0" borderId="3" xfId="0" applyNumberFormat="1" applyFont="1" applyBorder="1" applyProtection="1"/>
    <xf numFmtId="10" fontId="2" fillId="0" borderId="0" xfId="3" applyNumberFormat="1" applyFont="1" applyBorder="1"/>
    <xf numFmtId="165" fontId="2" fillId="0" borderId="0" xfId="0" applyNumberFormat="1" applyFont="1" applyBorder="1"/>
    <xf numFmtId="170" fontId="2" fillId="0" borderId="0" xfId="3" applyNumberFormat="1" applyFont="1" applyBorder="1"/>
    <xf numFmtId="0" fontId="3" fillId="0" borderId="0" xfId="0" applyFont="1" applyBorder="1"/>
    <xf numFmtId="164" fontId="2" fillId="0" borderId="0" xfId="0" applyNumberFormat="1" applyFont="1" applyBorder="1"/>
    <xf numFmtId="0" fontId="2" fillId="0" borderId="0" xfId="0" quotePrefix="1" applyFont="1"/>
    <xf numFmtId="0" fontId="2" fillId="0" borderId="0" xfId="0" applyFont="1" applyFill="1" applyBorder="1" applyAlignment="1">
      <alignment horizontal="center"/>
    </xf>
    <xf numFmtId="164" fontId="2" fillId="0" borderId="4" xfId="0" applyNumberFormat="1" applyFont="1" applyBorder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0" xfId="2" applyNumberFormat="1" applyFont="1" applyBorder="1" applyAlignment="1">
      <alignment horizontal="center"/>
    </xf>
    <xf numFmtId="164" fontId="2" fillId="0" borderId="1" xfId="2" applyNumberFormat="1" applyFont="1" applyBorder="1"/>
    <xf numFmtId="0" fontId="2" fillId="0" borderId="0" xfId="0" applyFont="1" applyBorder="1" applyAlignment="1">
      <alignment horizontal="left"/>
    </xf>
    <xf numFmtId="164" fontId="2" fillId="0" borderId="7" xfId="2" applyNumberFormat="1" applyFont="1" applyBorder="1"/>
    <xf numFmtId="164" fontId="2" fillId="0" borderId="7" xfId="0" applyNumberFormat="1" applyFont="1" applyBorder="1"/>
    <xf numFmtId="0" fontId="2" fillId="0" borderId="0" xfId="0" applyFont="1" applyFill="1" applyBorder="1"/>
    <xf numFmtId="37" fontId="2" fillId="0" borderId="0" xfId="0" applyNumberFormat="1" applyFont="1" applyAlignment="1" applyProtection="1">
      <alignment horizontal="center"/>
    </xf>
    <xf numFmtId="37" fontId="2" fillId="0" borderId="9" xfId="0" applyNumberFormat="1" applyFont="1" applyBorder="1" applyAlignment="1" applyProtection="1">
      <alignment horizontal="center"/>
    </xf>
    <xf numFmtId="0" fontId="6" fillId="0" borderId="0" xfId="0" applyFont="1"/>
    <xf numFmtId="0" fontId="2" fillId="0" borderId="9" xfId="0" applyFont="1" applyBorder="1" applyAlignment="1">
      <alignment horizontal="center"/>
    </xf>
    <xf numFmtId="0" fontId="5" fillId="0" borderId="0" xfId="0" applyFont="1"/>
    <xf numFmtId="39" fontId="5" fillId="0" borderId="0" xfId="0" applyNumberFormat="1" applyFont="1" applyProtection="1"/>
    <xf numFmtId="37" fontId="2" fillId="0" borderId="0" xfId="0" applyNumberFormat="1" applyFont="1" applyAlignment="1">
      <alignment horizontal="center"/>
    </xf>
    <xf numFmtId="172" fontId="2" fillId="0" borderId="0" xfId="1" applyNumberFormat="1" applyFont="1" applyProtection="1"/>
    <xf numFmtId="10" fontId="3" fillId="0" borderId="5" xfId="0" applyNumberFormat="1" applyFont="1" applyBorder="1" applyProtection="1"/>
    <xf numFmtId="10" fontId="2" fillId="0" borderId="4" xfId="0" applyNumberFormat="1" applyFont="1" applyBorder="1"/>
    <xf numFmtId="39" fontId="2" fillId="0" borderId="1" xfId="0" applyNumberFormat="1" applyFont="1" applyBorder="1" applyProtection="1"/>
    <xf numFmtId="39" fontId="2" fillId="0" borderId="0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0" fontId="2" fillId="0" borderId="4" xfId="3" applyNumberFormat="1" applyFont="1" applyBorder="1"/>
    <xf numFmtId="3" fontId="2" fillId="0" borderId="0" xfId="0" applyNumberFormat="1" applyFont="1" applyAlignment="1"/>
    <xf numFmtId="164" fontId="2" fillId="0" borderId="0" xfId="2" applyNumberFormat="1" applyFont="1" applyAlignment="1">
      <alignment horizontal="left"/>
    </xf>
    <xf numFmtId="3" fontId="2" fillId="0" borderId="0" xfId="0" applyNumberFormat="1" applyFont="1" applyBorder="1" applyAlignment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/>
    <xf numFmtId="168" fontId="2" fillId="0" borderId="0" xfId="3" applyNumberFormat="1" applyFont="1"/>
    <xf numFmtId="0" fontId="2" fillId="0" borderId="0" xfId="0" applyFont="1" applyBorder="1" applyAlignment="1">
      <alignment horizontal="left" indent="3"/>
    </xf>
    <xf numFmtId="0" fontId="1" fillId="0" borderId="0" xfId="0" applyFont="1"/>
    <xf numFmtId="10" fontId="3" fillId="0" borderId="0" xfId="3" applyNumberFormat="1" applyFont="1" applyProtection="1"/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quotePrefix="1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37" fontId="2" fillId="0" borderId="0" xfId="0" applyNumberFormat="1" applyFont="1" applyBorder="1" applyAlignment="1" applyProtection="1">
      <alignment horizontal="center"/>
    </xf>
    <xf numFmtId="37" fontId="2" fillId="0" borderId="1" xfId="0" applyNumberFormat="1" applyFont="1" applyBorder="1" applyAlignment="1" applyProtection="1">
      <alignment horizontal="center"/>
    </xf>
    <xf numFmtId="164" fontId="2" fillId="0" borderId="0" xfId="2" applyNumberFormat="1" applyFont="1" applyProtection="1"/>
    <xf numFmtId="165" fontId="3" fillId="0" borderId="7" xfId="0" applyNumberFormat="1" applyFont="1" applyBorder="1" applyProtection="1"/>
    <xf numFmtId="173" fontId="2" fillId="0" borderId="0" xfId="0" applyNumberFormat="1" applyFont="1"/>
    <xf numFmtId="165" fontId="2" fillId="0" borderId="0" xfId="0" applyNumberFormat="1" applyFont="1"/>
    <xf numFmtId="169" fontId="2" fillId="0" borderId="0" xfId="3" applyNumberFormat="1" applyFont="1"/>
    <xf numFmtId="3" fontId="2" fillId="0" borderId="2" xfId="0" applyNumberFormat="1" applyFont="1" applyBorder="1" applyAlignment="1"/>
    <xf numFmtId="3" fontId="2" fillId="0" borderId="0" xfId="0" applyNumberFormat="1" applyFont="1"/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70" fontId="2" fillId="0" borderId="0" xfId="3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5" xfId="2" applyNumberFormat="1" applyFont="1" applyBorder="1"/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4" fontId="2" fillId="0" borderId="0" xfId="0" applyNumberFormat="1" applyFont="1"/>
    <xf numFmtId="0" fontId="2" fillId="0" borderId="0" xfId="0" applyFont="1" applyAlignment="1">
      <alignment horizontal="center"/>
    </xf>
    <xf numFmtId="168" fontId="2" fillId="0" borderId="0" xfId="3" applyNumberFormat="1" applyFont="1" applyAlignment="1">
      <alignment horizontal="center"/>
    </xf>
    <xf numFmtId="164" fontId="2" fillId="0" borderId="11" xfId="2" applyNumberFormat="1" applyFont="1" applyBorder="1"/>
    <xf numFmtId="164" fontId="2" fillId="0" borderId="3" xfId="2" applyNumberFormat="1" applyFont="1" applyBorder="1" applyProtection="1"/>
    <xf numFmtId="10" fontId="3" fillId="0" borderId="3" xfId="0" applyNumberFormat="1" applyFont="1" applyBorder="1" applyProtection="1"/>
    <xf numFmtId="9" fontId="2" fillId="0" borderId="0" xfId="3" applyFont="1" applyBorder="1"/>
    <xf numFmtId="10" fontId="2" fillId="0" borderId="1" xfId="3" applyNumberFormat="1" applyFont="1" applyBorder="1"/>
    <xf numFmtId="176" fontId="2" fillId="0" borderId="0" xfId="0" applyNumberFormat="1" applyFont="1"/>
    <xf numFmtId="0" fontId="2" fillId="0" borderId="0" xfId="0" applyFont="1" applyAlignment="1">
      <alignment horizontal="left" indent="1"/>
    </xf>
    <xf numFmtId="176" fontId="2" fillId="0" borderId="1" xfId="0" applyNumberFormat="1" applyFont="1" applyBorder="1" applyAlignment="1">
      <alignment horizontal="center"/>
    </xf>
    <xf numFmtId="10" fontId="2" fillId="0" borderId="0" xfId="3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3" fillId="0" borderId="0" xfId="0" applyNumberFormat="1" applyFont="1" applyBorder="1" applyProtection="1"/>
    <xf numFmtId="165" fontId="3" fillId="0" borderId="0" xfId="0" applyNumberFormat="1" applyFont="1" applyBorder="1" applyProtection="1"/>
    <xf numFmtId="166" fontId="2" fillId="0" borderId="0" xfId="0" applyNumberFormat="1" applyFont="1" applyAlignment="1" applyProtection="1">
      <alignment horizontal="center"/>
    </xf>
    <xf numFmtId="175" fontId="2" fillId="0" borderId="0" xfId="1" applyNumberFormat="1" applyFont="1" applyProtection="1"/>
    <xf numFmtId="175" fontId="2" fillId="0" borderId="0" xfId="1" applyNumberFormat="1" applyFont="1" applyAlignment="1" applyProtection="1">
      <alignment horizontal="center"/>
    </xf>
    <xf numFmtId="164" fontId="2" fillId="0" borderId="0" xfId="2" applyNumberFormat="1" applyFont="1" applyAlignment="1">
      <alignment horizontal="right"/>
    </xf>
    <xf numFmtId="164" fontId="7" fillId="0" borderId="0" xfId="2" applyNumberFormat="1" applyFont="1" applyAlignment="1">
      <alignment horizontal="center"/>
    </xf>
    <xf numFmtId="164" fontId="2" fillId="2" borderId="0" xfId="2" applyNumberFormat="1" applyFont="1" applyFill="1"/>
    <xf numFmtId="164" fontId="2" fillId="0" borderId="0" xfId="2" applyNumberFormat="1" applyFont="1" applyFill="1"/>
    <xf numFmtId="164" fontId="2" fillId="0" borderId="1" xfId="2" applyNumberFormat="1" applyFont="1" applyBorder="1" applyAlignment="1">
      <alignment horizontal="left"/>
    </xf>
    <xf numFmtId="0" fontId="2" fillId="0" borderId="0" xfId="2" applyNumberFormat="1" applyFont="1" applyAlignment="1">
      <alignment horizontal="center"/>
    </xf>
    <xf numFmtId="164" fontId="2" fillId="2" borderId="1" xfId="2" applyNumberFormat="1" applyFont="1" applyFill="1" applyBorder="1"/>
    <xf numFmtId="177" fontId="2" fillId="0" borderId="0" xfId="4" applyNumberFormat="1" applyFont="1" applyFill="1" applyAlignment="1">
      <alignment horizontal="right"/>
    </xf>
    <xf numFmtId="178" fontId="2" fillId="0" borderId="0" xfId="3" applyNumberFormat="1" applyFont="1"/>
    <xf numFmtId="177" fontId="2" fillId="0" borderId="0" xfId="0" applyNumberFormat="1" applyFont="1" applyBorder="1"/>
    <xf numFmtId="175" fontId="2" fillId="0" borderId="0" xfId="1" applyNumberFormat="1" applyFont="1"/>
    <xf numFmtId="0" fontId="2" fillId="0" borderId="5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39" fontId="2" fillId="0" borderId="0" xfId="0" applyNumberFormat="1" applyFont="1" applyFill="1" applyBorder="1" applyProtection="1"/>
    <xf numFmtId="165" fontId="2" fillId="0" borderId="0" xfId="0" applyNumberFormat="1" applyFont="1" applyFill="1" applyBorder="1"/>
    <xf numFmtId="165" fontId="2" fillId="0" borderId="4" xfId="0" applyNumberFormat="1" applyFont="1" applyFill="1" applyBorder="1"/>
    <xf numFmtId="0" fontId="2" fillId="0" borderId="7" xfId="0" applyFont="1" applyBorder="1"/>
    <xf numFmtId="0" fontId="9" fillId="0" borderId="0" xfId="0" applyFont="1"/>
    <xf numFmtId="169" fontId="2" fillId="0" borderId="0" xfId="0" applyNumberFormat="1" applyFont="1"/>
    <xf numFmtId="179" fontId="2" fillId="0" borderId="0" xfId="1" applyNumberFormat="1" applyFont="1" applyAlignment="1">
      <alignment horizontal="left"/>
    </xf>
    <xf numFmtId="164" fontId="3" fillId="0" borderId="1" xfId="2" applyNumberFormat="1" applyFont="1" applyBorder="1"/>
    <xf numFmtId="164" fontId="8" fillId="0" borderId="4" xfId="0" applyNumberFormat="1" applyFont="1" applyBorder="1"/>
    <xf numFmtId="175" fontId="2" fillId="0" borderId="1" xfId="1" applyNumberFormat="1" applyFont="1" applyBorder="1" applyAlignment="1"/>
    <xf numFmtId="175" fontId="2" fillId="0" borderId="0" xfId="0" applyNumberFormat="1" applyFont="1"/>
    <xf numFmtId="0" fontId="0" fillId="0" borderId="0" xfId="0" applyBorder="1"/>
    <xf numFmtId="10" fontId="2" fillId="0" borderId="4" xfId="2" applyNumberFormat="1" applyFont="1" applyBorder="1"/>
    <xf numFmtId="169" fontId="2" fillId="0" borderId="0" xfId="3" applyNumberFormat="1" applyFont="1" applyBorder="1"/>
    <xf numFmtId="169" fontId="2" fillId="0" borderId="1" xfId="3" applyNumberFormat="1" applyFont="1" applyBorder="1"/>
    <xf numFmtId="169" fontId="2" fillId="0" borderId="0" xfId="0" applyNumberFormat="1" applyFont="1" applyBorder="1"/>
    <xf numFmtId="169" fontId="2" fillId="0" borderId="5" xfId="3" applyNumberFormat="1" applyFont="1" applyBorder="1"/>
    <xf numFmtId="10" fontId="2" fillId="2" borderId="0" xfId="2" applyNumberFormat="1" applyFont="1" applyFill="1"/>
    <xf numFmtId="10" fontId="2" fillId="0" borderId="0" xfId="2" applyNumberFormat="1" applyFont="1"/>
    <xf numFmtId="10" fontId="2" fillId="0" borderId="3" xfId="2" applyNumberFormat="1" applyFont="1" applyBorder="1"/>
    <xf numFmtId="10" fontId="2" fillId="2" borderId="0" xfId="2" applyNumberFormat="1" applyFont="1" applyFill="1" applyBorder="1"/>
    <xf numFmtId="42" fontId="2" fillId="0" borderId="7" xfId="0" applyNumberFormat="1" applyFont="1" applyBorder="1"/>
    <xf numFmtId="42" fontId="2" fillId="0" borderId="0" xfId="0" applyNumberFormat="1" applyFont="1" applyBorder="1"/>
    <xf numFmtId="10" fontId="2" fillId="2" borderId="0" xfId="2" applyNumberFormat="1" applyFont="1" applyFill="1" applyAlignment="1">
      <alignment horizontal="center"/>
    </xf>
    <xf numFmtId="10" fontId="2" fillId="2" borderId="0" xfId="2" applyNumberFormat="1" applyFont="1" applyFill="1" applyBorder="1" applyAlignment="1">
      <alignment horizontal="center"/>
    </xf>
    <xf numFmtId="164" fontId="0" fillId="0" borderId="0" xfId="2" applyNumberFormat="1" applyFont="1"/>
    <xf numFmtId="0" fontId="2" fillId="0" borderId="1" xfId="0" applyFont="1" applyBorder="1" applyAlignment="1">
      <alignment horizontal="center"/>
    </xf>
    <xf numFmtId="10" fontId="0" fillId="0" borderId="0" xfId="0" applyNumberFormat="1"/>
    <xf numFmtId="165" fontId="2" fillId="0" borderId="1" xfId="3" applyNumberFormat="1" applyFont="1" applyBorder="1"/>
    <xf numFmtId="165" fontId="2" fillId="0" borderId="1" xfId="3" applyNumberFormat="1" applyFont="1" applyFill="1" applyBorder="1"/>
    <xf numFmtId="164" fontId="2" fillId="0" borderId="5" xfId="0" applyNumberFormat="1" applyFont="1" applyBorder="1"/>
    <xf numFmtId="37" fontId="2" fillId="0" borderId="0" xfId="2" applyNumberFormat="1" applyFont="1"/>
    <xf numFmtId="169" fontId="2" fillId="0" borderId="3" xfId="3" applyNumberFormat="1" applyFont="1" applyBorder="1"/>
    <xf numFmtId="181" fontId="2" fillId="0" borderId="4" xfId="0" applyNumberFormat="1" applyFont="1" applyBorder="1"/>
    <xf numFmtId="168" fontId="2" fillId="0" borderId="4" xfId="3" applyNumberFormat="1" applyFont="1" applyBorder="1"/>
    <xf numFmtId="168" fontId="2" fillId="0" borderId="0" xfId="3" applyNumberFormat="1" applyFont="1" applyBorder="1" applyAlignment="1"/>
    <xf numFmtId="168" fontId="2" fillId="0" borderId="0" xfId="0" applyNumberFormat="1" applyFont="1"/>
    <xf numFmtId="168" fontId="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164" fontId="10" fillId="0" borderId="4" xfId="0" applyNumberFormat="1" applyFont="1" applyBorder="1"/>
    <xf numFmtId="0" fontId="10" fillId="0" borderId="0" xfId="0" applyFont="1" applyBorder="1"/>
    <xf numFmtId="164" fontId="10" fillId="0" borderId="0" xfId="0" applyNumberFormat="1" applyFont="1"/>
    <xf numFmtId="164" fontId="10" fillId="0" borderId="0" xfId="2" applyNumberFormat="1" applyFont="1" applyBorder="1" applyAlignment="1">
      <alignment horizontal="center"/>
    </xf>
    <xf numFmtId="164" fontId="10" fillId="0" borderId="1" xfId="2" applyNumberFormat="1" applyFont="1" applyBorder="1" applyAlignment="1">
      <alignment horizontal="center"/>
    </xf>
    <xf numFmtId="164" fontId="10" fillId="0" borderId="0" xfId="2" applyNumberFormat="1" applyFont="1"/>
    <xf numFmtId="10" fontId="10" fillId="0" borderId="0" xfId="0" applyNumberFormat="1" applyFont="1"/>
    <xf numFmtId="164" fontId="10" fillId="0" borderId="3" xfId="2" applyNumberFormat="1" applyFont="1" applyBorder="1"/>
    <xf numFmtId="0" fontId="11" fillId="0" borderId="0" xfId="0" applyFont="1"/>
    <xf numFmtId="10" fontId="10" fillId="0" borderId="0" xfId="3" applyNumberFormat="1" applyFont="1"/>
    <xf numFmtId="10" fontId="10" fillId="0" borderId="3" xfId="3" applyNumberFormat="1" applyFont="1" applyBorder="1"/>
    <xf numFmtId="168" fontId="2" fillId="0" borderId="5" xfId="3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0" fontId="12" fillId="0" borderId="0" xfId="1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167" fontId="13" fillId="0" borderId="0" xfId="0" applyNumberFormat="1" applyFont="1"/>
    <xf numFmtId="164" fontId="12" fillId="0" borderId="0" xfId="2" applyNumberFormat="1" applyFont="1"/>
    <xf numFmtId="164" fontId="12" fillId="0" borderId="0" xfId="0" applyNumberFormat="1" applyFont="1"/>
    <xf numFmtId="167" fontId="12" fillId="0" borderId="3" xfId="0" applyNumberFormat="1" applyFont="1" applyBorder="1"/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0" xfId="0" applyFont="1" applyBorder="1"/>
    <xf numFmtId="0" fontId="12" fillId="0" borderId="1" xfId="0" applyFont="1" applyBorder="1" applyAlignment="1">
      <alignment horizontal="center" wrapText="1"/>
    </xf>
    <xf numFmtId="10" fontId="12" fillId="0" borderId="4" xfId="0" applyNumberFormat="1" applyFont="1" applyBorder="1" applyAlignment="1">
      <alignment horizontal="center"/>
    </xf>
    <xf numFmtId="17" fontId="12" fillId="0" borderId="0" xfId="0" applyNumberFormat="1" applyFont="1" applyFill="1" applyAlignment="1">
      <alignment horizontal="center"/>
    </xf>
    <xf numFmtId="44" fontId="12" fillId="0" borderId="0" xfId="0" applyNumberFormat="1" applyFont="1"/>
    <xf numFmtId="164" fontId="12" fillId="0" borderId="3" xfId="0" applyNumberFormat="1" applyFont="1" applyBorder="1"/>
    <xf numFmtId="10" fontId="12" fillId="0" borderId="4" xfId="0" applyNumberFormat="1" applyFont="1" applyBorder="1"/>
    <xf numFmtId="164" fontId="12" fillId="0" borderId="5" xfId="2" applyNumberFormat="1" applyFont="1" applyBorder="1"/>
    <xf numFmtId="167" fontId="13" fillId="0" borderId="5" xfId="0" applyNumberFormat="1" applyFont="1" applyBorder="1"/>
    <xf numFmtId="165" fontId="12" fillId="0" borderId="0" xfId="2" applyNumberFormat="1" applyFont="1"/>
    <xf numFmtId="0" fontId="2" fillId="0" borderId="1" xfId="0" applyFont="1" applyBorder="1" applyAlignment="1">
      <alignment horizontal="center"/>
    </xf>
    <xf numFmtId="171" fontId="2" fillId="0" borderId="0" xfId="0" applyNumberFormat="1" applyFont="1"/>
    <xf numFmtId="10" fontId="10" fillId="0" borderId="0" xfId="3" applyNumberFormat="1" applyFont="1" applyBorder="1" applyAlignment="1">
      <alignment horizontal="center"/>
    </xf>
    <xf numFmtId="10" fontId="10" fillId="0" borderId="1" xfId="3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0" fontId="10" fillId="0" borderId="3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0" xfId="3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wrapText="1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/>
    <xf numFmtId="180" fontId="2" fillId="0" borderId="0" xfId="0" applyNumberFormat="1" applyFont="1" applyAlignment="1">
      <alignment horizontal="center"/>
    </xf>
    <xf numFmtId="180" fontId="2" fillId="0" borderId="0" xfId="0" applyNumberFormat="1" applyFont="1"/>
    <xf numFmtId="165" fontId="2" fillId="0" borderId="0" xfId="0" applyNumberFormat="1" applyFont="1" applyAlignment="1">
      <alignment horizontal="center"/>
    </xf>
    <xf numFmtId="44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2" fontId="2" fillId="0" borderId="0" xfId="0" applyNumberFormat="1" applyFont="1"/>
    <xf numFmtId="3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10" fontId="12" fillId="0" borderId="0" xfId="3" applyNumberFormat="1" applyFont="1" applyFill="1" applyAlignment="1">
      <alignment horizontal="center"/>
    </xf>
    <xf numFmtId="10" fontId="2" fillId="0" borderId="3" xfId="3" applyNumberFormat="1" applyFont="1" applyBorder="1"/>
    <xf numFmtId="164" fontId="2" fillId="0" borderId="0" xfId="2" applyNumberFormat="1" applyFont="1" applyFill="1" applyBorder="1"/>
    <xf numFmtId="37" fontId="2" fillId="0" borderId="4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2" fillId="0" borderId="3" xfId="0" applyNumberFormat="1" applyFont="1" applyBorder="1"/>
    <xf numFmtId="0" fontId="2" fillId="0" borderId="0" xfId="2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1" xfId="0" applyNumberFormat="1" applyFont="1" applyBorder="1"/>
    <xf numFmtId="164" fontId="2" fillId="0" borderId="12" xfId="2" applyNumberFormat="1" applyFont="1" applyBorder="1"/>
    <xf numFmtId="164" fontId="2" fillId="0" borderId="13" xfId="2" applyNumberFormat="1" applyFont="1" applyBorder="1"/>
    <xf numFmtId="164" fontId="2" fillId="0" borderId="14" xfId="2" applyNumberFormat="1" applyFont="1" applyBorder="1"/>
    <xf numFmtId="164" fontId="2" fillId="0" borderId="15" xfId="2" applyNumberFormat="1" applyFont="1" applyBorder="1"/>
    <xf numFmtId="164" fontId="2" fillId="0" borderId="16" xfId="2" applyNumberFormat="1" applyFont="1" applyBorder="1"/>
    <xf numFmtId="10" fontId="2" fillId="0" borderId="15" xfId="3" applyNumberFormat="1" applyFont="1" applyBorder="1"/>
    <xf numFmtId="164" fontId="2" fillId="0" borderId="17" xfId="2" applyNumberFormat="1" applyFont="1" applyBorder="1"/>
    <xf numFmtId="164" fontId="2" fillId="0" borderId="18" xfId="2" applyNumberFormat="1" applyFont="1" applyBorder="1"/>
    <xf numFmtId="164" fontId="2" fillId="0" borderId="19" xfId="2" applyNumberFormat="1" applyFont="1" applyBorder="1"/>
    <xf numFmtId="164" fontId="2" fillId="0" borderId="20" xfId="2" applyNumberFormat="1" applyFont="1" applyBorder="1"/>
    <xf numFmtId="164" fontId="2" fillId="0" borderId="21" xfId="2" applyNumberFormat="1" applyFont="1" applyBorder="1"/>
    <xf numFmtId="164" fontId="2" fillId="0" borderId="22" xfId="2" applyNumberFormat="1" applyFont="1" applyBorder="1"/>
    <xf numFmtId="170" fontId="2" fillId="0" borderId="16" xfId="3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/>
    <xf numFmtId="0" fontId="2" fillId="0" borderId="1" xfId="0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0" fontId="2" fillId="0" borderId="1" xfId="2" applyNumberFormat="1" applyFont="1" applyBorder="1"/>
    <xf numFmtId="164" fontId="2" fillId="0" borderId="0" xfId="2" applyNumberFormat="1" applyFont="1" applyFill="1" applyAlignment="1">
      <alignment horizontal="center"/>
    </xf>
    <xf numFmtId="171" fontId="2" fillId="0" borderId="1" xfId="0" applyNumberFormat="1" applyFont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left" indent="13"/>
    </xf>
    <xf numFmtId="0" fontId="2" fillId="0" borderId="7" xfId="0" applyFont="1" applyBorder="1" applyAlignment="1">
      <alignment horizontal="left" indent="13"/>
    </xf>
    <xf numFmtId="164" fontId="8" fillId="0" borderId="0" xfId="2" applyNumberFormat="1" applyFont="1" applyAlignment="1">
      <alignment horizontal="center" textRotation="180" wrapText="1"/>
    </xf>
    <xf numFmtId="0" fontId="12" fillId="0" borderId="1" xfId="0" applyFont="1" applyBorder="1" applyAlignment="1">
      <alignment horizontal="center"/>
    </xf>
  </cellXfs>
  <cellStyles count="12">
    <cellStyle name="Comma" xfId="1" builtinId="3"/>
    <cellStyle name="Comma 2 2" xfId="8"/>
    <cellStyle name="Comma 86" xfId="9"/>
    <cellStyle name="Currency" xfId="2" builtinId="4"/>
    <cellStyle name="Currency 2 2" xfId="7"/>
    <cellStyle name="Normal" xfId="0" builtinId="0"/>
    <cellStyle name="Normal 129" xfId="6"/>
    <cellStyle name="Normal 2" xfId="4"/>
    <cellStyle name="Normal 2 3" xfId="5"/>
    <cellStyle name="Normal 48" xfId="11"/>
    <cellStyle name="Percent" xfId="3" builtinId="5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LA%20Work\KY%20AG%202016%20LGE%20and%20KU%20rate%20cases\Larkin%20Draft%20Exhibits\LGE%20Electric%20Revenue%20Requirement%20Exhibits\2017-02-26%20LGE%20Electric%20RR%20Exhibits_draft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\Documents\APCo-WV-2010\APCo-WPCo%20Exhibits_FINAL(1)_Corrected_Rebut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"/>
      <sheetName val="Ap2"/>
      <sheetName val="A-1"/>
      <sheetName val="B"/>
      <sheetName val="B, P2"/>
      <sheetName val="B.1"/>
      <sheetName val="C"/>
      <sheetName val="C.1"/>
      <sheetName val="Dp1"/>
      <sheetName val="Dp2"/>
      <sheetName val="Dp3"/>
      <sheetName val="B-1"/>
      <sheetName val="B-2"/>
      <sheetName val="B-3"/>
      <sheetName val="B-3, P2"/>
      <sheetName val="B-4"/>
      <sheetName val="B-5"/>
      <sheetName val="C-1Int.Sync"/>
      <sheetName val="C-2 P1"/>
      <sheetName val="C-2 P2"/>
      <sheetName val="C-2 P3"/>
      <sheetName val="C-3 "/>
      <sheetName val="C-4"/>
      <sheetName val="C-5"/>
      <sheetName val="C-6"/>
      <sheetName val="C-7"/>
      <sheetName val="C-8 P1"/>
      <sheetName val="C-8 P2"/>
      <sheetName val="C-8 P3"/>
      <sheetName val="C-9"/>
      <sheetName val="C-10"/>
      <sheetName val="C-11 "/>
      <sheetName val="C-12"/>
      <sheetName val="C-# Interest Swap"/>
      <sheetName val="&lt;- Used"/>
      <sheetName val="Not Used -&gt;"/>
      <sheetName val="AMS-Avg Service Life"/>
      <sheetName val="Affiliate P1"/>
      <sheetName val="Affiliate P2"/>
      <sheetName val="Affiliate P3"/>
      <sheetName val="50 BP ROE"/>
      <sheetName val="D Base Period"/>
      <sheetName val="D Forecasted Period"/>
      <sheetName val="D P2 Base Period"/>
      <sheetName val="D P2 Forecasted Period"/>
    </sheetNames>
    <sheetDataSet>
      <sheetData sheetId="0">
        <row r="1">
          <cell r="A1" t="str">
            <v>Louisville Gas and Electric Company</v>
          </cell>
        </row>
        <row r="28">
          <cell r="A28" t="str">
            <v>C-3</v>
          </cell>
        </row>
        <row r="29">
          <cell r="A29" t="str">
            <v>C-4</v>
          </cell>
        </row>
        <row r="30">
          <cell r="A30" t="str">
            <v>C-5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"/>
      <sheetName val="Ap2"/>
      <sheetName val="A-1"/>
      <sheetName val="B"/>
      <sheetName val="B.1"/>
      <sheetName val="C"/>
      <sheetName val="C.1"/>
      <sheetName val="D"/>
      <sheetName val="B-1"/>
      <sheetName val="B-2"/>
      <sheetName val="B-3 P1 Total"/>
      <sheetName val="B-3 P2 APCo"/>
      <sheetName val="B-3 P3 WPCo"/>
      <sheetName val="B-3 P4"/>
      <sheetName val="CWC Workpaper"/>
      <sheetName val="B-4"/>
      <sheetName val="B-5"/>
      <sheetName val="B-6"/>
      <sheetName val="B-7"/>
      <sheetName val="B-8"/>
      <sheetName val="B-9"/>
      <sheetName val="B-10"/>
      <sheetName val="C-1"/>
      <sheetName val="C-1 P2"/>
      <sheetName val="C-2"/>
      <sheetName val="C-3"/>
      <sheetName val="C-4"/>
      <sheetName val="C-5"/>
      <sheetName val="C-6"/>
      <sheetName val="C-6 P2"/>
      <sheetName val="C-7"/>
      <sheetName val="C-8"/>
      <sheetName val="C-9"/>
      <sheetName val="C-9.1"/>
      <sheetName val="C-10"/>
      <sheetName val="C-10 P2"/>
      <sheetName val="C-11"/>
      <sheetName val="C-12"/>
      <sheetName val="C-13 Int Sync"/>
      <sheetName val="C-14"/>
      <sheetName val="C-15"/>
      <sheetName val="C-16"/>
      <sheetName val="C-17"/>
      <sheetName val="C-18"/>
      <sheetName val="C-19"/>
      <sheetName val="C-20"/>
      <sheetName val="C-21"/>
      <sheetName val="C-22"/>
      <sheetName val="C-23"/>
      <sheetName val="C-24"/>
      <sheetName val="C-25"/>
      <sheetName val="C-26"/>
      <sheetName val="C-27"/>
      <sheetName val="C-28"/>
      <sheetName val="&lt;- Used"/>
      <sheetName val="Not Used -&gt;"/>
      <sheetName val="C.R Coal Blending "/>
      <sheetName val="CR Coal Blending Dep"/>
      <sheetName val="SNCR"/>
      <sheetName val="SNCR Dep"/>
      <sheetName val="Low NOX"/>
      <sheetName val="Low NOX Dep"/>
      <sheetName val="Mount CCS"/>
      <sheetName val="Mount CCS Dep"/>
      <sheetName val="PHFFU"/>
    </sheetNames>
    <sheetDataSet>
      <sheetData sheetId="0">
        <row r="4">
          <cell r="U4" t="str">
            <v>Exhibit LA-1R</v>
          </cell>
        </row>
        <row r="30">
          <cell r="A30" t="str">
            <v>C-1</v>
          </cell>
        </row>
        <row r="31">
          <cell r="A31" t="str">
            <v>C-2</v>
          </cell>
        </row>
        <row r="32">
          <cell r="A32" t="str">
            <v>C-3</v>
          </cell>
        </row>
        <row r="33">
          <cell r="A33" t="str">
            <v>C-4</v>
          </cell>
        </row>
        <row r="34">
          <cell r="A34" t="str">
            <v>C-5</v>
          </cell>
        </row>
        <row r="35">
          <cell r="A35" t="str">
            <v>C-6</v>
          </cell>
        </row>
        <row r="36">
          <cell r="A36" t="str">
            <v>C-7</v>
          </cell>
        </row>
        <row r="37">
          <cell r="A37" t="str">
            <v>C-8</v>
          </cell>
        </row>
        <row r="38">
          <cell r="A38" t="str">
            <v>C-9</v>
          </cell>
        </row>
        <row r="40">
          <cell r="A40" t="str">
            <v>C-10</v>
          </cell>
        </row>
        <row r="41">
          <cell r="A41" t="str">
            <v>C-11</v>
          </cell>
        </row>
      </sheetData>
      <sheetData sheetId="1"/>
      <sheetData sheetId="2">
        <row r="73">
          <cell r="K73">
            <v>132634190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73"/>
  <sheetViews>
    <sheetView tabSelected="1" zoomScaleSheetLayoutView="90" workbookViewId="0">
      <selection activeCell="F3" sqref="F3"/>
    </sheetView>
  </sheetViews>
  <sheetFormatPr defaultRowHeight="12.75" x14ac:dyDescent="0.2"/>
  <cols>
    <col min="1" max="1" width="9" style="1" customWidth="1"/>
    <col min="2" max="2" width="74.28515625" style="1" customWidth="1"/>
    <col min="3" max="16384" width="9.140625" style="1"/>
  </cols>
  <sheetData>
    <row r="1" spans="1:30" ht="18.75" x14ac:dyDescent="0.3">
      <c r="A1" s="273" t="s">
        <v>274</v>
      </c>
      <c r="B1" s="273"/>
      <c r="C1" s="273"/>
      <c r="D1" s="273"/>
    </row>
    <row r="2" spans="1:30" ht="18.75" x14ac:dyDescent="0.3">
      <c r="A2" s="273" t="s">
        <v>275</v>
      </c>
      <c r="B2" s="273"/>
      <c r="C2" s="273"/>
      <c r="D2" s="273"/>
      <c r="U2" s="1" t="s">
        <v>78</v>
      </c>
    </row>
    <row r="3" spans="1:30" ht="18.75" x14ac:dyDescent="0.3">
      <c r="A3" s="273" t="s">
        <v>185</v>
      </c>
      <c r="B3" s="273"/>
      <c r="C3" s="273"/>
      <c r="D3" s="273"/>
    </row>
    <row r="4" spans="1:30" ht="18.75" x14ac:dyDescent="0.3">
      <c r="A4" s="273" t="s">
        <v>58</v>
      </c>
      <c r="B4" s="273"/>
      <c r="C4" s="273"/>
      <c r="D4" s="273"/>
      <c r="Q4" s="1" t="s">
        <v>46</v>
      </c>
      <c r="S4" s="1" t="s">
        <v>185</v>
      </c>
      <c r="W4" s="1" t="s">
        <v>123</v>
      </c>
    </row>
    <row r="5" spans="1:30" ht="25.5" x14ac:dyDescent="0.2">
      <c r="A5" s="7" t="s">
        <v>32</v>
      </c>
      <c r="B5" s="7" t="s">
        <v>3</v>
      </c>
      <c r="C5" s="76" t="s">
        <v>145</v>
      </c>
      <c r="D5" s="76" t="s">
        <v>150</v>
      </c>
      <c r="E5" s="80"/>
      <c r="F5" s="80"/>
      <c r="G5" s="80"/>
      <c r="H5" s="80"/>
      <c r="I5" t="s">
        <v>146</v>
      </c>
      <c r="J5" t="s">
        <v>147</v>
      </c>
      <c r="K5"/>
      <c r="L5" t="s">
        <v>148</v>
      </c>
      <c r="M5" s="80"/>
      <c r="N5" s="80"/>
      <c r="AA5" t="s">
        <v>146</v>
      </c>
      <c r="AB5" t="s">
        <v>147</v>
      </c>
      <c r="AC5"/>
      <c r="AD5" t="s">
        <v>148</v>
      </c>
    </row>
    <row r="6" spans="1:30" x14ac:dyDescent="0.2">
      <c r="A6" s="6"/>
      <c r="B6" s="7" t="s">
        <v>104</v>
      </c>
      <c r="C6" s="6"/>
      <c r="D6" s="6"/>
      <c r="I6" s="77">
        <v>1</v>
      </c>
      <c r="J6"/>
      <c r="K6" s="78" t="s">
        <v>149</v>
      </c>
      <c r="L6"/>
      <c r="AA6" s="77">
        <v>1</v>
      </c>
      <c r="AB6"/>
      <c r="AC6" s="78" t="s">
        <v>149</v>
      </c>
      <c r="AD6"/>
    </row>
    <row r="7" spans="1:30" x14ac:dyDescent="0.2">
      <c r="A7" s="8" t="str">
        <f t="shared" ref="A7:A13" si="0">O7</f>
        <v xml:space="preserve">A </v>
      </c>
      <c r="B7" s="6" t="s">
        <v>103</v>
      </c>
      <c r="C7" s="8">
        <v>2</v>
      </c>
      <c r="D7" s="8" t="str">
        <f>L7</f>
        <v>2-3</v>
      </c>
      <c r="I7" s="79">
        <v>2</v>
      </c>
      <c r="J7" s="74">
        <f>I6+C7</f>
        <v>3</v>
      </c>
      <c r="K7" s="78" t="s">
        <v>149</v>
      </c>
      <c r="L7" s="77" t="str">
        <f t="shared" ref="L7:L13" si="1">IF(I7=J7,J7,I7&amp;K7&amp;J7)</f>
        <v>2-3</v>
      </c>
      <c r="O7" s="1" t="s">
        <v>90</v>
      </c>
      <c r="Q7" s="1" t="e">
        <f>#REF!&amp;$Q$4&amp;O7</f>
        <v>#REF!</v>
      </c>
      <c r="AA7" s="79">
        <v>3</v>
      </c>
      <c r="AB7" s="74">
        <f>AA6+C7</f>
        <v>3</v>
      </c>
      <c r="AC7" s="78" t="s">
        <v>149</v>
      </c>
      <c r="AD7" s="77">
        <f t="shared" ref="AD7:AD13" si="2">IF(AA7=AB7,AB7,AA7&amp;AC7&amp;AB7)</f>
        <v>3</v>
      </c>
    </row>
    <row r="8" spans="1:30" x14ac:dyDescent="0.2">
      <c r="A8" s="8" t="str">
        <f>O8</f>
        <v xml:space="preserve">A-1 </v>
      </c>
      <c r="B8" s="6" t="s">
        <v>59</v>
      </c>
      <c r="C8" s="8">
        <v>1</v>
      </c>
      <c r="D8" s="8">
        <f t="shared" ref="D8:D13" si="3">L8</f>
        <v>4</v>
      </c>
      <c r="I8" s="79">
        <f t="shared" ref="I8:I13" si="4">J7+1</f>
        <v>4</v>
      </c>
      <c r="J8" s="74">
        <f t="shared" ref="J8:J13" si="5">J7+C8</f>
        <v>4</v>
      </c>
      <c r="K8" s="78" t="s">
        <v>149</v>
      </c>
      <c r="L8" s="77">
        <f t="shared" si="1"/>
        <v>4</v>
      </c>
      <c r="O8" s="1" t="s">
        <v>91</v>
      </c>
      <c r="W8" s="1" t="str">
        <f>A8</f>
        <v xml:space="preserve">A-1 </v>
      </c>
      <c r="X8" s="1" t="str">
        <f>B8</f>
        <v>Gross Revenue Conversion Factor</v>
      </c>
      <c r="AA8" s="79">
        <f t="shared" ref="AA8:AA13" si="6">AB7+1</f>
        <v>4</v>
      </c>
      <c r="AB8" s="74">
        <f t="shared" ref="AB8:AB13" si="7">AB7+T8</f>
        <v>3</v>
      </c>
      <c r="AC8" s="78" t="s">
        <v>149</v>
      </c>
      <c r="AD8" s="77" t="str">
        <f t="shared" si="2"/>
        <v>4-3</v>
      </c>
    </row>
    <row r="9" spans="1:30" x14ac:dyDescent="0.2">
      <c r="A9" s="8" t="str">
        <f t="shared" si="0"/>
        <v xml:space="preserve">B </v>
      </c>
      <c r="B9" s="6" t="s">
        <v>105</v>
      </c>
      <c r="C9" s="8">
        <v>1</v>
      </c>
      <c r="D9" s="8">
        <f t="shared" si="3"/>
        <v>5</v>
      </c>
      <c r="I9" s="79">
        <f t="shared" si="4"/>
        <v>5</v>
      </c>
      <c r="J9" s="74">
        <f t="shared" si="5"/>
        <v>5</v>
      </c>
      <c r="K9" s="78" t="s">
        <v>149</v>
      </c>
      <c r="L9" s="77">
        <f t="shared" si="1"/>
        <v>5</v>
      </c>
      <c r="O9" s="1" t="s">
        <v>92</v>
      </c>
      <c r="AA9" s="79">
        <f t="shared" si="6"/>
        <v>4</v>
      </c>
      <c r="AB9" s="74">
        <f t="shared" si="7"/>
        <v>3</v>
      </c>
      <c r="AC9" s="78" t="s">
        <v>149</v>
      </c>
      <c r="AD9" s="77" t="str">
        <f t="shared" si="2"/>
        <v>4-3</v>
      </c>
    </row>
    <row r="10" spans="1:30" x14ac:dyDescent="0.2">
      <c r="A10" s="8" t="str">
        <f t="shared" si="0"/>
        <v xml:space="preserve">B.1 </v>
      </c>
      <c r="B10" s="6" t="s">
        <v>106</v>
      </c>
      <c r="C10" s="8">
        <v>1</v>
      </c>
      <c r="D10" s="8">
        <f t="shared" si="3"/>
        <v>6</v>
      </c>
      <c r="I10" s="79">
        <f t="shared" si="4"/>
        <v>6</v>
      </c>
      <c r="J10" s="74">
        <f t="shared" si="5"/>
        <v>6</v>
      </c>
      <c r="K10" s="78" t="s">
        <v>149</v>
      </c>
      <c r="L10" s="77">
        <f t="shared" si="1"/>
        <v>6</v>
      </c>
      <c r="O10" s="1" t="s">
        <v>93</v>
      </c>
      <c r="AA10" s="79">
        <f t="shared" si="6"/>
        <v>4</v>
      </c>
      <c r="AB10" s="74">
        <f t="shared" si="7"/>
        <v>3</v>
      </c>
      <c r="AC10" s="78" t="s">
        <v>149</v>
      </c>
      <c r="AD10" s="77" t="str">
        <f t="shared" si="2"/>
        <v>4-3</v>
      </c>
    </row>
    <row r="11" spans="1:30" x14ac:dyDescent="0.2">
      <c r="A11" s="8" t="str">
        <f t="shared" si="0"/>
        <v xml:space="preserve">C </v>
      </c>
      <c r="B11" s="6" t="s">
        <v>107</v>
      </c>
      <c r="C11" s="8">
        <v>1</v>
      </c>
      <c r="D11" s="8">
        <f t="shared" si="3"/>
        <v>7</v>
      </c>
      <c r="I11" s="79">
        <f t="shared" si="4"/>
        <v>7</v>
      </c>
      <c r="J11" s="74">
        <f t="shared" si="5"/>
        <v>7</v>
      </c>
      <c r="K11" s="78" t="s">
        <v>149</v>
      </c>
      <c r="L11" s="77">
        <f t="shared" si="1"/>
        <v>7</v>
      </c>
      <c r="O11" s="1" t="s">
        <v>94</v>
      </c>
      <c r="Q11" s="1" t="e">
        <f>#REF!&amp;$Q$4&amp;O11</f>
        <v>#REF!</v>
      </c>
      <c r="AA11" s="79">
        <f t="shared" si="6"/>
        <v>4</v>
      </c>
      <c r="AB11" s="74">
        <f t="shared" si="7"/>
        <v>3</v>
      </c>
      <c r="AC11" s="78" t="s">
        <v>149</v>
      </c>
      <c r="AD11" s="77" t="str">
        <f t="shared" si="2"/>
        <v>4-3</v>
      </c>
    </row>
    <row r="12" spans="1:30" x14ac:dyDescent="0.2">
      <c r="A12" s="8" t="str">
        <f t="shared" si="0"/>
        <v>C.1</v>
      </c>
      <c r="B12" s="6" t="s">
        <v>108</v>
      </c>
      <c r="C12" s="8">
        <v>3</v>
      </c>
      <c r="D12" s="8" t="str">
        <f t="shared" si="3"/>
        <v>8-10</v>
      </c>
      <c r="I12" s="79">
        <f t="shared" si="4"/>
        <v>8</v>
      </c>
      <c r="J12" s="74">
        <f t="shared" si="5"/>
        <v>10</v>
      </c>
      <c r="K12" s="78" t="s">
        <v>149</v>
      </c>
      <c r="L12" s="77" t="str">
        <f t="shared" si="1"/>
        <v>8-10</v>
      </c>
      <c r="O12" s="1" t="s">
        <v>95</v>
      </c>
      <c r="AA12" s="79">
        <f t="shared" si="6"/>
        <v>4</v>
      </c>
      <c r="AB12" s="74">
        <f t="shared" si="7"/>
        <v>3</v>
      </c>
      <c r="AC12" s="78" t="s">
        <v>149</v>
      </c>
      <c r="AD12" s="77" t="str">
        <f t="shared" si="2"/>
        <v>4-3</v>
      </c>
    </row>
    <row r="13" spans="1:30" x14ac:dyDescent="0.2">
      <c r="A13" s="8" t="str">
        <f t="shared" si="0"/>
        <v xml:space="preserve">D </v>
      </c>
      <c r="B13" s="6" t="s">
        <v>109</v>
      </c>
      <c r="C13" s="8">
        <v>3</v>
      </c>
      <c r="D13" s="8" t="str">
        <f t="shared" si="3"/>
        <v>11-13</v>
      </c>
      <c r="I13" s="79">
        <f t="shared" si="4"/>
        <v>11</v>
      </c>
      <c r="J13" s="74">
        <f t="shared" si="5"/>
        <v>13</v>
      </c>
      <c r="K13" s="78" t="s">
        <v>149</v>
      </c>
      <c r="L13" s="77" t="str">
        <f t="shared" si="1"/>
        <v>11-13</v>
      </c>
      <c r="O13" s="1" t="s">
        <v>96</v>
      </c>
      <c r="AA13" s="79">
        <f t="shared" si="6"/>
        <v>4</v>
      </c>
      <c r="AB13" s="74">
        <f t="shared" si="7"/>
        <v>3</v>
      </c>
      <c r="AC13" s="78" t="s">
        <v>149</v>
      </c>
      <c r="AD13" s="77" t="str">
        <f t="shared" si="2"/>
        <v>4-3</v>
      </c>
    </row>
    <row r="14" spans="1:30" x14ac:dyDescent="0.2">
      <c r="A14" s="8"/>
      <c r="B14" s="6"/>
      <c r="C14" s="8"/>
      <c r="D14" s="6"/>
      <c r="I14" s="79"/>
      <c r="J14" s="74"/>
      <c r="K14" s="74"/>
      <c r="L14" s="79"/>
      <c r="AA14" s="79"/>
      <c r="AB14" s="74"/>
      <c r="AC14" s="74"/>
      <c r="AD14" s="79"/>
    </row>
    <row r="15" spans="1:30" x14ac:dyDescent="0.2">
      <c r="A15" s="8"/>
      <c r="B15" s="7" t="s">
        <v>36</v>
      </c>
      <c r="C15" s="8"/>
      <c r="D15" s="6"/>
      <c r="I15" s="79"/>
      <c r="J15" s="74"/>
      <c r="K15" s="74"/>
      <c r="L15" s="79"/>
      <c r="AA15" s="79"/>
      <c r="AB15" s="74"/>
      <c r="AC15" s="74"/>
      <c r="AD15" s="79"/>
    </row>
    <row r="16" spans="1:30" x14ac:dyDescent="0.2">
      <c r="A16" s="8" t="str">
        <f>Q16</f>
        <v>B-1</v>
      </c>
      <c r="B16" s="6" t="str">
        <f>'B-1'!A2</f>
        <v>Slippage Adjustment</v>
      </c>
      <c r="C16" s="8">
        <v>1</v>
      </c>
      <c r="D16" s="8">
        <f t="shared" ref="D16:D21" si="8">L16</f>
        <v>14</v>
      </c>
      <c r="E16" s="1" t="s">
        <v>159</v>
      </c>
      <c r="F16" s="1" t="str">
        <f t="shared" ref="F16:F22" si="9">A16&amp;E16&amp;B16</f>
        <v>B-1, Slippage Adjustment</v>
      </c>
      <c r="I16" s="79">
        <f>J13+1</f>
        <v>14</v>
      </c>
      <c r="J16" s="74">
        <f>J13+C16</f>
        <v>14</v>
      </c>
      <c r="K16" s="78" t="s">
        <v>149</v>
      </c>
      <c r="L16" s="77">
        <f t="shared" ref="L16:L21" si="10">IF(I16=J16,J16,I16&amp;K16&amp;J16)</f>
        <v>14</v>
      </c>
      <c r="O16" s="1" t="s">
        <v>119</v>
      </c>
      <c r="P16" s="1">
        <v>1</v>
      </c>
      <c r="Q16" s="1" t="str">
        <f>O16&amp;P16</f>
        <v>B-1</v>
      </c>
      <c r="W16" s="1" t="str">
        <f>A16</f>
        <v>B-1</v>
      </c>
      <c r="X16" s="1" t="str">
        <f>B16</f>
        <v>Slippage Adjustment</v>
      </c>
      <c r="AA16" s="79">
        <f>AB13+1</f>
        <v>4</v>
      </c>
      <c r="AB16" s="74">
        <f>AB13+T16</f>
        <v>3</v>
      </c>
      <c r="AC16" s="78" t="s">
        <v>149</v>
      </c>
      <c r="AD16" s="77" t="str">
        <f t="shared" ref="AD16:AD21" si="11">IF(AA16=AB16,AB16,AA16&amp;AC16&amp;AB16)</f>
        <v>4-3</v>
      </c>
    </row>
    <row r="17" spans="1:30" x14ac:dyDescent="0.2">
      <c r="A17" s="8" t="str">
        <f t="shared" ref="A17:A19" si="12">Q17</f>
        <v>B-2</v>
      </c>
      <c r="B17" s="88" t="str">
        <f>'B-2'!A2</f>
        <v>Distribution Automation</v>
      </c>
      <c r="C17" s="8">
        <v>1</v>
      </c>
      <c r="D17" s="8">
        <f t="shared" si="8"/>
        <v>15</v>
      </c>
      <c r="E17" s="1" t="s">
        <v>159</v>
      </c>
      <c r="F17" s="1" t="str">
        <f t="shared" si="9"/>
        <v>B-2, Distribution Automation</v>
      </c>
      <c r="I17" s="79">
        <f t="shared" ref="I17:I21" si="13">J16+1</f>
        <v>15</v>
      </c>
      <c r="J17" s="74">
        <f t="shared" ref="J17:J22" si="14">J16+C17</f>
        <v>15</v>
      </c>
      <c r="K17" s="78" t="s">
        <v>149</v>
      </c>
      <c r="L17" s="77">
        <f t="shared" si="10"/>
        <v>15</v>
      </c>
      <c r="O17" s="1" t="s">
        <v>119</v>
      </c>
      <c r="P17" s="1">
        <f>P16+1</f>
        <v>2</v>
      </c>
      <c r="Q17" s="1" t="str">
        <f t="shared" ref="Q17:Q37" si="15">O17&amp;P17</f>
        <v>B-2</v>
      </c>
      <c r="S17" s="1">
        <v>1</v>
      </c>
      <c r="AA17" s="79">
        <f>AB16+1</f>
        <v>4</v>
      </c>
      <c r="AB17" s="74">
        <f>AB16+T17</f>
        <v>3</v>
      </c>
      <c r="AC17" s="78" t="s">
        <v>149</v>
      </c>
      <c r="AD17" s="77" t="str">
        <f t="shared" si="11"/>
        <v>4-3</v>
      </c>
    </row>
    <row r="18" spans="1:30" x14ac:dyDescent="0.2">
      <c r="A18" s="8" t="str">
        <f t="shared" si="12"/>
        <v>B-3</v>
      </c>
      <c r="B18" s="88" t="str">
        <f>'B-3'!A2</f>
        <v>Cash Working Capital</v>
      </c>
      <c r="C18" s="8">
        <v>2</v>
      </c>
      <c r="D18" s="8" t="str">
        <f t="shared" si="8"/>
        <v>16-17</v>
      </c>
      <c r="E18" s="1" t="s">
        <v>159</v>
      </c>
      <c r="F18" s="1" t="str">
        <f t="shared" si="9"/>
        <v>B-3, Cash Working Capital</v>
      </c>
      <c r="I18" s="79">
        <f t="shared" si="13"/>
        <v>16</v>
      </c>
      <c r="J18" s="74">
        <f t="shared" si="14"/>
        <v>17</v>
      </c>
      <c r="K18" s="78" t="s">
        <v>149</v>
      </c>
      <c r="L18" s="77" t="str">
        <f t="shared" si="10"/>
        <v>16-17</v>
      </c>
      <c r="O18" s="1" t="s">
        <v>119</v>
      </c>
      <c r="P18" s="1">
        <f t="shared" ref="P18:P21" si="16">P17+1</f>
        <v>3</v>
      </c>
      <c r="Q18" s="1" t="str">
        <f t="shared" si="15"/>
        <v>B-3</v>
      </c>
      <c r="S18" s="1">
        <f>S17+1</f>
        <v>2</v>
      </c>
      <c r="AA18" s="79">
        <f>AB17+1</f>
        <v>4</v>
      </c>
      <c r="AB18" s="74">
        <f>AB17+T18</f>
        <v>3</v>
      </c>
      <c r="AC18" s="78" t="s">
        <v>149</v>
      </c>
      <c r="AD18" s="77" t="str">
        <f t="shared" si="11"/>
        <v>4-3</v>
      </c>
    </row>
    <row r="19" spans="1:30" ht="12.75" customHeight="1" x14ac:dyDescent="0.2">
      <c r="A19" s="8" t="str">
        <f t="shared" si="12"/>
        <v>B-4</v>
      </c>
      <c r="B19" s="235" t="str">
        <f>'B-4'!A2</f>
        <v>Advanced Metering Systems</v>
      </c>
      <c r="C19" s="8">
        <v>1</v>
      </c>
      <c r="D19" s="8">
        <f t="shared" si="8"/>
        <v>18</v>
      </c>
      <c r="E19" s="1" t="s">
        <v>159</v>
      </c>
      <c r="F19" s="1" t="str">
        <f t="shared" si="9"/>
        <v>B-4, Advanced Metering Systems</v>
      </c>
      <c r="I19" s="79">
        <f t="shared" si="13"/>
        <v>18</v>
      </c>
      <c r="J19" s="74">
        <f t="shared" si="14"/>
        <v>18</v>
      </c>
      <c r="K19" s="78" t="s">
        <v>149</v>
      </c>
      <c r="L19" s="77">
        <f t="shared" si="10"/>
        <v>18</v>
      </c>
      <c r="O19" s="1" t="s">
        <v>119</v>
      </c>
      <c r="P19" s="1">
        <f t="shared" si="16"/>
        <v>4</v>
      </c>
      <c r="Q19" s="1" t="str">
        <f t="shared" si="15"/>
        <v>B-4</v>
      </c>
      <c r="S19" s="1">
        <f>S18+1</f>
        <v>3</v>
      </c>
      <c r="AA19" s="79">
        <f>AB18+1</f>
        <v>4</v>
      </c>
      <c r="AB19" s="74">
        <f>AB18+T19</f>
        <v>3</v>
      </c>
      <c r="AC19" s="78" t="s">
        <v>149</v>
      </c>
      <c r="AD19" s="77" t="str">
        <f t="shared" si="11"/>
        <v>4-3</v>
      </c>
    </row>
    <row r="20" spans="1:30" ht="12.75" hidden="1" customHeight="1" x14ac:dyDescent="0.2">
      <c r="A20" s="8"/>
      <c r="B20" s="6"/>
      <c r="C20" s="8"/>
      <c r="D20" s="8" t="str">
        <f t="shared" si="8"/>
        <v>19-18</v>
      </c>
      <c r="E20" s="1" t="s">
        <v>159</v>
      </c>
      <c r="F20" s="1" t="str">
        <f t="shared" si="9"/>
        <v xml:space="preserve">, </v>
      </c>
      <c r="I20" s="79">
        <f t="shared" si="13"/>
        <v>19</v>
      </c>
      <c r="J20" s="74">
        <f t="shared" si="14"/>
        <v>18</v>
      </c>
      <c r="K20" s="78" t="s">
        <v>149</v>
      </c>
      <c r="L20" s="77" t="str">
        <f t="shared" si="10"/>
        <v>19-18</v>
      </c>
      <c r="O20" s="1" t="s">
        <v>119</v>
      </c>
      <c r="P20" s="1">
        <f t="shared" si="16"/>
        <v>5</v>
      </c>
      <c r="Q20" s="1" t="str">
        <f t="shared" si="15"/>
        <v>B-5</v>
      </c>
      <c r="AA20" s="79">
        <f>AB19+1</f>
        <v>4</v>
      </c>
      <c r="AB20" s="74">
        <f>AB19+T20</f>
        <v>3</v>
      </c>
      <c r="AC20" s="78" t="s">
        <v>149</v>
      </c>
      <c r="AD20" s="77" t="str">
        <f t="shared" si="11"/>
        <v>4-3</v>
      </c>
    </row>
    <row r="21" spans="1:30" ht="10.5" hidden="1" customHeight="1" x14ac:dyDescent="0.2">
      <c r="A21" s="8"/>
      <c r="B21" s="6"/>
      <c r="C21" s="8"/>
      <c r="D21" s="8" t="str">
        <f t="shared" si="8"/>
        <v>19-18</v>
      </c>
      <c r="E21" s="1" t="s">
        <v>159</v>
      </c>
      <c r="F21" s="1" t="str">
        <f t="shared" si="9"/>
        <v xml:space="preserve">, </v>
      </c>
      <c r="I21" s="79">
        <f t="shared" si="13"/>
        <v>19</v>
      </c>
      <c r="J21" s="74">
        <f t="shared" si="14"/>
        <v>18</v>
      </c>
      <c r="K21" s="78" t="s">
        <v>149</v>
      </c>
      <c r="L21" s="77" t="str">
        <f t="shared" si="10"/>
        <v>19-18</v>
      </c>
      <c r="O21" s="1" t="s">
        <v>119</v>
      </c>
      <c r="P21" s="1">
        <f t="shared" si="16"/>
        <v>6</v>
      </c>
      <c r="Q21" s="1" t="str">
        <f t="shared" si="15"/>
        <v>B-6</v>
      </c>
      <c r="S21" s="1" t="e">
        <f>#REF!+1</f>
        <v>#REF!</v>
      </c>
      <c r="AA21" s="79">
        <f>AB20+1</f>
        <v>4</v>
      </c>
      <c r="AB21" s="74">
        <f>AB20+T21</f>
        <v>3</v>
      </c>
      <c r="AC21" s="78" t="s">
        <v>149</v>
      </c>
      <c r="AD21" s="77" t="str">
        <f t="shared" si="11"/>
        <v>4-3</v>
      </c>
    </row>
    <row r="22" spans="1:30" ht="14.25" hidden="1" customHeight="1" x14ac:dyDescent="0.2">
      <c r="A22" s="8"/>
      <c r="B22" s="235"/>
      <c r="C22" s="8"/>
      <c r="D22" s="8" t="str">
        <f t="shared" ref="D22" si="17">L22</f>
        <v>19-18</v>
      </c>
      <c r="E22" s="1" t="s">
        <v>159</v>
      </c>
      <c r="F22" s="1" t="str">
        <f t="shared" si="9"/>
        <v xml:space="preserve">, </v>
      </c>
      <c r="I22" s="79">
        <f t="shared" ref="I22" si="18">J21+1</f>
        <v>19</v>
      </c>
      <c r="J22" s="74">
        <f t="shared" si="14"/>
        <v>18</v>
      </c>
      <c r="K22" s="78" t="s">
        <v>149</v>
      </c>
      <c r="L22" s="77" t="str">
        <f t="shared" ref="L22" si="19">IF(I22=J22,J22,I22&amp;K22&amp;J22)</f>
        <v>19-18</v>
      </c>
      <c r="O22" s="1" t="s">
        <v>119</v>
      </c>
      <c r="P22" s="1">
        <f>P19+1</f>
        <v>5</v>
      </c>
      <c r="Q22" s="1" t="str">
        <f t="shared" ref="Q22" si="20">O22&amp;P22</f>
        <v>B-5</v>
      </c>
      <c r="AA22" s="79"/>
      <c r="AB22" s="74"/>
      <c r="AC22" s="78"/>
      <c r="AD22" s="77"/>
    </row>
    <row r="23" spans="1:30" x14ac:dyDescent="0.2">
      <c r="A23" s="8"/>
      <c r="B23" s="6"/>
      <c r="C23" s="8"/>
      <c r="D23" s="6"/>
      <c r="I23" s="79"/>
      <c r="J23" s="74"/>
      <c r="K23" s="78"/>
      <c r="L23" s="77"/>
      <c r="AA23" s="79">
        <f>AB21+1</f>
        <v>4</v>
      </c>
      <c r="AB23" s="74">
        <f>AB21+T23</f>
        <v>3</v>
      </c>
      <c r="AC23" s="78" t="s">
        <v>149</v>
      </c>
      <c r="AD23" s="77" t="str">
        <f t="shared" ref="AD23:AD28" si="21">IF(AA23=AB23,AB23,AA23&amp;AC23&amp;AB23)</f>
        <v>4-3</v>
      </c>
    </row>
    <row r="24" spans="1:30" x14ac:dyDescent="0.2">
      <c r="A24" s="6"/>
      <c r="B24" s="7" t="s">
        <v>35</v>
      </c>
      <c r="C24" s="8"/>
      <c r="D24" s="6"/>
      <c r="I24" s="79"/>
      <c r="J24" s="74"/>
      <c r="K24" s="78"/>
      <c r="L24" s="77"/>
      <c r="AA24" s="79">
        <f>AB23+1</f>
        <v>4</v>
      </c>
      <c r="AB24" s="74">
        <f>AB23+T24</f>
        <v>3</v>
      </c>
      <c r="AC24" s="78" t="s">
        <v>149</v>
      </c>
      <c r="AD24" s="77" t="str">
        <f t="shared" si="21"/>
        <v>4-3</v>
      </c>
    </row>
    <row r="25" spans="1:30" x14ac:dyDescent="0.2">
      <c r="A25" s="8" t="str">
        <f>Q25</f>
        <v>C-1</v>
      </c>
      <c r="B25" s="6" t="str">
        <f>'C-1 Int.Sync'!A2</f>
        <v>Interest Synchronization</v>
      </c>
      <c r="C25" s="8">
        <v>1</v>
      </c>
      <c r="D25" s="8">
        <f t="shared" ref="D25:D37" si="22">L25</f>
        <v>19</v>
      </c>
      <c r="E25" s="1" t="s">
        <v>159</v>
      </c>
      <c r="F25" s="1" t="str">
        <f t="shared" ref="F25:F30" si="23">A25&amp;E25&amp;B25</f>
        <v>C-1, Interest Synchronization</v>
      </c>
      <c r="I25" s="79">
        <f>J22+1</f>
        <v>19</v>
      </c>
      <c r="J25" s="74">
        <f>J22+C25</f>
        <v>19</v>
      </c>
      <c r="K25" s="78" t="s">
        <v>149</v>
      </c>
      <c r="L25" s="77">
        <f>IF(I25=J25,J25,I25&amp;K25&amp;J25)</f>
        <v>19</v>
      </c>
      <c r="O25" s="1" t="s">
        <v>120</v>
      </c>
      <c r="P25" s="1">
        <v>1</v>
      </c>
      <c r="Q25" s="1" t="str">
        <f t="shared" si="15"/>
        <v>C-1</v>
      </c>
      <c r="AA25" s="79">
        <f>AB24+1</f>
        <v>4</v>
      </c>
      <c r="AB25" s="74">
        <f>AB24+T25</f>
        <v>3</v>
      </c>
      <c r="AC25" s="78" t="s">
        <v>149</v>
      </c>
      <c r="AD25" s="77" t="str">
        <f t="shared" si="21"/>
        <v>4-3</v>
      </c>
    </row>
    <row r="26" spans="1:30" x14ac:dyDescent="0.2">
      <c r="A26" s="8" t="str">
        <f t="shared" ref="A26:A54" si="24">Q26</f>
        <v>C-2</v>
      </c>
      <c r="B26" s="6" t="str">
        <f>'C-2 P1'!A2</f>
        <v>Incentive Compensation Expense</v>
      </c>
      <c r="C26" s="8">
        <v>3</v>
      </c>
      <c r="D26" s="8" t="str">
        <f t="shared" si="22"/>
        <v>20-22</v>
      </c>
      <c r="E26" s="1" t="s">
        <v>159</v>
      </c>
      <c r="F26" s="1" t="str">
        <f t="shared" si="23"/>
        <v>C-2, Incentive Compensation Expense</v>
      </c>
      <c r="I26" s="79">
        <f t="shared" ref="I26" si="25">J25+1</f>
        <v>20</v>
      </c>
      <c r="J26" s="74">
        <f t="shared" ref="J26:J54" si="26">J25+C26</f>
        <v>22</v>
      </c>
      <c r="K26" s="78" t="s">
        <v>149</v>
      </c>
      <c r="L26" s="77" t="str">
        <f t="shared" ref="L26" si="27">IF(I26=J26,J26,I26&amp;K26&amp;J26)</f>
        <v>20-22</v>
      </c>
      <c r="O26" s="1" t="s">
        <v>120</v>
      </c>
      <c r="P26" s="1">
        <f>P25+1</f>
        <v>2</v>
      </c>
      <c r="Q26" s="1" t="str">
        <f t="shared" si="15"/>
        <v>C-2</v>
      </c>
      <c r="U26" s="1">
        <v>1</v>
      </c>
      <c r="AA26" s="79">
        <f>AB25+1</f>
        <v>4</v>
      </c>
      <c r="AB26" s="74">
        <f>AB25+T26</f>
        <v>3</v>
      </c>
      <c r="AC26" s="78" t="s">
        <v>149</v>
      </c>
      <c r="AD26" s="77" t="str">
        <f t="shared" si="21"/>
        <v>4-3</v>
      </c>
    </row>
    <row r="27" spans="1:30" x14ac:dyDescent="0.2">
      <c r="A27" s="8" t="str">
        <f t="shared" si="24"/>
        <v>C-3</v>
      </c>
      <c r="B27" s="6" t="str">
        <f>'C-3 '!A2</f>
        <v>Advanced Metering Services</v>
      </c>
      <c r="C27" s="8">
        <v>1</v>
      </c>
      <c r="D27" s="8">
        <f t="shared" si="22"/>
        <v>23</v>
      </c>
      <c r="E27" s="1" t="s">
        <v>159</v>
      </c>
      <c r="F27" s="1" t="str">
        <f t="shared" si="23"/>
        <v>C-3, Advanced Metering Services</v>
      </c>
      <c r="I27" s="79">
        <f t="shared" ref="I27" si="28">J26+1</f>
        <v>23</v>
      </c>
      <c r="J27" s="74">
        <f t="shared" si="26"/>
        <v>23</v>
      </c>
      <c r="K27" s="78" t="s">
        <v>149</v>
      </c>
      <c r="L27" s="77">
        <f t="shared" ref="L27" si="29">IF(I27=J27,J27,I27&amp;K27&amp;J27)</f>
        <v>23</v>
      </c>
      <c r="O27" s="1" t="s">
        <v>120</v>
      </c>
      <c r="P27" s="1">
        <f t="shared" ref="P27:P37" si="30">P26+1</f>
        <v>3</v>
      </c>
      <c r="Q27" s="1" t="str">
        <f t="shared" si="15"/>
        <v>C-3</v>
      </c>
      <c r="U27" s="1">
        <f>U26+1</f>
        <v>2</v>
      </c>
      <c r="AA27" s="79">
        <f>AB26+1</f>
        <v>4</v>
      </c>
      <c r="AB27" s="74">
        <f>AB26+T27</f>
        <v>3</v>
      </c>
      <c r="AC27" s="78" t="s">
        <v>149</v>
      </c>
      <c r="AD27" s="77" t="str">
        <f t="shared" si="21"/>
        <v>4-3</v>
      </c>
    </row>
    <row r="28" spans="1:30" x14ac:dyDescent="0.2">
      <c r="A28" s="8" t="str">
        <f t="shared" si="24"/>
        <v>C-4</v>
      </c>
      <c r="B28" s="6" t="str">
        <f>'C-4'!A2</f>
        <v>Transmission Vegetation Management Expense</v>
      </c>
      <c r="C28" s="8">
        <v>1</v>
      </c>
      <c r="D28" s="8">
        <f t="shared" si="22"/>
        <v>24</v>
      </c>
      <c r="E28" s="1" t="s">
        <v>159</v>
      </c>
      <c r="F28" s="1" t="str">
        <f t="shared" si="23"/>
        <v>C-4, Transmission Vegetation Management Expense</v>
      </c>
      <c r="I28" s="79">
        <f>J27+1</f>
        <v>24</v>
      </c>
      <c r="J28" s="74">
        <f t="shared" si="26"/>
        <v>24</v>
      </c>
      <c r="K28" s="78" t="s">
        <v>149</v>
      </c>
      <c r="L28" s="77">
        <f>IF(I28=J28,J28,I28&amp;K28&amp;J28)</f>
        <v>24</v>
      </c>
      <c r="O28" s="1" t="s">
        <v>120</v>
      </c>
      <c r="P28" s="1">
        <f t="shared" si="30"/>
        <v>4</v>
      </c>
      <c r="Q28" s="1" t="str">
        <f t="shared" si="15"/>
        <v>C-4</v>
      </c>
      <c r="U28" s="1">
        <f t="shared" ref="U28:U37" si="31">U27+1</f>
        <v>3</v>
      </c>
      <c r="AA28" s="79">
        <f>AB27+1</f>
        <v>4</v>
      </c>
      <c r="AB28" s="74">
        <f>AB27+T28</f>
        <v>3</v>
      </c>
      <c r="AC28" s="78" t="s">
        <v>149</v>
      </c>
      <c r="AD28" s="77" t="str">
        <f t="shared" si="21"/>
        <v>4-3</v>
      </c>
    </row>
    <row r="29" spans="1:30" x14ac:dyDescent="0.2">
      <c r="A29" s="8" t="str">
        <f t="shared" si="24"/>
        <v>C-5</v>
      </c>
      <c r="B29" s="6" t="str">
        <f>'C-5'!A2</f>
        <v>Uncollectibles Expense</v>
      </c>
      <c r="C29" s="8">
        <v>1</v>
      </c>
      <c r="D29" s="8">
        <f t="shared" si="22"/>
        <v>25</v>
      </c>
      <c r="E29" s="1" t="s">
        <v>159</v>
      </c>
      <c r="F29" s="1" t="str">
        <f t="shared" si="23"/>
        <v>C-5, Uncollectibles Expense</v>
      </c>
      <c r="I29" s="79">
        <f t="shared" ref="I29:I37" si="32">J28+1</f>
        <v>25</v>
      </c>
      <c r="J29" s="74">
        <f t="shared" si="26"/>
        <v>25</v>
      </c>
      <c r="K29" s="78" t="s">
        <v>149</v>
      </c>
      <c r="L29" s="77">
        <f t="shared" ref="L29:L37" si="33">IF(I29=J29,J29,I29&amp;K29&amp;J29)</f>
        <v>25</v>
      </c>
      <c r="O29" s="1" t="s">
        <v>120</v>
      </c>
      <c r="P29" s="1">
        <f t="shared" si="30"/>
        <v>5</v>
      </c>
      <c r="Q29" s="1" t="str">
        <f t="shared" si="15"/>
        <v>C-5</v>
      </c>
      <c r="U29" s="1">
        <f t="shared" si="31"/>
        <v>4</v>
      </c>
      <c r="W29" s="1" t="str">
        <f>A29</f>
        <v>C-5</v>
      </c>
      <c r="X29" s="1" t="str">
        <f>B29</f>
        <v>Uncollectibles Expense</v>
      </c>
      <c r="AA29" s="79"/>
      <c r="AB29" s="74"/>
      <c r="AC29" s="74"/>
      <c r="AD29" s="79"/>
    </row>
    <row r="30" spans="1:30" x14ac:dyDescent="0.2">
      <c r="A30" s="8" t="str">
        <f t="shared" si="24"/>
        <v>C-6</v>
      </c>
      <c r="B30" s="6" t="str">
        <f>'C-6'!A2</f>
        <v>Depreciation Expense - Impacts of Slippage</v>
      </c>
      <c r="C30" s="8">
        <v>1</v>
      </c>
      <c r="D30" s="8">
        <f t="shared" si="22"/>
        <v>26</v>
      </c>
      <c r="E30" s="1" t="s">
        <v>159</v>
      </c>
      <c r="F30" s="1" t="str">
        <f t="shared" si="23"/>
        <v>C-6, Depreciation Expense - Impacts of Slippage</v>
      </c>
      <c r="I30" s="79">
        <f t="shared" si="32"/>
        <v>26</v>
      </c>
      <c r="J30" s="74">
        <f t="shared" si="26"/>
        <v>26</v>
      </c>
      <c r="K30" s="78" t="s">
        <v>149</v>
      </c>
      <c r="L30" s="77">
        <f t="shared" si="33"/>
        <v>26</v>
      </c>
      <c r="O30" s="1" t="s">
        <v>120</v>
      </c>
      <c r="P30" s="1">
        <f t="shared" si="30"/>
        <v>6</v>
      </c>
      <c r="Q30" s="1" t="str">
        <f t="shared" si="15"/>
        <v>C-6</v>
      </c>
      <c r="U30" s="1">
        <f t="shared" si="31"/>
        <v>5</v>
      </c>
      <c r="AA30" s="79"/>
      <c r="AB30" s="74"/>
      <c r="AC30" s="74"/>
      <c r="AD30" s="79"/>
    </row>
    <row r="31" spans="1:30" x14ac:dyDescent="0.2">
      <c r="A31" s="8" t="str">
        <f t="shared" si="24"/>
        <v>C-7</v>
      </c>
      <c r="B31" s="6" t="str">
        <f>'C-7'!A2</f>
        <v>Depreciation Expense Related to Distribution Automation</v>
      </c>
      <c r="C31" s="8">
        <v>1</v>
      </c>
      <c r="D31" s="8">
        <f t="shared" si="22"/>
        <v>27</v>
      </c>
      <c r="E31" s="1" t="s">
        <v>159</v>
      </c>
      <c r="F31" s="1" t="str">
        <f>A31&amp;E31&amp;B30</f>
        <v>C-7, Depreciation Expense - Impacts of Slippage</v>
      </c>
      <c r="I31" s="79">
        <f t="shared" si="32"/>
        <v>27</v>
      </c>
      <c r="J31" s="74">
        <f t="shared" si="26"/>
        <v>27</v>
      </c>
      <c r="K31" s="78" t="s">
        <v>149</v>
      </c>
      <c r="L31" s="77">
        <f t="shared" si="33"/>
        <v>27</v>
      </c>
      <c r="O31" s="1" t="s">
        <v>120</v>
      </c>
      <c r="P31" s="1">
        <f t="shared" si="30"/>
        <v>7</v>
      </c>
      <c r="Q31" s="1" t="str">
        <f t="shared" si="15"/>
        <v>C-7</v>
      </c>
      <c r="U31" s="1">
        <f t="shared" si="31"/>
        <v>6</v>
      </c>
      <c r="AA31" s="79">
        <f>AB28+1</f>
        <v>4</v>
      </c>
      <c r="AB31" s="74">
        <f>AB28+T31</f>
        <v>3</v>
      </c>
      <c r="AC31" s="78" t="s">
        <v>149</v>
      </c>
      <c r="AD31" s="77" t="str">
        <f t="shared" ref="AD31:AD37" si="34">IF(AA31=AB31,AB31,AA31&amp;AC31&amp;AB31)</f>
        <v>4-3</v>
      </c>
    </row>
    <row r="32" spans="1:30" x14ac:dyDescent="0.2">
      <c r="A32" s="8" t="str">
        <f t="shared" si="24"/>
        <v>C-8</v>
      </c>
      <c r="B32" s="6" t="str">
        <f>'C-8 P1'!A2</f>
        <v>Payroll and Employee Benefits Expense - Remove Vacant Positions</v>
      </c>
      <c r="C32" s="8">
        <v>3</v>
      </c>
      <c r="D32" s="8" t="str">
        <f t="shared" si="22"/>
        <v>28-30</v>
      </c>
      <c r="E32" s="1" t="s">
        <v>159</v>
      </c>
      <c r="F32" s="1" t="str">
        <f>A32&amp;E32&amp;B32</f>
        <v>C-8, Payroll and Employee Benefits Expense - Remove Vacant Positions</v>
      </c>
      <c r="I32" s="79">
        <f t="shared" si="32"/>
        <v>28</v>
      </c>
      <c r="J32" s="74">
        <f t="shared" si="26"/>
        <v>30</v>
      </c>
      <c r="K32" s="78" t="s">
        <v>149</v>
      </c>
      <c r="L32" s="77" t="str">
        <f t="shared" si="33"/>
        <v>28-30</v>
      </c>
      <c r="O32" s="1" t="s">
        <v>120</v>
      </c>
      <c r="P32" s="1">
        <f t="shared" si="30"/>
        <v>8</v>
      </c>
      <c r="Q32" s="1" t="str">
        <f t="shared" si="15"/>
        <v>C-8</v>
      </c>
      <c r="U32" s="1">
        <f>U31+1</f>
        <v>7</v>
      </c>
      <c r="AA32" s="79">
        <f>AB31+1</f>
        <v>4</v>
      </c>
      <c r="AB32" s="74">
        <f t="shared" ref="AB32:AB37" si="35">AB31+T32</f>
        <v>3</v>
      </c>
      <c r="AC32" s="78" t="s">
        <v>149</v>
      </c>
      <c r="AD32" s="77" t="str">
        <f t="shared" si="34"/>
        <v>4-3</v>
      </c>
    </row>
    <row r="33" spans="1:30" x14ac:dyDescent="0.2">
      <c r="A33" s="8" t="str">
        <f t="shared" si="24"/>
        <v>C-9</v>
      </c>
      <c r="B33" s="6" t="str">
        <f>'C-9'!A2</f>
        <v>Affliliate Charges From PPL Services Corporation to LG&amp;E</v>
      </c>
      <c r="C33" s="8">
        <v>1</v>
      </c>
      <c r="D33" s="8">
        <f t="shared" si="22"/>
        <v>31</v>
      </c>
      <c r="E33" s="1" t="s">
        <v>159</v>
      </c>
      <c r="F33" s="1" t="str">
        <f>A33&amp;E33&amp;B31</f>
        <v>C-9, Depreciation Expense Related to Distribution Automation</v>
      </c>
      <c r="I33" s="79">
        <f t="shared" si="32"/>
        <v>31</v>
      </c>
      <c r="J33" s="74">
        <f t="shared" si="26"/>
        <v>31</v>
      </c>
      <c r="K33" s="78" t="s">
        <v>149</v>
      </c>
      <c r="L33" s="77">
        <f t="shared" si="33"/>
        <v>31</v>
      </c>
      <c r="O33" s="1" t="s">
        <v>120</v>
      </c>
      <c r="P33" s="1">
        <f t="shared" si="30"/>
        <v>9</v>
      </c>
      <c r="Q33" s="1" t="str">
        <f t="shared" si="15"/>
        <v>C-9</v>
      </c>
      <c r="U33" s="1">
        <f t="shared" si="31"/>
        <v>8</v>
      </c>
      <c r="AA33" s="79">
        <f t="shared" ref="AA33:AA37" si="36">AB32+1</f>
        <v>4</v>
      </c>
      <c r="AB33" s="74">
        <f t="shared" si="35"/>
        <v>3</v>
      </c>
      <c r="AC33" s="78" t="s">
        <v>149</v>
      </c>
      <c r="AD33" s="77" t="str">
        <f t="shared" si="34"/>
        <v>4-3</v>
      </c>
    </row>
    <row r="34" spans="1:30" x14ac:dyDescent="0.2">
      <c r="A34" s="8" t="str">
        <f t="shared" si="24"/>
        <v>C-10</v>
      </c>
      <c r="B34" s="6" t="s">
        <v>812</v>
      </c>
      <c r="C34" s="8"/>
      <c r="D34" s="8" t="str">
        <f t="shared" si="22"/>
        <v>32-31</v>
      </c>
      <c r="E34" s="1" t="s">
        <v>159</v>
      </c>
      <c r="F34" s="1" t="str">
        <f t="shared" ref="F34:F54" si="37">A34&amp;E34&amp;B34</f>
        <v>C-10, Not Used for KU</v>
      </c>
      <c r="I34" s="79">
        <f t="shared" si="32"/>
        <v>32</v>
      </c>
      <c r="J34" s="74">
        <f t="shared" si="26"/>
        <v>31</v>
      </c>
      <c r="K34" s="78" t="s">
        <v>149</v>
      </c>
      <c r="L34" s="77" t="str">
        <f t="shared" si="33"/>
        <v>32-31</v>
      </c>
      <c r="O34" s="1" t="s">
        <v>120</v>
      </c>
      <c r="P34" s="1">
        <f t="shared" si="30"/>
        <v>10</v>
      </c>
      <c r="Q34" s="1" t="str">
        <f t="shared" si="15"/>
        <v>C-10</v>
      </c>
      <c r="U34" s="1">
        <f t="shared" si="31"/>
        <v>9</v>
      </c>
      <c r="AA34" s="79">
        <f t="shared" si="36"/>
        <v>4</v>
      </c>
      <c r="AB34" s="74">
        <f t="shared" si="35"/>
        <v>3</v>
      </c>
      <c r="AC34" s="78" t="s">
        <v>149</v>
      </c>
      <c r="AD34" s="77" t="str">
        <f t="shared" si="34"/>
        <v>4-3</v>
      </c>
    </row>
    <row r="35" spans="1:30" x14ac:dyDescent="0.2">
      <c r="A35" s="8" t="str">
        <f t="shared" si="24"/>
        <v>C-11</v>
      </c>
      <c r="B35" s="6" t="str">
        <f>'C-11 '!A2</f>
        <v>Rescheduling of Expiring Regulatory Asset Amortizations</v>
      </c>
      <c r="C35" s="8">
        <v>1</v>
      </c>
      <c r="D35" s="8">
        <f t="shared" si="22"/>
        <v>32</v>
      </c>
      <c r="E35" s="1" t="s">
        <v>159</v>
      </c>
      <c r="F35" s="1" t="str">
        <f t="shared" si="37"/>
        <v>C-11, Rescheduling of Expiring Regulatory Asset Amortizations</v>
      </c>
      <c r="I35" s="79">
        <f t="shared" si="32"/>
        <v>32</v>
      </c>
      <c r="J35" s="74">
        <f t="shared" si="26"/>
        <v>32</v>
      </c>
      <c r="K35" s="78" t="s">
        <v>149</v>
      </c>
      <c r="L35" s="77">
        <f t="shared" si="33"/>
        <v>32</v>
      </c>
      <c r="O35" s="1" t="s">
        <v>120</v>
      </c>
      <c r="P35" s="1">
        <f t="shared" si="30"/>
        <v>11</v>
      </c>
      <c r="Q35" s="1" t="str">
        <f t="shared" si="15"/>
        <v>C-11</v>
      </c>
      <c r="U35" s="1">
        <f t="shared" si="31"/>
        <v>10</v>
      </c>
      <c r="AA35" s="79">
        <f t="shared" si="36"/>
        <v>4</v>
      </c>
      <c r="AB35" s="74">
        <f t="shared" si="35"/>
        <v>3</v>
      </c>
      <c r="AC35" s="78" t="s">
        <v>149</v>
      </c>
      <c r="AD35" s="77" t="str">
        <f t="shared" si="34"/>
        <v>4-3</v>
      </c>
    </row>
    <row r="36" spans="1:30" hidden="1" x14ac:dyDescent="0.2">
      <c r="A36" s="8"/>
      <c r="B36" s="6"/>
      <c r="C36" s="8"/>
      <c r="D36" s="8" t="str">
        <f t="shared" si="22"/>
        <v>33-32</v>
      </c>
      <c r="E36" s="1" t="s">
        <v>159</v>
      </c>
      <c r="F36" s="1" t="str">
        <f t="shared" si="37"/>
        <v xml:space="preserve">, </v>
      </c>
      <c r="I36" s="79">
        <f t="shared" si="32"/>
        <v>33</v>
      </c>
      <c r="J36" s="74">
        <f t="shared" si="26"/>
        <v>32</v>
      </c>
      <c r="K36" s="78" t="s">
        <v>149</v>
      </c>
      <c r="L36" s="77" t="str">
        <f t="shared" si="33"/>
        <v>33-32</v>
      </c>
      <c r="O36" s="1" t="s">
        <v>120</v>
      </c>
      <c r="P36" s="1">
        <f t="shared" si="30"/>
        <v>12</v>
      </c>
      <c r="Q36" s="1" t="str">
        <f t="shared" si="15"/>
        <v>C-12</v>
      </c>
      <c r="U36" s="1">
        <f t="shared" si="31"/>
        <v>11</v>
      </c>
      <c r="AA36" s="79">
        <f t="shared" si="36"/>
        <v>4</v>
      </c>
      <c r="AB36" s="74">
        <f t="shared" si="35"/>
        <v>3</v>
      </c>
      <c r="AC36" s="78" t="s">
        <v>149</v>
      </c>
      <c r="AD36" s="77" t="str">
        <f t="shared" si="34"/>
        <v>4-3</v>
      </c>
    </row>
    <row r="37" spans="1:30" ht="0.75" hidden="1" customHeight="1" x14ac:dyDescent="0.2">
      <c r="A37" s="8"/>
      <c r="B37" s="6"/>
      <c r="C37" s="8"/>
      <c r="D37" s="8" t="str">
        <f t="shared" si="22"/>
        <v>33-32</v>
      </c>
      <c r="E37" s="1" t="s">
        <v>159</v>
      </c>
      <c r="F37" s="1" t="str">
        <f t="shared" si="37"/>
        <v xml:space="preserve">, </v>
      </c>
      <c r="I37" s="79">
        <f t="shared" si="32"/>
        <v>33</v>
      </c>
      <c r="J37" s="74">
        <f t="shared" si="26"/>
        <v>32</v>
      </c>
      <c r="K37" s="78" t="s">
        <v>149</v>
      </c>
      <c r="L37" s="77" t="str">
        <f t="shared" si="33"/>
        <v>33-32</v>
      </c>
      <c r="O37" s="1" t="s">
        <v>120</v>
      </c>
      <c r="P37" s="1">
        <f t="shared" si="30"/>
        <v>13</v>
      </c>
      <c r="Q37" s="1" t="str">
        <f t="shared" si="15"/>
        <v>C-13</v>
      </c>
      <c r="U37" s="1">
        <f t="shared" si="31"/>
        <v>12</v>
      </c>
      <c r="AA37" s="79">
        <f t="shared" si="36"/>
        <v>4</v>
      </c>
      <c r="AB37" s="74">
        <f t="shared" si="35"/>
        <v>3</v>
      </c>
      <c r="AC37" s="78" t="s">
        <v>149</v>
      </c>
      <c r="AD37" s="77" t="str">
        <f t="shared" si="34"/>
        <v>4-3</v>
      </c>
    </row>
    <row r="38" spans="1:30" hidden="1" x14ac:dyDescent="0.2">
      <c r="A38" s="8" t="e">
        <f t="shared" si="24"/>
        <v>#REF!</v>
      </c>
      <c r="B38" s="6"/>
      <c r="C38" s="8"/>
      <c r="D38" s="8" t="e">
        <f t="shared" ref="D38:D41" si="38">L38</f>
        <v>#REF!</v>
      </c>
      <c r="E38" s="1" t="s">
        <v>159</v>
      </c>
      <c r="F38" s="1" t="e">
        <f t="shared" si="37"/>
        <v>#REF!</v>
      </c>
      <c r="I38" s="79" t="e">
        <f>#REF!+1</f>
        <v>#REF!</v>
      </c>
      <c r="J38" s="74" t="e">
        <f>#REF!+C38</f>
        <v>#REF!</v>
      </c>
      <c r="K38" s="78" t="s">
        <v>149</v>
      </c>
      <c r="L38" s="77" t="e">
        <f t="shared" ref="L38:L41" si="39">IF(I38=J38,J38,I38&amp;K38&amp;J38)</f>
        <v>#REF!</v>
      </c>
      <c r="O38" s="1" t="s">
        <v>120</v>
      </c>
      <c r="P38" s="1" t="e">
        <f>#REF!+1</f>
        <v>#REF!</v>
      </c>
      <c r="Q38" s="1" t="e">
        <f t="shared" ref="Q38:Q56" si="40">O38&amp;P38</f>
        <v>#REF!</v>
      </c>
      <c r="AA38" s="79"/>
      <c r="AB38" s="74"/>
      <c r="AC38" s="78"/>
      <c r="AD38" s="77"/>
    </row>
    <row r="39" spans="1:30" hidden="1" x14ac:dyDescent="0.2">
      <c r="A39" s="8" t="e">
        <f t="shared" si="24"/>
        <v>#REF!</v>
      </c>
      <c r="B39" s="6"/>
      <c r="C39" s="8"/>
      <c r="D39" s="8" t="e">
        <f t="shared" si="38"/>
        <v>#REF!</v>
      </c>
      <c r="E39" s="1" t="s">
        <v>159</v>
      </c>
      <c r="F39" s="1" t="e">
        <f t="shared" si="37"/>
        <v>#REF!</v>
      </c>
      <c r="I39" s="79" t="e">
        <f t="shared" ref="I39:I41" si="41">J38+1</f>
        <v>#REF!</v>
      </c>
      <c r="J39" s="74" t="e">
        <f t="shared" si="26"/>
        <v>#REF!</v>
      </c>
      <c r="K39" s="78" t="s">
        <v>149</v>
      </c>
      <c r="L39" s="77" t="e">
        <f t="shared" si="39"/>
        <v>#REF!</v>
      </c>
      <c r="O39" s="1" t="s">
        <v>120</v>
      </c>
      <c r="P39" s="1" t="e">
        <f t="shared" ref="P39:P54" si="42">P38+1</f>
        <v>#REF!</v>
      </c>
      <c r="Q39" s="1" t="e">
        <f t="shared" si="40"/>
        <v>#REF!</v>
      </c>
      <c r="AA39" s="79"/>
      <c r="AB39" s="74"/>
      <c r="AC39" s="78"/>
      <c r="AD39" s="77"/>
    </row>
    <row r="40" spans="1:30" hidden="1" x14ac:dyDescent="0.2">
      <c r="A40" s="8" t="e">
        <f t="shared" si="24"/>
        <v>#REF!</v>
      </c>
      <c r="B40" s="6"/>
      <c r="C40" s="8"/>
      <c r="D40" s="8" t="e">
        <f t="shared" si="38"/>
        <v>#REF!</v>
      </c>
      <c r="E40" s="1" t="s">
        <v>159</v>
      </c>
      <c r="F40" s="1" t="e">
        <f t="shared" si="37"/>
        <v>#REF!</v>
      </c>
      <c r="I40" s="79" t="e">
        <f t="shared" si="41"/>
        <v>#REF!</v>
      </c>
      <c r="J40" s="74" t="e">
        <f t="shared" si="26"/>
        <v>#REF!</v>
      </c>
      <c r="K40" s="78" t="s">
        <v>149</v>
      </c>
      <c r="L40" s="77" t="e">
        <f t="shared" si="39"/>
        <v>#REF!</v>
      </c>
      <c r="O40" s="1" t="s">
        <v>120</v>
      </c>
      <c r="P40" s="1" t="e">
        <f t="shared" si="42"/>
        <v>#REF!</v>
      </c>
      <c r="Q40" s="1" t="e">
        <f t="shared" si="40"/>
        <v>#REF!</v>
      </c>
      <c r="AA40" s="79"/>
      <c r="AB40" s="74"/>
      <c r="AC40" s="78"/>
      <c r="AD40" s="77"/>
    </row>
    <row r="41" spans="1:30" hidden="1" x14ac:dyDescent="0.2">
      <c r="A41" s="8" t="e">
        <f t="shared" si="24"/>
        <v>#REF!</v>
      </c>
      <c r="B41" s="6"/>
      <c r="C41" s="8"/>
      <c r="D41" s="8" t="e">
        <f t="shared" si="38"/>
        <v>#REF!</v>
      </c>
      <c r="E41" s="1" t="s">
        <v>159</v>
      </c>
      <c r="F41" s="1" t="e">
        <f t="shared" si="37"/>
        <v>#REF!</v>
      </c>
      <c r="I41" s="79" t="e">
        <f t="shared" si="41"/>
        <v>#REF!</v>
      </c>
      <c r="J41" s="74" t="e">
        <f t="shared" si="26"/>
        <v>#REF!</v>
      </c>
      <c r="K41" s="78" t="s">
        <v>149</v>
      </c>
      <c r="L41" s="77" t="e">
        <f t="shared" si="39"/>
        <v>#REF!</v>
      </c>
      <c r="O41" s="1" t="s">
        <v>120</v>
      </c>
      <c r="P41" s="1" t="e">
        <f t="shared" si="42"/>
        <v>#REF!</v>
      </c>
      <c r="Q41" s="1" t="e">
        <f t="shared" si="40"/>
        <v>#REF!</v>
      </c>
      <c r="AA41" s="79"/>
      <c r="AB41" s="74"/>
      <c r="AC41" s="78"/>
      <c r="AD41" s="77"/>
    </row>
    <row r="42" spans="1:30" hidden="1" x14ac:dyDescent="0.2">
      <c r="A42" s="8" t="e">
        <f t="shared" si="24"/>
        <v>#REF!</v>
      </c>
      <c r="B42" s="6"/>
      <c r="C42" s="8"/>
      <c r="D42" s="8" t="e">
        <f t="shared" ref="D42:D54" si="43">L42</f>
        <v>#REF!</v>
      </c>
      <c r="E42" s="1" t="s">
        <v>159</v>
      </c>
      <c r="F42" s="1" t="e">
        <f t="shared" si="37"/>
        <v>#REF!</v>
      </c>
      <c r="I42" s="79" t="e">
        <f t="shared" ref="I42" si="44">J41+1</f>
        <v>#REF!</v>
      </c>
      <c r="J42" s="74" t="e">
        <f t="shared" si="26"/>
        <v>#REF!</v>
      </c>
      <c r="K42" s="78" t="s">
        <v>149</v>
      </c>
      <c r="L42" s="77" t="e">
        <f t="shared" ref="L42:L51" si="45">IF(I42=J42,J42,I42&amp;K42&amp;J42)</f>
        <v>#REF!</v>
      </c>
      <c r="O42" s="1" t="s">
        <v>120</v>
      </c>
      <c r="P42" s="1" t="e">
        <f t="shared" si="42"/>
        <v>#REF!</v>
      </c>
      <c r="Q42" s="1" t="e">
        <f t="shared" ref="Q42:Q52" si="46">O42&amp;P42</f>
        <v>#REF!</v>
      </c>
      <c r="AA42" s="79"/>
      <c r="AB42" s="74"/>
      <c r="AC42" s="78"/>
      <c r="AD42" s="77"/>
    </row>
    <row r="43" spans="1:30" hidden="1" x14ac:dyDescent="0.2">
      <c r="A43" s="8" t="str">
        <f t="shared" si="24"/>
        <v>C-23.1</v>
      </c>
      <c r="B43" s="6"/>
      <c r="C43" s="8"/>
      <c r="D43" s="8" t="e">
        <f t="shared" si="43"/>
        <v>#REF!</v>
      </c>
      <c r="E43" s="1" t="s">
        <v>159</v>
      </c>
      <c r="F43" s="1" t="str">
        <f t="shared" si="37"/>
        <v xml:space="preserve">C-23.1, </v>
      </c>
      <c r="I43" s="79" t="e">
        <f t="shared" ref="I43:I50" si="47">J42+1</f>
        <v>#REF!</v>
      </c>
      <c r="J43" s="74" t="e">
        <f t="shared" si="26"/>
        <v>#REF!</v>
      </c>
      <c r="K43" s="78" t="s">
        <v>149</v>
      </c>
      <c r="L43" s="77" t="e">
        <f t="shared" ref="L43:L50" si="48">IF(I43=J43,J43,I43&amp;K43&amp;J43)</f>
        <v>#REF!</v>
      </c>
      <c r="O43" s="1" t="s">
        <v>120</v>
      </c>
      <c r="P43" s="1">
        <f>U43</f>
        <v>23.1</v>
      </c>
      <c r="Q43" s="1" t="str">
        <f t="shared" ref="Q43:Q50" si="49">O43&amp;P43</f>
        <v>C-23.1</v>
      </c>
      <c r="U43" s="1">
        <v>23.1</v>
      </c>
      <c r="AA43" s="79"/>
      <c r="AB43" s="74"/>
      <c r="AC43" s="78"/>
      <c r="AD43" s="77"/>
    </row>
    <row r="44" spans="1:30" hidden="1" x14ac:dyDescent="0.2">
      <c r="A44" s="8" t="str">
        <f t="shared" si="24"/>
        <v>C-23.2</v>
      </c>
      <c r="B44" s="6"/>
      <c r="C44" s="8"/>
      <c r="D44" s="8" t="e">
        <f t="shared" si="43"/>
        <v>#REF!</v>
      </c>
      <c r="E44" s="1" t="s">
        <v>159</v>
      </c>
      <c r="F44" s="1" t="str">
        <f t="shared" si="37"/>
        <v xml:space="preserve">C-23.2, </v>
      </c>
      <c r="I44" s="79" t="e">
        <f t="shared" si="47"/>
        <v>#REF!</v>
      </c>
      <c r="J44" s="74" t="e">
        <f t="shared" si="26"/>
        <v>#REF!</v>
      </c>
      <c r="K44" s="78" t="s">
        <v>149</v>
      </c>
      <c r="L44" s="77" t="e">
        <f t="shared" si="48"/>
        <v>#REF!</v>
      </c>
      <c r="O44" s="1" t="s">
        <v>120</v>
      </c>
      <c r="P44" s="1">
        <f t="shared" ref="P44:P50" si="50">U44</f>
        <v>23.200000000000003</v>
      </c>
      <c r="Q44" s="1" t="str">
        <f t="shared" si="49"/>
        <v>C-23.2</v>
      </c>
      <c r="U44" s="1">
        <f>U43+0.1</f>
        <v>23.200000000000003</v>
      </c>
      <c r="AA44" s="79"/>
      <c r="AB44" s="74"/>
      <c r="AC44" s="78"/>
      <c r="AD44" s="77"/>
    </row>
    <row r="45" spans="1:30" hidden="1" x14ac:dyDescent="0.2">
      <c r="A45" s="8" t="str">
        <f t="shared" si="24"/>
        <v>C-23.3</v>
      </c>
      <c r="B45" s="6"/>
      <c r="C45" s="8"/>
      <c r="D45" s="8" t="e">
        <f t="shared" si="43"/>
        <v>#REF!</v>
      </c>
      <c r="E45" s="1" t="s">
        <v>159</v>
      </c>
      <c r="F45" s="1" t="str">
        <f t="shared" si="37"/>
        <v xml:space="preserve">C-23.3, </v>
      </c>
      <c r="I45" s="79" t="e">
        <f t="shared" si="47"/>
        <v>#REF!</v>
      </c>
      <c r="J45" s="74" t="e">
        <f t="shared" si="26"/>
        <v>#REF!</v>
      </c>
      <c r="K45" s="78" t="s">
        <v>149</v>
      </c>
      <c r="L45" s="77" t="e">
        <f t="shared" si="48"/>
        <v>#REF!</v>
      </c>
      <c r="O45" s="1" t="s">
        <v>120</v>
      </c>
      <c r="P45" s="1">
        <f t="shared" si="50"/>
        <v>23.300000000000004</v>
      </c>
      <c r="Q45" s="1" t="str">
        <f t="shared" si="49"/>
        <v>C-23.3</v>
      </c>
      <c r="U45" s="1">
        <f t="shared" ref="U45:U50" si="51">U44+0.1</f>
        <v>23.300000000000004</v>
      </c>
      <c r="AA45" s="79"/>
      <c r="AB45" s="74"/>
      <c r="AC45" s="78"/>
      <c r="AD45" s="77"/>
    </row>
    <row r="46" spans="1:30" hidden="1" x14ac:dyDescent="0.2">
      <c r="A46" s="8" t="str">
        <f t="shared" si="24"/>
        <v>C-23.4</v>
      </c>
      <c r="B46" s="6"/>
      <c r="C46" s="8"/>
      <c r="D46" s="8" t="e">
        <f t="shared" si="43"/>
        <v>#REF!</v>
      </c>
      <c r="E46" s="1" t="s">
        <v>159</v>
      </c>
      <c r="F46" s="1" t="str">
        <f t="shared" si="37"/>
        <v xml:space="preserve">C-23.4, </v>
      </c>
      <c r="I46" s="79" t="e">
        <f t="shared" si="47"/>
        <v>#REF!</v>
      </c>
      <c r="J46" s="74" t="e">
        <f t="shared" si="26"/>
        <v>#REF!</v>
      </c>
      <c r="K46" s="78" t="s">
        <v>149</v>
      </c>
      <c r="L46" s="77" t="e">
        <f t="shared" si="48"/>
        <v>#REF!</v>
      </c>
      <c r="O46" s="1" t="s">
        <v>120</v>
      </c>
      <c r="P46" s="1">
        <f t="shared" si="50"/>
        <v>23.400000000000006</v>
      </c>
      <c r="Q46" s="1" t="str">
        <f t="shared" si="49"/>
        <v>C-23.4</v>
      </c>
      <c r="U46" s="1">
        <f t="shared" si="51"/>
        <v>23.400000000000006</v>
      </c>
      <c r="AA46" s="79"/>
      <c r="AB46" s="74"/>
      <c r="AC46" s="78"/>
      <c r="AD46" s="77"/>
    </row>
    <row r="47" spans="1:30" hidden="1" x14ac:dyDescent="0.2">
      <c r="A47" s="8" t="str">
        <f t="shared" si="24"/>
        <v>C-23.5</v>
      </c>
      <c r="B47" s="6"/>
      <c r="C47" s="8"/>
      <c r="D47" s="8" t="e">
        <f t="shared" si="43"/>
        <v>#REF!</v>
      </c>
      <c r="E47" s="1" t="s">
        <v>159</v>
      </c>
      <c r="F47" s="1" t="str">
        <f t="shared" si="37"/>
        <v xml:space="preserve">C-23.5, </v>
      </c>
      <c r="I47" s="79" t="e">
        <f t="shared" si="47"/>
        <v>#REF!</v>
      </c>
      <c r="J47" s="74" t="e">
        <f t="shared" si="26"/>
        <v>#REF!</v>
      </c>
      <c r="K47" s="78" t="s">
        <v>149</v>
      </c>
      <c r="L47" s="77" t="e">
        <f t="shared" si="48"/>
        <v>#REF!</v>
      </c>
      <c r="O47" s="1" t="s">
        <v>120</v>
      </c>
      <c r="P47" s="1">
        <f t="shared" si="50"/>
        <v>23.500000000000007</v>
      </c>
      <c r="Q47" s="1" t="str">
        <f t="shared" si="49"/>
        <v>C-23.5</v>
      </c>
      <c r="U47" s="1">
        <f t="shared" si="51"/>
        <v>23.500000000000007</v>
      </c>
      <c r="AA47" s="79"/>
      <c r="AB47" s="74"/>
      <c r="AC47" s="78"/>
      <c r="AD47" s="77"/>
    </row>
    <row r="48" spans="1:30" hidden="1" x14ac:dyDescent="0.2">
      <c r="A48" s="8" t="str">
        <f t="shared" si="24"/>
        <v>C-23.6</v>
      </c>
      <c r="B48" s="6"/>
      <c r="C48" s="8"/>
      <c r="D48" s="8" t="e">
        <f t="shared" si="43"/>
        <v>#REF!</v>
      </c>
      <c r="E48" s="1" t="s">
        <v>159</v>
      </c>
      <c r="F48" s="1" t="str">
        <f t="shared" si="37"/>
        <v xml:space="preserve">C-23.6, </v>
      </c>
      <c r="I48" s="79" t="e">
        <f t="shared" si="47"/>
        <v>#REF!</v>
      </c>
      <c r="J48" s="74" t="e">
        <f t="shared" si="26"/>
        <v>#REF!</v>
      </c>
      <c r="K48" s="78" t="s">
        <v>149</v>
      </c>
      <c r="L48" s="77" t="e">
        <f t="shared" si="48"/>
        <v>#REF!</v>
      </c>
      <c r="O48" s="1" t="s">
        <v>120</v>
      </c>
      <c r="P48" s="1">
        <f t="shared" si="50"/>
        <v>23.600000000000009</v>
      </c>
      <c r="Q48" s="1" t="str">
        <f t="shared" si="49"/>
        <v>C-23.6</v>
      </c>
      <c r="U48" s="1">
        <f t="shared" si="51"/>
        <v>23.600000000000009</v>
      </c>
      <c r="AA48" s="79"/>
      <c r="AB48" s="74"/>
      <c r="AC48" s="78"/>
      <c r="AD48" s="77"/>
    </row>
    <row r="49" spans="1:30" hidden="1" x14ac:dyDescent="0.2">
      <c r="A49" s="8" t="str">
        <f t="shared" si="24"/>
        <v>C-23.7</v>
      </c>
      <c r="B49" s="6"/>
      <c r="C49" s="8"/>
      <c r="D49" s="8" t="e">
        <f t="shared" si="43"/>
        <v>#REF!</v>
      </c>
      <c r="E49" s="1" t="s">
        <v>159</v>
      </c>
      <c r="F49" s="1" t="str">
        <f t="shared" si="37"/>
        <v xml:space="preserve">C-23.7, </v>
      </c>
      <c r="I49" s="79" t="e">
        <f t="shared" si="47"/>
        <v>#REF!</v>
      </c>
      <c r="J49" s="74" t="e">
        <f t="shared" si="26"/>
        <v>#REF!</v>
      </c>
      <c r="K49" s="78" t="s">
        <v>149</v>
      </c>
      <c r="L49" s="77" t="e">
        <f t="shared" si="48"/>
        <v>#REF!</v>
      </c>
      <c r="O49" s="1" t="s">
        <v>120</v>
      </c>
      <c r="P49" s="1">
        <f t="shared" si="50"/>
        <v>23.70000000000001</v>
      </c>
      <c r="Q49" s="1" t="str">
        <f t="shared" si="49"/>
        <v>C-23.7</v>
      </c>
      <c r="U49" s="1">
        <f t="shared" si="51"/>
        <v>23.70000000000001</v>
      </c>
      <c r="AA49" s="79"/>
      <c r="AB49" s="74"/>
      <c r="AC49" s="78"/>
      <c r="AD49" s="77"/>
    </row>
    <row r="50" spans="1:30" hidden="1" x14ac:dyDescent="0.2">
      <c r="A50" s="8" t="str">
        <f t="shared" si="24"/>
        <v>C-23.8</v>
      </c>
      <c r="B50" s="6"/>
      <c r="C50" s="8"/>
      <c r="D50" s="8" t="e">
        <f t="shared" si="43"/>
        <v>#REF!</v>
      </c>
      <c r="E50" s="1" t="s">
        <v>159</v>
      </c>
      <c r="F50" s="1" t="str">
        <f t="shared" si="37"/>
        <v xml:space="preserve">C-23.8, </v>
      </c>
      <c r="I50" s="79" t="e">
        <f t="shared" si="47"/>
        <v>#REF!</v>
      </c>
      <c r="J50" s="74" t="e">
        <f t="shared" si="26"/>
        <v>#REF!</v>
      </c>
      <c r="K50" s="78" t="s">
        <v>149</v>
      </c>
      <c r="L50" s="77" t="e">
        <f t="shared" si="48"/>
        <v>#REF!</v>
      </c>
      <c r="O50" s="1" t="s">
        <v>120</v>
      </c>
      <c r="P50" s="1">
        <f t="shared" si="50"/>
        <v>23.800000000000011</v>
      </c>
      <c r="Q50" s="1" t="str">
        <f t="shared" si="49"/>
        <v>C-23.8</v>
      </c>
      <c r="U50" s="1">
        <f t="shared" si="51"/>
        <v>23.800000000000011</v>
      </c>
      <c r="AA50" s="79"/>
      <c r="AB50" s="74"/>
      <c r="AC50" s="78"/>
      <c r="AD50" s="77"/>
    </row>
    <row r="51" spans="1:30" hidden="1" x14ac:dyDescent="0.2">
      <c r="A51" s="8" t="e">
        <f t="shared" si="24"/>
        <v>#REF!</v>
      </c>
      <c r="B51" s="6"/>
      <c r="C51" s="8"/>
      <c r="D51" s="8" t="e">
        <f t="shared" si="43"/>
        <v>#REF!</v>
      </c>
      <c r="E51" s="1" t="s">
        <v>159</v>
      </c>
      <c r="F51" s="1" t="e">
        <f t="shared" si="37"/>
        <v>#REF!</v>
      </c>
      <c r="I51" s="79" t="e">
        <f>J50+1</f>
        <v>#REF!</v>
      </c>
      <c r="J51" s="74" t="e">
        <f t="shared" si="26"/>
        <v>#REF!</v>
      </c>
      <c r="K51" s="78" t="s">
        <v>149</v>
      </c>
      <c r="L51" s="77" t="e">
        <f t="shared" si="45"/>
        <v>#REF!</v>
      </c>
      <c r="O51" s="1" t="s">
        <v>120</v>
      </c>
      <c r="P51" s="1" t="e">
        <f>P42+1</f>
        <v>#REF!</v>
      </c>
      <c r="Q51" s="1" t="e">
        <f t="shared" si="46"/>
        <v>#REF!</v>
      </c>
      <c r="AA51" s="79"/>
      <c r="AB51" s="74"/>
      <c r="AC51" s="78"/>
      <c r="AD51" s="77"/>
    </row>
    <row r="52" spans="1:30" hidden="1" x14ac:dyDescent="0.2">
      <c r="A52" s="8" t="e">
        <f t="shared" si="24"/>
        <v>#REF!</v>
      </c>
      <c r="B52" s="6"/>
      <c r="C52" s="8"/>
      <c r="D52" s="8" t="e">
        <f t="shared" si="43"/>
        <v>#REF!</v>
      </c>
      <c r="E52" s="1" t="s">
        <v>159</v>
      </c>
      <c r="F52" s="1" t="e">
        <f t="shared" si="37"/>
        <v>#REF!</v>
      </c>
      <c r="I52" s="79" t="e">
        <f t="shared" ref="I52:I54" si="52">J51+1</f>
        <v>#REF!</v>
      </c>
      <c r="J52" s="74" t="e">
        <f t="shared" si="26"/>
        <v>#REF!</v>
      </c>
      <c r="K52" s="78" t="s">
        <v>149</v>
      </c>
      <c r="L52" s="77" t="e">
        <f t="shared" ref="L52" si="53">IF(I52=J52,J52,I52&amp;K52&amp;J52)</f>
        <v>#REF!</v>
      </c>
      <c r="O52" s="1" t="s">
        <v>120</v>
      </c>
      <c r="P52" s="1" t="e">
        <f t="shared" si="42"/>
        <v>#REF!</v>
      </c>
      <c r="Q52" s="1" t="e">
        <f t="shared" si="46"/>
        <v>#REF!</v>
      </c>
      <c r="AA52" s="79"/>
      <c r="AB52" s="74"/>
      <c r="AC52" s="78"/>
      <c r="AD52" s="77"/>
    </row>
    <row r="53" spans="1:30" hidden="1" x14ac:dyDescent="0.2">
      <c r="A53" s="8" t="e">
        <f t="shared" si="24"/>
        <v>#REF!</v>
      </c>
      <c r="B53" s="6"/>
      <c r="C53" s="8"/>
      <c r="D53" s="8" t="e">
        <f t="shared" si="43"/>
        <v>#REF!</v>
      </c>
      <c r="E53" s="1" t="s">
        <v>159</v>
      </c>
      <c r="F53" s="1" t="e">
        <f t="shared" si="37"/>
        <v>#REF!</v>
      </c>
      <c r="I53" s="79" t="e">
        <f t="shared" si="52"/>
        <v>#REF!</v>
      </c>
      <c r="J53" s="74" t="e">
        <f t="shared" si="26"/>
        <v>#REF!</v>
      </c>
      <c r="K53" s="78" t="s">
        <v>149</v>
      </c>
      <c r="L53" s="77" t="e">
        <f t="shared" ref="L53:L54" si="54">IF(I53=J53,J53,I53&amp;K53&amp;J53)</f>
        <v>#REF!</v>
      </c>
      <c r="O53" s="1" t="s">
        <v>120</v>
      </c>
      <c r="P53" s="1" t="e">
        <f t="shared" si="42"/>
        <v>#REF!</v>
      </c>
      <c r="Q53" s="1" t="e">
        <f t="shared" ref="Q53:Q54" si="55">O53&amp;P53</f>
        <v>#REF!</v>
      </c>
      <c r="AA53" s="79"/>
      <c r="AB53" s="74"/>
      <c r="AC53" s="78"/>
      <c r="AD53" s="77"/>
    </row>
    <row r="54" spans="1:30" hidden="1" x14ac:dyDescent="0.2">
      <c r="A54" s="8" t="e">
        <f t="shared" si="24"/>
        <v>#REF!</v>
      </c>
      <c r="B54" s="6"/>
      <c r="C54" s="8"/>
      <c r="D54" s="8" t="e">
        <f t="shared" si="43"/>
        <v>#REF!</v>
      </c>
      <c r="E54" s="1" t="s">
        <v>159</v>
      </c>
      <c r="F54" s="1" t="e">
        <f t="shared" si="37"/>
        <v>#REF!</v>
      </c>
      <c r="I54" s="79" t="e">
        <f t="shared" si="52"/>
        <v>#REF!</v>
      </c>
      <c r="J54" s="74" t="e">
        <f t="shared" si="26"/>
        <v>#REF!</v>
      </c>
      <c r="K54" s="78" t="s">
        <v>149</v>
      </c>
      <c r="L54" s="77" t="e">
        <f t="shared" si="54"/>
        <v>#REF!</v>
      </c>
      <c r="O54" s="1" t="s">
        <v>120</v>
      </c>
      <c r="P54" s="1" t="e">
        <f t="shared" si="42"/>
        <v>#REF!</v>
      </c>
      <c r="Q54" s="1" t="e">
        <f t="shared" si="55"/>
        <v>#REF!</v>
      </c>
      <c r="AA54" s="79"/>
      <c r="AB54" s="74"/>
      <c r="AC54" s="78"/>
      <c r="AD54" s="77"/>
    </row>
    <row r="55" spans="1:30" x14ac:dyDescent="0.2">
      <c r="A55" s="8"/>
      <c r="B55" s="6"/>
      <c r="C55" s="8"/>
      <c r="D55" s="8"/>
      <c r="I55" s="79"/>
      <c r="J55" s="74"/>
      <c r="K55" s="78"/>
      <c r="L55" s="77"/>
      <c r="AA55" s="79"/>
      <c r="AB55" s="74"/>
      <c r="AC55" s="78"/>
      <c r="AD55" s="77"/>
    </row>
    <row r="56" spans="1:30" x14ac:dyDescent="0.2">
      <c r="A56" s="6"/>
      <c r="B56" s="9" t="s">
        <v>144</v>
      </c>
      <c r="C56" s="8">
        <f>SUM(C7:C54)+1</f>
        <v>32</v>
      </c>
      <c r="D56" s="6"/>
      <c r="I56" s="79"/>
      <c r="J56" s="74"/>
      <c r="K56" s="78"/>
      <c r="L56" s="77"/>
      <c r="O56" s="1" t="s">
        <v>120</v>
      </c>
      <c r="P56" s="1" t="e">
        <f>P54+1</f>
        <v>#REF!</v>
      </c>
      <c r="Q56" s="1" t="e">
        <f t="shared" si="40"/>
        <v>#REF!</v>
      </c>
      <c r="AA56" s="79" t="e">
        <f>#REF!+1</f>
        <v>#REF!</v>
      </c>
      <c r="AB56" s="74" t="e">
        <f>#REF!+T56</f>
        <v>#REF!</v>
      </c>
      <c r="AC56" s="78" t="s">
        <v>149</v>
      </c>
      <c r="AD56" s="77" t="e">
        <f t="shared" ref="AD56:AD72" si="56">IF(AA56=AB56,AB56,AA56&amp;AC56&amp;AB56)</f>
        <v>#REF!</v>
      </c>
    </row>
    <row r="57" spans="1:30" x14ac:dyDescent="0.2">
      <c r="I57" s="79"/>
      <c r="J57" s="74"/>
      <c r="K57" s="78"/>
      <c r="L57" s="77"/>
      <c r="AA57" s="79" t="e">
        <f>#REF!+1</f>
        <v>#REF!</v>
      </c>
      <c r="AB57" s="74" t="e">
        <f>#REF!+T57</f>
        <v>#REF!</v>
      </c>
      <c r="AC57" s="78" t="s">
        <v>149</v>
      </c>
      <c r="AD57" s="77" t="e">
        <f t="shared" si="56"/>
        <v>#REF!</v>
      </c>
    </row>
    <row r="58" spans="1:30" x14ac:dyDescent="0.2">
      <c r="D58" s="1" t="s">
        <v>89</v>
      </c>
      <c r="I58" s="79"/>
      <c r="J58" s="74"/>
      <c r="K58" s="78"/>
      <c r="L58" s="77"/>
      <c r="AA58" s="79" t="e">
        <f t="shared" ref="AA58:AA72" si="57">AB57+1</f>
        <v>#REF!</v>
      </c>
      <c r="AB58" s="74" t="e">
        <f t="shared" ref="AB58:AB72" si="58">AB57+T58</f>
        <v>#REF!</v>
      </c>
      <c r="AC58" s="78" t="s">
        <v>149</v>
      </c>
      <c r="AD58" s="77" t="e">
        <f t="shared" si="56"/>
        <v>#REF!</v>
      </c>
    </row>
    <row r="59" spans="1:30" x14ac:dyDescent="0.2">
      <c r="I59" s="79"/>
      <c r="J59" s="74"/>
      <c r="K59" s="78"/>
      <c r="L59" s="77"/>
      <c r="AA59" s="79" t="e">
        <f t="shared" si="57"/>
        <v>#REF!</v>
      </c>
      <c r="AB59" s="74" t="e">
        <f t="shared" si="58"/>
        <v>#REF!</v>
      </c>
      <c r="AC59" s="78" t="s">
        <v>149</v>
      </c>
      <c r="AD59" s="77" t="e">
        <f t="shared" si="56"/>
        <v>#REF!</v>
      </c>
    </row>
    <row r="60" spans="1:30" x14ac:dyDescent="0.2">
      <c r="I60" s="79"/>
      <c r="J60" s="74"/>
      <c r="K60" s="78"/>
      <c r="L60" s="77"/>
      <c r="AA60" s="79" t="e">
        <f t="shared" si="57"/>
        <v>#REF!</v>
      </c>
      <c r="AB60" s="74" t="e">
        <f t="shared" si="58"/>
        <v>#REF!</v>
      </c>
      <c r="AC60" s="78" t="s">
        <v>149</v>
      </c>
      <c r="AD60" s="77" t="e">
        <f t="shared" si="56"/>
        <v>#REF!</v>
      </c>
    </row>
    <row r="61" spans="1:30" x14ac:dyDescent="0.2">
      <c r="I61" s="79"/>
      <c r="J61" s="74"/>
      <c r="K61" s="78"/>
      <c r="L61" s="77"/>
      <c r="AA61" s="79" t="e">
        <f t="shared" si="57"/>
        <v>#REF!</v>
      </c>
      <c r="AB61" s="74" t="e">
        <f t="shared" si="58"/>
        <v>#REF!</v>
      </c>
      <c r="AC61" s="78" t="s">
        <v>149</v>
      </c>
      <c r="AD61" s="77" t="e">
        <f t="shared" si="56"/>
        <v>#REF!</v>
      </c>
    </row>
    <row r="62" spans="1:30" x14ac:dyDescent="0.2">
      <c r="I62" s="79"/>
      <c r="J62" s="74"/>
      <c r="K62" s="78"/>
      <c r="L62" s="77"/>
      <c r="AA62" s="79" t="e">
        <f t="shared" si="57"/>
        <v>#REF!</v>
      </c>
      <c r="AB62" s="74" t="e">
        <f t="shared" si="58"/>
        <v>#REF!</v>
      </c>
      <c r="AC62" s="78" t="s">
        <v>149</v>
      </c>
      <c r="AD62" s="77" t="e">
        <f t="shared" si="56"/>
        <v>#REF!</v>
      </c>
    </row>
    <row r="63" spans="1:30" x14ac:dyDescent="0.2">
      <c r="I63" s="79"/>
      <c r="J63" s="74"/>
      <c r="K63" s="78"/>
      <c r="L63" s="77"/>
      <c r="AA63" s="79" t="e">
        <f t="shared" si="57"/>
        <v>#REF!</v>
      </c>
      <c r="AB63" s="74" t="e">
        <f t="shared" si="58"/>
        <v>#REF!</v>
      </c>
      <c r="AC63" s="78" t="s">
        <v>149</v>
      </c>
      <c r="AD63" s="77" t="e">
        <f t="shared" si="56"/>
        <v>#REF!</v>
      </c>
    </row>
    <row r="64" spans="1:30" x14ac:dyDescent="0.2">
      <c r="I64" s="79"/>
      <c r="J64" s="74"/>
      <c r="K64" s="78"/>
      <c r="L64" s="77"/>
      <c r="AA64" s="79" t="e">
        <f t="shared" si="57"/>
        <v>#REF!</v>
      </c>
      <c r="AB64" s="74" t="e">
        <f t="shared" si="58"/>
        <v>#REF!</v>
      </c>
      <c r="AC64" s="78" t="s">
        <v>149</v>
      </c>
      <c r="AD64" s="77" t="e">
        <f t="shared" si="56"/>
        <v>#REF!</v>
      </c>
    </row>
    <row r="65" spans="9:30" x14ac:dyDescent="0.2">
      <c r="I65" s="79"/>
      <c r="J65" s="74"/>
      <c r="K65" s="78"/>
      <c r="L65" s="77"/>
      <c r="AA65" s="79" t="e">
        <f t="shared" si="57"/>
        <v>#REF!</v>
      </c>
      <c r="AB65" s="74" t="e">
        <f t="shared" si="58"/>
        <v>#REF!</v>
      </c>
      <c r="AC65" s="78" t="s">
        <v>149</v>
      </c>
      <c r="AD65" s="77" t="e">
        <f t="shared" si="56"/>
        <v>#REF!</v>
      </c>
    </row>
    <row r="66" spans="9:30" x14ac:dyDescent="0.2">
      <c r="I66" s="79"/>
      <c r="J66" s="74"/>
      <c r="K66" s="78"/>
      <c r="L66" s="77"/>
      <c r="AA66" s="79" t="e">
        <f t="shared" si="57"/>
        <v>#REF!</v>
      </c>
      <c r="AB66" s="74" t="e">
        <f t="shared" si="58"/>
        <v>#REF!</v>
      </c>
      <c r="AC66" s="78" t="s">
        <v>149</v>
      </c>
      <c r="AD66" s="77" t="e">
        <f t="shared" si="56"/>
        <v>#REF!</v>
      </c>
    </row>
    <row r="67" spans="9:30" x14ac:dyDescent="0.2">
      <c r="I67" s="79"/>
      <c r="J67" s="74"/>
      <c r="K67" s="78"/>
      <c r="L67" s="77"/>
      <c r="AA67" s="79" t="e">
        <f t="shared" si="57"/>
        <v>#REF!</v>
      </c>
      <c r="AB67" s="74" t="e">
        <f t="shared" si="58"/>
        <v>#REF!</v>
      </c>
      <c r="AC67" s="78" t="s">
        <v>149</v>
      </c>
      <c r="AD67" s="77" t="e">
        <f t="shared" si="56"/>
        <v>#REF!</v>
      </c>
    </row>
    <row r="68" spans="9:30" x14ac:dyDescent="0.2">
      <c r="I68" s="79"/>
      <c r="J68" s="74"/>
      <c r="K68" s="78"/>
      <c r="L68" s="77"/>
      <c r="AA68" s="79" t="e">
        <f t="shared" si="57"/>
        <v>#REF!</v>
      </c>
      <c r="AB68" s="74" t="e">
        <f t="shared" si="58"/>
        <v>#REF!</v>
      </c>
      <c r="AC68" s="78" t="s">
        <v>149</v>
      </c>
      <c r="AD68" s="77" t="e">
        <f t="shared" si="56"/>
        <v>#REF!</v>
      </c>
    </row>
    <row r="69" spans="9:30" x14ac:dyDescent="0.2">
      <c r="I69" s="79"/>
      <c r="J69" s="74"/>
      <c r="K69" s="78"/>
      <c r="L69" s="77"/>
      <c r="AA69" s="79" t="e">
        <f t="shared" si="57"/>
        <v>#REF!</v>
      </c>
      <c r="AB69" s="74" t="e">
        <f t="shared" si="58"/>
        <v>#REF!</v>
      </c>
      <c r="AC69" s="78" t="s">
        <v>149</v>
      </c>
      <c r="AD69" s="77" t="e">
        <f t="shared" si="56"/>
        <v>#REF!</v>
      </c>
    </row>
    <row r="70" spans="9:30" x14ac:dyDescent="0.2">
      <c r="I70" s="79"/>
      <c r="J70" s="74"/>
      <c r="K70" s="78"/>
      <c r="L70" s="77"/>
      <c r="AA70" s="79" t="e">
        <f t="shared" si="57"/>
        <v>#REF!</v>
      </c>
      <c r="AB70" s="74" t="e">
        <f t="shared" si="58"/>
        <v>#REF!</v>
      </c>
      <c r="AC70" s="78" t="s">
        <v>149</v>
      </c>
      <c r="AD70" s="77" t="e">
        <f t="shared" si="56"/>
        <v>#REF!</v>
      </c>
    </row>
    <row r="71" spans="9:30" x14ac:dyDescent="0.2">
      <c r="I71" s="79"/>
      <c r="J71" s="74"/>
      <c r="K71" s="78"/>
      <c r="L71" s="77"/>
      <c r="AA71" s="79" t="e">
        <f t="shared" si="57"/>
        <v>#REF!</v>
      </c>
      <c r="AB71" s="74" t="e">
        <f t="shared" si="58"/>
        <v>#REF!</v>
      </c>
      <c r="AC71" s="78" t="s">
        <v>149</v>
      </c>
      <c r="AD71" s="77" t="e">
        <f t="shared" si="56"/>
        <v>#REF!</v>
      </c>
    </row>
    <row r="72" spans="9:30" x14ac:dyDescent="0.2">
      <c r="I72" s="79"/>
      <c r="J72" s="74"/>
      <c r="K72" s="78"/>
      <c r="L72" s="77"/>
      <c r="AA72" s="79" t="e">
        <f t="shared" si="57"/>
        <v>#REF!</v>
      </c>
      <c r="AB72" s="74" t="e">
        <f t="shared" si="58"/>
        <v>#REF!</v>
      </c>
      <c r="AC72" s="78" t="s">
        <v>149</v>
      </c>
      <c r="AD72" s="77" t="e">
        <f t="shared" si="56"/>
        <v>#REF!</v>
      </c>
    </row>
    <row r="73" spans="9:30" x14ac:dyDescent="0.2">
      <c r="I73" s="77"/>
      <c r="J73"/>
      <c r="K73"/>
      <c r="L73"/>
    </row>
  </sheetData>
  <mergeCells count="4">
    <mergeCell ref="A1:D1"/>
    <mergeCell ref="A2:D2"/>
    <mergeCell ref="A3:D3"/>
    <mergeCell ref="A4:D4"/>
  </mergeCells>
  <pageMargins left="1" right="0.75" top="0.5" bottom="0.41" header="0.5" footer="0.61"/>
  <pageSetup scale="85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9"/>
  <sheetViews>
    <sheetView workbookViewId="0">
      <selection activeCell="H63" sqref="H63"/>
    </sheetView>
  </sheetViews>
  <sheetFormatPr defaultRowHeight="12.75" x14ac:dyDescent="0.2"/>
  <cols>
    <col min="1" max="1" width="4.7109375" style="4" customWidth="1"/>
    <col min="2" max="2" width="1.85546875" style="4" customWidth="1"/>
    <col min="3" max="3" width="26.5703125" style="4" customWidth="1"/>
    <col min="4" max="4" width="1.28515625" style="4" customWidth="1"/>
    <col min="5" max="5" width="16.5703125" style="4" bestFit="1" customWidth="1"/>
    <col min="6" max="6" width="1.5703125" style="4" customWidth="1"/>
    <col min="7" max="7" width="17" style="4" bestFit="1" customWidth="1"/>
    <col min="8" max="8" width="1.42578125" style="4" customWidth="1"/>
    <col min="9" max="9" width="16.28515625" style="4" bestFit="1" customWidth="1"/>
    <col min="10" max="10" width="1.5703125" style="4" customWidth="1"/>
    <col min="11" max="11" width="12.28515625" style="4" bestFit="1" customWidth="1"/>
    <col min="12" max="12" width="1.42578125" style="4" customWidth="1"/>
    <col min="13" max="13" width="16.28515625" style="4" bestFit="1" customWidth="1"/>
    <col min="14" max="14" width="1.5703125" style="4" customWidth="1"/>
    <col min="15" max="15" width="15.28515625" style="4" bestFit="1" customWidth="1"/>
    <col min="16" max="16" width="1.140625" style="4" customWidth="1"/>
    <col min="17" max="17" width="16.28515625" style="4" bestFit="1" customWidth="1"/>
    <col min="18" max="18" width="1.5703125" style="4" customWidth="1"/>
    <col min="19" max="19" width="16.28515625" style="4" customWidth="1"/>
    <col min="20" max="20" width="1.5703125" style="4" customWidth="1"/>
    <col min="21" max="21" width="14.28515625" style="4" bestFit="1" customWidth="1"/>
    <col min="22" max="22" width="1.42578125" style="4" customWidth="1"/>
    <col min="23" max="23" width="10.42578125" style="4" bestFit="1" customWidth="1"/>
    <col min="24" max="24" width="1.140625" style="4" customWidth="1"/>
    <col min="25" max="25" width="14.140625" style="4" bestFit="1" customWidth="1"/>
    <col min="26" max="26" width="1.28515625" style="4" customWidth="1"/>
    <col min="27" max="27" width="2.7109375" style="4" customWidth="1"/>
    <col min="28" max="28" width="9.140625" style="4"/>
    <col min="29" max="29" width="16.28515625" style="4" bestFit="1" customWidth="1"/>
    <col min="30" max="30" width="12.28515625" style="4" bestFit="1" customWidth="1"/>
    <col min="31" max="31" width="3.42578125" style="4" customWidth="1"/>
    <col min="32" max="32" width="11.5703125" style="4" bestFit="1" customWidth="1"/>
    <col min="33" max="33" width="11.140625" style="4" bestFit="1" customWidth="1"/>
    <col min="34" max="34" width="3.85546875" style="4" customWidth="1"/>
    <col min="35" max="35" width="11.140625" style="4" customWidth="1"/>
    <col min="36" max="36" width="13.5703125" style="4" customWidth="1"/>
    <col min="37" max="16384" width="9.140625" style="4"/>
  </cols>
  <sheetData>
    <row r="1" spans="1:36" x14ac:dyDescent="0.2">
      <c r="A1" s="1" t="str">
        <f>Contents!A1</f>
        <v>Kentucky Utilities Company</v>
      </c>
      <c r="B1" s="1"/>
      <c r="C1" s="1"/>
      <c r="D1" s="1"/>
      <c r="E1" s="1"/>
      <c r="F1" s="1"/>
      <c r="G1" s="1"/>
      <c r="H1" s="10"/>
      <c r="I1" s="1"/>
      <c r="Q1" s="16"/>
      <c r="R1" s="16"/>
      <c r="S1" s="16"/>
      <c r="Y1" s="27" t="str">
        <f>Contents!A3</f>
        <v>Exhibit RCS-1</v>
      </c>
    </row>
    <row r="2" spans="1:36" x14ac:dyDescent="0.2">
      <c r="A2" s="1" t="s">
        <v>221</v>
      </c>
      <c r="B2" s="1"/>
      <c r="C2" s="1"/>
      <c r="D2" s="1"/>
      <c r="E2" s="1"/>
      <c r="F2" s="1"/>
      <c r="G2" s="1"/>
      <c r="H2" s="10"/>
      <c r="I2" s="1"/>
      <c r="Q2" s="16"/>
      <c r="R2" s="16"/>
      <c r="S2" s="16"/>
      <c r="Y2" s="27" t="s">
        <v>102</v>
      </c>
    </row>
    <row r="3" spans="1:36" x14ac:dyDescent="0.2">
      <c r="A3" s="1"/>
      <c r="B3" s="1"/>
      <c r="C3" s="1"/>
      <c r="D3" s="1"/>
      <c r="E3" s="1"/>
      <c r="F3" s="1"/>
      <c r="G3" s="1"/>
      <c r="H3" s="10"/>
      <c r="I3" s="1"/>
      <c r="Q3" s="118"/>
      <c r="R3" s="118"/>
      <c r="S3" s="118"/>
      <c r="Y3" s="27" t="str">
        <f>Contents!A2</f>
        <v>Case No. 2016-00370</v>
      </c>
    </row>
    <row r="4" spans="1:36" x14ac:dyDescent="0.2">
      <c r="A4" s="1" t="s">
        <v>328</v>
      </c>
      <c r="B4" s="1"/>
      <c r="C4" s="1"/>
      <c r="D4" s="1"/>
      <c r="E4" s="1"/>
      <c r="F4" s="1"/>
      <c r="G4" s="1"/>
      <c r="H4" s="10"/>
      <c r="I4" s="1"/>
      <c r="Y4" s="27" t="s">
        <v>192</v>
      </c>
    </row>
    <row r="6" spans="1:36" x14ac:dyDescent="0.2">
      <c r="Y6" s="16" t="s">
        <v>300</v>
      </c>
    </row>
    <row r="7" spans="1:36" x14ac:dyDescent="0.2">
      <c r="A7" s="16"/>
      <c r="B7" s="16"/>
      <c r="C7" s="16"/>
      <c r="D7" s="16"/>
      <c r="E7" s="16"/>
      <c r="F7" s="16"/>
      <c r="G7" s="46"/>
      <c r="H7" s="16"/>
      <c r="I7" s="16"/>
      <c r="J7" s="16"/>
      <c r="K7" s="16" t="s">
        <v>220</v>
      </c>
      <c r="L7" s="16"/>
      <c r="M7" s="16"/>
      <c r="N7" s="16"/>
      <c r="O7" s="16"/>
      <c r="P7" s="16"/>
      <c r="Q7" s="16"/>
      <c r="R7" s="16"/>
      <c r="S7" s="16" t="s">
        <v>217</v>
      </c>
      <c r="T7" s="16"/>
      <c r="U7" s="16"/>
      <c r="V7" s="16"/>
      <c r="W7" s="16"/>
      <c r="X7" s="16"/>
      <c r="Y7" s="16" t="s">
        <v>301</v>
      </c>
      <c r="Z7" s="16"/>
    </row>
    <row r="8" spans="1:36" x14ac:dyDescent="0.2">
      <c r="A8" s="16" t="s">
        <v>0</v>
      </c>
      <c r="B8" s="16"/>
      <c r="C8" s="16"/>
      <c r="D8" s="16"/>
      <c r="E8" s="16" t="s">
        <v>218</v>
      </c>
      <c r="F8" s="16"/>
      <c r="G8" s="16" t="s">
        <v>248</v>
      </c>
      <c r="H8" s="16"/>
      <c r="I8" s="16" t="s">
        <v>191</v>
      </c>
      <c r="J8" s="16"/>
      <c r="K8" s="16" t="s">
        <v>49</v>
      </c>
      <c r="L8" s="16"/>
      <c r="M8" s="16" t="s">
        <v>220</v>
      </c>
      <c r="N8" s="16"/>
      <c r="O8" s="16" t="s">
        <v>220</v>
      </c>
      <c r="P8" s="16"/>
      <c r="Q8" s="16" t="s">
        <v>220</v>
      </c>
      <c r="R8" s="16"/>
      <c r="S8" s="16" t="s">
        <v>220</v>
      </c>
      <c r="T8" s="16"/>
      <c r="U8" s="16" t="s">
        <v>161</v>
      </c>
      <c r="V8" s="16"/>
      <c r="W8" s="16" t="s">
        <v>20</v>
      </c>
      <c r="X8" s="16"/>
      <c r="Y8" s="16" t="s">
        <v>297</v>
      </c>
      <c r="Z8" s="16"/>
    </row>
    <row r="9" spans="1:36" x14ac:dyDescent="0.2">
      <c r="A9" s="23" t="s">
        <v>2</v>
      </c>
      <c r="B9" s="16"/>
      <c r="C9" s="121" t="s">
        <v>3</v>
      </c>
      <c r="D9" s="16"/>
      <c r="E9" s="23" t="s">
        <v>219</v>
      </c>
      <c r="F9" s="16"/>
      <c r="G9" s="23" t="s">
        <v>16</v>
      </c>
      <c r="H9" s="16"/>
      <c r="I9" s="23" t="s">
        <v>21</v>
      </c>
      <c r="J9" s="16"/>
      <c r="K9" s="23" t="s">
        <v>293</v>
      </c>
      <c r="L9" s="16"/>
      <c r="M9" s="23" t="s">
        <v>21</v>
      </c>
      <c r="N9" s="16"/>
      <c r="O9" s="23" t="s">
        <v>4</v>
      </c>
      <c r="P9" s="16"/>
      <c r="Q9" s="23" t="s">
        <v>295</v>
      </c>
      <c r="R9" s="46"/>
      <c r="S9" s="23" t="s">
        <v>21</v>
      </c>
      <c r="T9" s="16"/>
      <c r="U9" s="23" t="s">
        <v>296</v>
      </c>
      <c r="V9" s="16"/>
      <c r="W9" s="23" t="s">
        <v>23</v>
      </c>
      <c r="X9" s="16"/>
      <c r="Y9" s="23" t="s">
        <v>22</v>
      </c>
      <c r="Z9" s="16"/>
    </row>
    <row r="10" spans="1:36" x14ac:dyDescent="0.2">
      <c r="E10" s="16" t="s">
        <v>6</v>
      </c>
      <c r="F10" s="16"/>
      <c r="G10" s="16" t="s">
        <v>7</v>
      </c>
      <c r="H10" s="16"/>
      <c r="I10" s="16" t="s">
        <v>292</v>
      </c>
      <c r="J10" s="16"/>
      <c r="K10" s="16" t="s">
        <v>38</v>
      </c>
      <c r="L10" s="16"/>
      <c r="M10" s="16" t="s">
        <v>294</v>
      </c>
      <c r="N10" s="16"/>
      <c r="O10" s="16" t="s">
        <v>51</v>
      </c>
      <c r="P10" s="16"/>
      <c r="Q10" s="16" t="s">
        <v>299</v>
      </c>
      <c r="R10" s="16"/>
      <c r="S10" s="16" t="s">
        <v>70</v>
      </c>
      <c r="T10" s="16"/>
      <c r="U10" s="16" t="s">
        <v>129</v>
      </c>
      <c r="W10" s="16" t="s">
        <v>213</v>
      </c>
      <c r="X10" s="16"/>
      <c r="Y10" s="16" t="s">
        <v>755</v>
      </c>
      <c r="Z10" s="16"/>
    </row>
    <row r="11" spans="1:36" x14ac:dyDescent="0.2">
      <c r="C11" s="138" t="s">
        <v>121</v>
      </c>
    </row>
    <row r="12" spans="1:36" x14ac:dyDescent="0.2">
      <c r="A12" s="122">
        <v>1</v>
      </c>
      <c r="C12" s="4" t="s">
        <v>26</v>
      </c>
      <c r="E12" s="4">
        <v>2315890751.4050875</v>
      </c>
      <c r="F12" s="4">
        <v>-540431.12109703722</v>
      </c>
      <c r="G12" s="4">
        <v>-540431</v>
      </c>
      <c r="I12" s="4">
        <f>E12+G12</f>
        <v>2315350320.4050875</v>
      </c>
      <c r="K12" s="154">
        <v>0.89280000000000004</v>
      </c>
      <c r="M12" s="119">
        <f>I12*K12</f>
        <v>2067144766.0576622</v>
      </c>
      <c r="O12" s="119">
        <v>-456820090.85680407</v>
      </c>
      <c r="Q12" s="119">
        <f>M12+O12</f>
        <v>1610324675.2008581</v>
      </c>
      <c r="R12" s="119"/>
      <c r="S12" s="119"/>
      <c r="U12" s="149">
        <f>M12/$M$15</f>
        <v>0.44254269323256057</v>
      </c>
      <c r="V12" s="149"/>
      <c r="W12" s="154">
        <v>4.1173858867490497E-2</v>
      </c>
      <c r="X12" s="149"/>
      <c r="Y12" s="149">
        <f>U12*W12</f>
        <v>1.8221190393996591E-2</v>
      </c>
    </row>
    <row r="13" spans="1:36" x14ac:dyDescent="0.2">
      <c r="A13" s="122">
        <v>2</v>
      </c>
      <c r="C13" s="4" t="s">
        <v>25</v>
      </c>
      <c r="E13" s="4">
        <v>129187210.62411569</v>
      </c>
      <c r="F13" s="4">
        <v>-30146.840487458645</v>
      </c>
      <c r="G13" s="4">
        <v>-30147</v>
      </c>
      <c r="I13" s="4">
        <f>E13+G13</f>
        <v>129157063.62411569</v>
      </c>
      <c r="K13" s="154">
        <v>0.89280000000000004</v>
      </c>
      <c r="M13" s="119">
        <f>I13*K13</f>
        <v>115311426.4036105</v>
      </c>
      <c r="O13" s="119">
        <v>-25482770.834090549</v>
      </c>
      <c r="Q13" s="119">
        <f>M13+O13</f>
        <v>89828655.569519952</v>
      </c>
      <c r="R13" s="119"/>
      <c r="S13" s="119"/>
      <c r="U13" s="149">
        <f t="shared" ref="U13:U14" si="0">M13/$M$15</f>
        <v>2.4686335489925004E-2</v>
      </c>
      <c r="V13" s="149"/>
      <c r="W13" s="154">
        <v>7.4212675614836578E-3</v>
      </c>
      <c r="X13" s="149"/>
      <c r="Y13" s="149">
        <f>U13*W13</f>
        <v>1.832039007832832E-4</v>
      </c>
    </row>
    <row r="14" spans="1:36" ht="13.5" thickBot="1" x14ac:dyDescent="0.25">
      <c r="A14" s="122">
        <v>3</v>
      </c>
      <c r="C14" s="4" t="s">
        <v>27</v>
      </c>
      <c r="E14" s="47">
        <v>2788572733.5827875</v>
      </c>
      <c r="F14" s="4">
        <v>-1154801.3384155042</v>
      </c>
      <c r="G14" s="47">
        <v>-1154801</v>
      </c>
      <c r="I14" s="4">
        <f t="shared" ref="I14" si="1">E14+G14</f>
        <v>2787417932.5827875</v>
      </c>
      <c r="K14" s="154">
        <v>0.89280000000000004</v>
      </c>
      <c r="M14" s="119">
        <f t="shared" ref="M14" si="2">I14*K14</f>
        <v>2488606730.2099128</v>
      </c>
      <c r="O14" s="123">
        <v>-549959330.95237863</v>
      </c>
      <c r="Q14" s="119">
        <f t="shared" ref="Q14" si="3">M14+O14</f>
        <v>1938647399.257534</v>
      </c>
      <c r="R14" s="119"/>
      <c r="S14" s="119"/>
      <c r="U14" s="149">
        <f t="shared" si="0"/>
        <v>0.53277097127751438</v>
      </c>
      <c r="V14" s="149"/>
      <c r="W14" s="155">
        <v>0.1023</v>
      </c>
      <c r="X14" s="149"/>
      <c r="Y14" s="149">
        <f>U14*W14</f>
        <v>5.4502470361689724E-2</v>
      </c>
    </row>
    <row r="15" spans="1:36" ht="13.5" thickBot="1" x14ac:dyDescent="0.25">
      <c r="A15" s="122">
        <v>4</v>
      </c>
      <c r="C15" s="4" t="s">
        <v>28</v>
      </c>
      <c r="E15" s="18">
        <f>SUM(E12:E14)</f>
        <v>5233650695.61199</v>
      </c>
      <c r="F15" s="16"/>
      <c r="G15" s="18">
        <f t="shared" ref="G15:U15" si="4">SUM(G12:G14)</f>
        <v>-1725379</v>
      </c>
      <c r="H15" s="16"/>
      <c r="I15" s="18">
        <f t="shared" si="4"/>
        <v>5231925316.61199</v>
      </c>
      <c r="J15" s="16"/>
      <c r="K15" s="16"/>
      <c r="L15" s="16"/>
      <c r="M15" s="18">
        <f t="shared" si="4"/>
        <v>4671062922.6711855</v>
      </c>
      <c r="N15" s="16"/>
      <c r="O15" s="18">
        <f t="shared" si="4"/>
        <v>-1032262192.6432732</v>
      </c>
      <c r="P15" s="16"/>
      <c r="Q15" s="18">
        <f t="shared" si="4"/>
        <v>3638800730.0279121</v>
      </c>
      <c r="R15" s="19"/>
      <c r="S15" s="19"/>
      <c r="T15" s="16"/>
      <c r="U15" s="150">
        <f t="shared" si="4"/>
        <v>1</v>
      </c>
      <c r="V15" s="16"/>
      <c r="W15" s="46"/>
      <c r="X15" s="16"/>
      <c r="Y15" s="150">
        <f>SUM(Y12:Y14)</f>
        <v>7.2906864656469603E-2</v>
      </c>
      <c r="Z15" s="16"/>
      <c r="AC15" s="261" t="s">
        <v>763</v>
      </c>
      <c r="AD15" s="262"/>
      <c r="AE15" s="262"/>
      <c r="AF15" s="262"/>
      <c r="AG15" s="262"/>
      <c r="AH15" s="262"/>
      <c r="AI15" s="262"/>
      <c r="AJ15" s="263"/>
    </row>
    <row r="16" spans="1:36" ht="13.5" thickTop="1" x14ac:dyDescent="0.2">
      <c r="A16" s="12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C16" s="252" t="s">
        <v>757</v>
      </c>
      <c r="AD16" s="253"/>
      <c r="AE16" s="253"/>
      <c r="AF16" s="253"/>
      <c r="AG16" s="253"/>
      <c r="AH16" s="253"/>
      <c r="AI16" s="253"/>
      <c r="AJ16" s="254"/>
    </row>
    <row r="17" spans="1:36" x14ac:dyDescent="0.2">
      <c r="A17" s="12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C17" s="255" t="s">
        <v>759</v>
      </c>
      <c r="AD17" s="19"/>
      <c r="AE17" s="19"/>
      <c r="AF17" s="19" t="s">
        <v>760</v>
      </c>
      <c r="AG17" s="19"/>
      <c r="AH17" s="19"/>
      <c r="AI17" s="19" t="s">
        <v>762</v>
      </c>
      <c r="AJ17" s="256"/>
    </row>
    <row r="18" spans="1:36" x14ac:dyDescent="0.2">
      <c r="A18" s="16"/>
      <c r="C18" s="138" t="s">
        <v>258</v>
      </c>
      <c r="K18" s="16"/>
      <c r="S18" s="23" t="s">
        <v>681</v>
      </c>
      <c r="W18" s="16"/>
      <c r="AC18" s="255" t="s">
        <v>758</v>
      </c>
      <c r="AD18" s="19" t="s">
        <v>29</v>
      </c>
      <c r="AE18" s="19"/>
      <c r="AF18" s="19" t="s">
        <v>761</v>
      </c>
      <c r="AG18" s="19" t="s">
        <v>29</v>
      </c>
      <c r="AH18" s="19"/>
      <c r="AI18" s="19" t="s">
        <v>761</v>
      </c>
      <c r="AJ18" s="256" t="s">
        <v>29</v>
      </c>
    </row>
    <row r="19" spans="1:36" x14ac:dyDescent="0.2">
      <c r="A19" s="122">
        <v>5</v>
      </c>
      <c r="C19" s="4" t="s">
        <v>26</v>
      </c>
      <c r="E19" s="4">
        <v>2315890751.4050875</v>
      </c>
      <c r="F19" s="4">
        <v>-540431.12109703722</v>
      </c>
      <c r="G19" s="4">
        <v>-540431</v>
      </c>
      <c r="I19" s="4">
        <f>E19+G19</f>
        <v>2315350320.4050875</v>
      </c>
      <c r="K19" s="154">
        <v>0.89280000000000004</v>
      </c>
      <c r="M19" s="119">
        <f>I19*K19</f>
        <v>2067144766.0576622</v>
      </c>
      <c r="O19" s="119">
        <v>-456820090.85680407</v>
      </c>
      <c r="Q19" s="119">
        <f>M19+O19</f>
        <v>1610324675.2008581</v>
      </c>
      <c r="R19" s="119"/>
      <c r="S19" s="119">
        <f>'D P3'!S13</f>
        <v>1706525079.872</v>
      </c>
      <c r="U19" s="149">
        <f>S19/$S$22</f>
        <v>0.47360000000000002</v>
      </c>
      <c r="V19" s="149"/>
      <c r="W19" s="154">
        <v>4.1173858867490497E-2</v>
      </c>
      <c r="X19" s="149"/>
      <c r="Y19" s="149">
        <f>U19*W19</f>
        <v>1.9499939559643499E-2</v>
      </c>
      <c r="AC19" s="257">
        <f>'D P3'!K27</f>
        <v>0.47360000000000002</v>
      </c>
      <c r="AD19" s="38">
        <f>AC19-U19</f>
        <v>0</v>
      </c>
      <c r="AE19" s="38"/>
      <c r="AF19" s="38">
        <f>'D P1'!I17</f>
        <v>4.1173858867490497E-2</v>
      </c>
      <c r="AG19" s="38">
        <f>AF19-W19</f>
        <v>0</v>
      </c>
      <c r="AH19" s="19"/>
      <c r="AI19" s="38">
        <f>'D P1'!K17</f>
        <v>1.9499939559643499E-2</v>
      </c>
      <c r="AJ19" s="264">
        <f>AI19-Y19</f>
        <v>0</v>
      </c>
    </row>
    <row r="20" spans="1:36" x14ac:dyDescent="0.2">
      <c r="A20" s="122">
        <v>6</v>
      </c>
      <c r="C20" s="4" t="s">
        <v>25</v>
      </c>
      <c r="E20" s="4">
        <v>129187210.62411569</v>
      </c>
      <c r="F20" s="4">
        <v>-30146.840487458645</v>
      </c>
      <c r="G20" s="4">
        <v>-30147</v>
      </c>
      <c r="I20" s="4">
        <f>E20+G20</f>
        <v>129157063.62411569</v>
      </c>
      <c r="K20" s="154">
        <v>0.89280000000000004</v>
      </c>
      <c r="M20" s="119">
        <f>I20*K20</f>
        <v>115311426.4036105</v>
      </c>
      <c r="O20" s="119">
        <v>-25482770.834090549</v>
      </c>
      <c r="Q20" s="119">
        <f>M20+O20</f>
        <v>89828655.569519952</v>
      </c>
      <c r="R20" s="119"/>
      <c r="S20" s="119">
        <f>'D P3'!S14</f>
        <v>95127242.628000006</v>
      </c>
      <c r="U20" s="149">
        <f t="shared" ref="U20:U21" si="5">S20/$S$22</f>
        <v>2.6400000000000003E-2</v>
      </c>
      <c r="V20" s="149"/>
      <c r="W20" s="154">
        <v>7.4212675614836578E-3</v>
      </c>
      <c r="X20" s="149"/>
      <c r="Y20" s="149">
        <f>U20*W20</f>
        <v>1.9592146362316858E-4</v>
      </c>
      <c r="AC20" s="257">
        <f>'D P3'!K28</f>
        <v>2.64E-2</v>
      </c>
      <c r="AD20" s="38">
        <f t="shared" ref="AD20:AD22" si="6">AC20-U20</f>
        <v>0</v>
      </c>
      <c r="AE20" s="38"/>
      <c r="AF20" s="38">
        <f>'D P1'!I18</f>
        <v>7.4212675614836578E-3</v>
      </c>
      <c r="AG20" s="38">
        <f t="shared" ref="AG20:AG21" si="7">AF20-W20</f>
        <v>0</v>
      </c>
      <c r="AH20" s="19"/>
      <c r="AI20" s="38">
        <f>'D P1'!K18</f>
        <v>1.9592146362316858E-4</v>
      </c>
      <c r="AJ20" s="264">
        <f t="shared" ref="AJ20:AJ22" si="8">AI20-Y20</f>
        <v>0</v>
      </c>
    </row>
    <row r="21" spans="1:36" x14ac:dyDescent="0.2">
      <c r="A21" s="122">
        <v>7</v>
      </c>
      <c r="C21" s="4" t="s">
        <v>27</v>
      </c>
      <c r="E21" s="47">
        <v>2788572733.5827875</v>
      </c>
      <c r="F21" s="4">
        <v>-1154801.3384155042</v>
      </c>
      <c r="G21" s="47">
        <v>-1154801</v>
      </c>
      <c r="I21" s="4">
        <f t="shared" ref="I21" si="9">E21+G21</f>
        <v>2787417932.5827875</v>
      </c>
      <c r="K21" s="154">
        <v>0.89280000000000004</v>
      </c>
      <c r="M21" s="119">
        <f t="shared" ref="M21" si="10">I21*K21</f>
        <v>2488606730.2099128</v>
      </c>
      <c r="O21" s="123">
        <v>-549959330.95237863</v>
      </c>
      <c r="Q21" s="119">
        <f t="shared" ref="Q21" si="11">M21+O21</f>
        <v>1938647399.257534</v>
      </c>
      <c r="R21" s="119"/>
      <c r="S21" s="119">
        <f>'D P3'!S15</f>
        <v>1801652322.5</v>
      </c>
      <c r="U21" s="149">
        <f t="shared" si="5"/>
        <v>0.5</v>
      </c>
      <c r="V21" s="149"/>
      <c r="W21" s="155">
        <v>8.7499999999999994E-2</v>
      </c>
      <c r="X21" s="149"/>
      <c r="Y21" s="149">
        <f>U21*W21</f>
        <v>4.3749999999999997E-2</v>
      </c>
      <c r="AC21" s="257">
        <f>'D P3'!K30</f>
        <v>0.5</v>
      </c>
      <c r="AD21" s="38">
        <f t="shared" si="6"/>
        <v>0</v>
      </c>
      <c r="AE21" s="38"/>
      <c r="AF21" s="38">
        <f>'D P1'!I19</f>
        <v>8.7499999999999994E-2</v>
      </c>
      <c r="AG21" s="38">
        <f t="shared" si="7"/>
        <v>0</v>
      </c>
      <c r="AH21" s="19"/>
      <c r="AI21" s="38">
        <f>'D P1'!K19</f>
        <v>4.3749999999999997E-2</v>
      </c>
      <c r="AJ21" s="264">
        <f t="shared" si="8"/>
        <v>0</v>
      </c>
    </row>
    <row r="22" spans="1:36" ht="13.5" thickBot="1" x14ac:dyDescent="0.25">
      <c r="A22" s="122">
        <v>8</v>
      </c>
      <c r="C22" s="4" t="s">
        <v>28</v>
      </c>
      <c r="E22" s="18">
        <f>SUM(E19:E21)</f>
        <v>5233650695.61199</v>
      </c>
      <c r="F22" s="16"/>
      <c r="G22" s="18">
        <f t="shared" ref="G22" si="12">SUM(G19:G21)</f>
        <v>-1725379</v>
      </c>
      <c r="H22" s="16"/>
      <c r="I22" s="18">
        <f t="shared" ref="I22" si="13">SUM(I19:I21)</f>
        <v>5231925316.61199</v>
      </c>
      <c r="J22" s="16"/>
      <c r="K22" s="16"/>
      <c r="L22" s="16"/>
      <c r="M22" s="18">
        <f t="shared" ref="M22" si="14">SUM(M19:M21)</f>
        <v>4671062922.6711855</v>
      </c>
      <c r="N22" s="16"/>
      <c r="O22" s="18">
        <f t="shared" ref="O22" si="15">SUM(O19:O21)</f>
        <v>-1032262192.6432732</v>
      </c>
      <c r="P22" s="16"/>
      <c r="Q22" s="18">
        <f t="shared" ref="Q22" si="16">SUM(Q19:Q21)</f>
        <v>3638800730.0279121</v>
      </c>
      <c r="R22" s="19"/>
      <c r="S22" s="18">
        <f>SUM(S19:S21)</f>
        <v>3603304645</v>
      </c>
      <c r="T22" s="16"/>
      <c r="U22" s="150">
        <f t="shared" ref="U22" si="17">SUM(U19:U21)</f>
        <v>1</v>
      </c>
      <c r="V22" s="16"/>
      <c r="W22" s="46"/>
      <c r="X22" s="16"/>
      <c r="Y22" s="150">
        <f>SUM(Y19:Y21)</f>
        <v>6.3445861023266659E-2</v>
      </c>
      <c r="Z22" s="117"/>
      <c r="AC22" s="257">
        <f>SUM(AC19:AC21)</f>
        <v>1</v>
      </c>
      <c r="AD22" s="38">
        <f t="shared" si="6"/>
        <v>0</v>
      </c>
      <c r="AE22" s="38"/>
      <c r="AF22" s="19"/>
      <c r="AG22" s="19"/>
      <c r="AH22" s="19"/>
      <c r="AI22" s="38">
        <f>SUM(AI19:AI21)</f>
        <v>6.3445861023266659E-2</v>
      </c>
      <c r="AJ22" s="264">
        <f t="shared" si="8"/>
        <v>0</v>
      </c>
    </row>
    <row r="23" spans="1:36" ht="14.25" thickTop="1" thickBot="1" x14ac:dyDescent="0.25">
      <c r="A23" s="16"/>
      <c r="AC23" s="258"/>
      <c r="AD23" s="259"/>
      <c r="AE23" s="259"/>
      <c r="AF23" s="259"/>
      <c r="AG23" s="259"/>
      <c r="AH23" s="259"/>
      <c r="AI23" s="259"/>
      <c r="AJ23" s="260"/>
    </row>
    <row r="24" spans="1:36" x14ac:dyDescent="0.2">
      <c r="A24" s="16"/>
    </row>
    <row r="25" spans="1:36" x14ac:dyDescent="0.2">
      <c r="A25" s="121" t="s">
        <v>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36" x14ac:dyDescent="0.2">
      <c r="A26" s="4" t="s">
        <v>794</v>
      </c>
    </row>
    <row r="27" spans="1:36" x14ac:dyDescent="0.2">
      <c r="A27" s="4" t="s">
        <v>795</v>
      </c>
    </row>
    <row r="29" spans="1:36" x14ac:dyDescent="0.2">
      <c r="A29" s="4" t="s">
        <v>796</v>
      </c>
      <c r="M29" s="137"/>
    </row>
    <row r="32" spans="1:36" x14ac:dyDescent="0.2">
      <c r="A32" s="4" t="s">
        <v>257</v>
      </c>
    </row>
    <row r="33" spans="1:7" x14ac:dyDescent="0.2">
      <c r="A33" s="4" t="s">
        <v>256</v>
      </c>
    </row>
    <row r="37" spans="1:7" x14ac:dyDescent="0.2">
      <c r="A37" s="4" t="s">
        <v>257</v>
      </c>
    </row>
    <row r="38" spans="1:7" x14ac:dyDescent="0.2">
      <c r="C38" s="4" t="s">
        <v>26</v>
      </c>
      <c r="G38" s="87"/>
    </row>
    <row r="39" spans="1:7" x14ac:dyDescent="0.2">
      <c r="C39" s="4" t="s">
        <v>27</v>
      </c>
      <c r="G39" s="87"/>
    </row>
    <row r="40" spans="1:7" x14ac:dyDescent="0.2">
      <c r="C40" s="4" t="s">
        <v>28</v>
      </c>
      <c r="G40" s="87"/>
    </row>
    <row r="72" spans="27:27" x14ac:dyDescent="0.2">
      <c r="AA72" s="279"/>
    </row>
    <row r="73" spans="27:27" x14ac:dyDescent="0.2">
      <c r="AA73" s="279"/>
    </row>
    <row r="74" spans="27:27" x14ac:dyDescent="0.2">
      <c r="AA74" s="279"/>
    </row>
    <row r="75" spans="27:27" x14ac:dyDescent="0.2">
      <c r="AA75" s="279"/>
    </row>
    <row r="76" spans="27:27" x14ac:dyDescent="0.2">
      <c r="AA76" s="279"/>
    </row>
    <row r="77" spans="27:27" x14ac:dyDescent="0.2">
      <c r="AA77" s="279"/>
    </row>
    <row r="78" spans="27:27" x14ac:dyDescent="0.2">
      <c r="AA78" s="279"/>
    </row>
    <row r="79" spans="27:27" x14ac:dyDescent="0.2">
      <c r="AA79" s="279"/>
    </row>
  </sheetData>
  <mergeCells count="1">
    <mergeCell ref="AA72:AA79"/>
  </mergeCells>
  <pageMargins left="0.7" right="0.7" top="0.75" bottom="0.75" header="0.3" footer="0.3"/>
  <pageSetup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SheetLayoutView="90" workbookViewId="0">
      <selection activeCell="H63" sqref="H63"/>
    </sheetView>
  </sheetViews>
  <sheetFormatPr defaultRowHeight="12.75" x14ac:dyDescent="0.2"/>
  <cols>
    <col min="1" max="1" width="6.28515625" style="1" customWidth="1"/>
    <col min="2" max="2" width="1.5703125" style="1" customWidth="1"/>
    <col min="3" max="3" width="27" style="1" bestFit="1" customWidth="1"/>
    <col min="4" max="4" width="1.28515625" style="1" customWidth="1"/>
    <col min="5" max="5" width="16.42578125" style="1" bestFit="1" customWidth="1"/>
    <col min="6" max="6" width="1.42578125" style="1" customWidth="1"/>
    <col min="7" max="7" width="15" style="1" bestFit="1" customWidth="1"/>
    <col min="8" max="8" width="1.28515625" style="1" customWidth="1"/>
    <col min="9" max="9" width="11.85546875" style="1" bestFit="1" customWidth="1"/>
    <col min="10" max="10" width="1.140625" style="1" customWidth="1"/>
    <col min="11" max="11" width="13.85546875" style="1" customWidth="1"/>
    <col min="12" max="12" width="1.140625" style="1" customWidth="1"/>
    <col min="13" max="13" width="13.85546875" style="1" customWidth="1"/>
    <col min="14" max="14" width="1" style="1" customWidth="1"/>
    <col min="15" max="15" width="15.28515625" style="1" bestFit="1" customWidth="1"/>
    <col min="16" max="16" width="1" style="1" customWidth="1"/>
    <col min="17" max="17" width="15" style="1" customWidth="1"/>
    <col min="18" max="18" width="1" style="1" customWidth="1"/>
    <col min="19" max="19" width="16.85546875" style="1" bestFit="1" customWidth="1"/>
    <col min="20" max="20" width="2.28515625" style="1" customWidth="1"/>
    <col min="21" max="21" width="17.28515625" style="1" customWidth="1"/>
    <col min="22" max="16384" width="9.140625" style="1"/>
  </cols>
  <sheetData>
    <row r="1" spans="1:21" x14ac:dyDescent="0.2">
      <c r="A1" s="1" t="str">
        <f>'D P2 '!$A$1</f>
        <v>Kentucky Utilities Company</v>
      </c>
      <c r="H1" s="10"/>
      <c r="O1" s="10"/>
      <c r="U1" s="27" t="str">
        <f>'D P2 '!$Y$1</f>
        <v>Exhibit RCS-1</v>
      </c>
    </row>
    <row r="2" spans="1:21" x14ac:dyDescent="0.2">
      <c r="A2" s="1" t="s">
        <v>17</v>
      </c>
      <c r="H2" s="10"/>
      <c r="O2" s="10"/>
      <c r="U2" s="27" t="s">
        <v>102</v>
      </c>
    </row>
    <row r="3" spans="1:21" x14ac:dyDescent="0.2">
      <c r="H3" s="10"/>
      <c r="O3" s="10"/>
      <c r="U3" s="27" t="str">
        <f>'D P2 '!$Y$3</f>
        <v>Case No. 2016-00370</v>
      </c>
    </row>
    <row r="4" spans="1:21" x14ac:dyDescent="0.2">
      <c r="A4" s="1" t="s">
        <v>328</v>
      </c>
      <c r="H4" s="10"/>
      <c r="O4" s="10"/>
      <c r="U4" s="27" t="s">
        <v>193</v>
      </c>
    </row>
    <row r="5" spans="1:21" ht="12" customHeight="1" x14ac:dyDescent="0.2">
      <c r="E5" s="16"/>
      <c r="H5" s="10"/>
      <c r="O5" s="10"/>
    </row>
    <row r="6" spans="1:21" x14ac:dyDescent="0.2">
      <c r="H6" s="10"/>
      <c r="O6" s="10"/>
      <c r="S6" s="16" t="s">
        <v>217</v>
      </c>
    </row>
    <row r="7" spans="1:21" x14ac:dyDescent="0.2">
      <c r="E7" s="99" t="s">
        <v>728</v>
      </c>
      <c r="G7" s="99"/>
      <c r="I7" s="99"/>
      <c r="K7" s="99" t="s">
        <v>190</v>
      </c>
      <c r="L7" s="99"/>
      <c r="M7" s="99" t="s">
        <v>654</v>
      </c>
      <c r="O7" s="10"/>
      <c r="Q7" s="99" t="s">
        <v>681</v>
      </c>
      <c r="S7" s="16" t="s">
        <v>216</v>
      </c>
    </row>
    <row r="8" spans="1:21" x14ac:dyDescent="0.2">
      <c r="E8" s="99" t="s">
        <v>220</v>
      </c>
      <c r="G8" s="99"/>
      <c r="I8" s="99" t="s">
        <v>570</v>
      </c>
      <c r="K8" s="99" t="s">
        <v>244</v>
      </c>
      <c r="L8" s="99"/>
      <c r="M8" s="99" t="s">
        <v>655</v>
      </c>
      <c r="O8" s="99"/>
      <c r="Q8" s="46" t="s">
        <v>222</v>
      </c>
      <c r="S8" s="46" t="s">
        <v>220</v>
      </c>
    </row>
    <row r="9" spans="1:21" x14ac:dyDescent="0.2">
      <c r="A9" s="16" t="s">
        <v>0</v>
      </c>
      <c r="B9" s="16"/>
      <c r="C9" s="16"/>
      <c r="D9" s="16"/>
      <c r="E9" s="99" t="s">
        <v>191</v>
      </c>
      <c r="G9" s="12" t="s">
        <v>330</v>
      </c>
      <c r="H9" s="13"/>
      <c r="I9" s="12" t="s">
        <v>573</v>
      </c>
      <c r="K9" s="99" t="s">
        <v>21</v>
      </c>
      <c r="L9" s="99"/>
      <c r="M9" s="99" t="s">
        <v>656</v>
      </c>
      <c r="O9" s="99" t="s">
        <v>239</v>
      </c>
      <c r="Q9" s="99" t="s">
        <v>367</v>
      </c>
      <c r="S9" s="46" t="s">
        <v>222</v>
      </c>
    </row>
    <row r="10" spans="1:21" x14ac:dyDescent="0.2">
      <c r="A10" s="23" t="s">
        <v>2</v>
      </c>
      <c r="B10" s="16"/>
      <c r="C10" s="121" t="s">
        <v>3</v>
      </c>
      <c r="D10" s="16"/>
      <c r="E10" s="247" t="s">
        <v>222</v>
      </c>
      <c r="G10" s="247" t="s">
        <v>241</v>
      </c>
      <c r="I10" s="247" t="s">
        <v>242</v>
      </c>
      <c r="K10" s="247" t="s">
        <v>245</v>
      </c>
      <c r="L10" s="12"/>
      <c r="M10" s="247" t="s">
        <v>600</v>
      </c>
      <c r="O10" s="247" t="s">
        <v>4</v>
      </c>
      <c r="Q10" s="247" t="s">
        <v>368</v>
      </c>
      <c r="S10" s="247" t="s">
        <v>158</v>
      </c>
    </row>
    <row r="11" spans="1:21" x14ac:dyDescent="0.2">
      <c r="A11" s="4"/>
      <c r="B11" s="4"/>
      <c r="C11" s="4"/>
      <c r="D11" s="4"/>
      <c r="E11" s="16" t="s">
        <v>6</v>
      </c>
      <c r="G11" s="99" t="s">
        <v>7</v>
      </c>
      <c r="H11" s="99"/>
      <c r="I11" s="99" t="s">
        <v>18</v>
      </c>
      <c r="J11" s="99"/>
      <c r="K11" s="99" t="s">
        <v>38</v>
      </c>
      <c r="L11" s="99"/>
      <c r="M11" s="99" t="s">
        <v>50</v>
      </c>
      <c r="N11" s="99"/>
      <c r="O11" s="99" t="s">
        <v>51</v>
      </c>
      <c r="Q11" s="99" t="s">
        <v>729</v>
      </c>
      <c r="S11" s="12" t="s">
        <v>730</v>
      </c>
    </row>
    <row r="12" spans="1:21" x14ac:dyDescent="0.2">
      <c r="A12" s="4"/>
      <c r="B12" s="4"/>
      <c r="C12" s="4"/>
      <c r="D12" s="4"/>
    </row>
    <row r="13" spans="1:21" x14ac:dyDescent="0.2">
      <c r="A13" s="122">
        <v>1</v>
      </c>
      <c r="B13" s="4"/>
      <c r="C13" s="4" t="s">
        <v>26</v>
      </c>
      <c r="D13" s="4"/>
      <c r="E13" s="4">
        <f>'D P2 '!Q12</f>
        <v>1610324675.2008581</v>
      </c>
      <c r="G13" s="119">
        <f>K27*E44</f>
        <v>-3382873.6998479096</v>
      </c>
      <c r="H13" s="4"/>
      <c r="I13" s="119">
        <f>K27*E48</f>
        <v>-1375811.6176977921</v>
      </c>
      <c r="J13" s="4"/>
      <c r="K13" s="4">
        <f>E52*K27</f>
        <v>-840585.06240000005</v>
      </c>
      <c r="L13" s="4"/>
      <c r="M13" s="4">
        <f>K27*E56</f>
        <v>-11211675.656704001</v>
      </c>
      <c r="N13" s="4"/>
      <c r="O13" s="4">
        <f>SUM(G13:M13)</f>
        <v>-16810946.036649704</v>
      </c>
      <c r="Q13" s="44">
        <f>E13+O13</f>
        <v>1593513729.1642084</v>
      </c>
      <c r="S13" s="44">
        <f>S27</f>
        <v>1706525079.872</v>
      </c>
    </row>
    <row r="14" spans="1:21" x14ac:dyDescent="0.2">
      <c r="A14" s="122">
        <v>2</v>
      </c>
      <c r="B14" s="4"/>
      <c r="C14" s="4" t="s">
        <v>25</v>
      </c>
      <c r="D14" s="4"/>
      <c r="E14" s="4">
        <f>'D P2 '!Q13</f>
        <v>89828655.569519952</v>
      </c>
      <c r="G14" s="4">
        <f>K28*E44</f>
        <v>-188572.35151179225</v>
      </c>
      <c r="H14" s="4"/>
      <c r="I14" s="4">
        <f>K28*E48</f>
        <v>-76692.201662207997</v>
      </c>
      <c r="J14" s="4"/>
      <c r="K14" s="4">
        <f>E52*K28</f>
        <v>-46856.937599999997</v>
      </c>
      <c r="L14" s="4"/>
      <c r="M14" s="4">
        <f>K28*E56</f>
        <v>-624975.16329599998</v>
      </c>
      <c r="N14" s="4"/>
      <c r="O14" s="4">
        <f>SUM(G14:M14)</f>
        <v>-937096.65407000016</v>
      </c>
      <c r="Q14" s="44">
        <f t="shared" ref="Q14:Q15" si="0">E14+O14</f>
        <v>88891558.915449947</v>
      </c>
      <c r="S14" s="44">
        <f>S28</f>
        <v>95127242.628000006</v>
      </c>
    </row>
    <row r="15" spans="1:21" x14ac:dyDescent="0.2">
      <c r="A15" s="122">
        <v>3</v>
      </c>
      <c r="B15" s="4"/>
      <c r="C15" s="4" t="s">
        <v>27</v>
      </c>
      <c r="D15" s="4"/>
      <c r="E15" s="4">
        <f>'D P2 '!Q14</f>
        <v>1938647399.257534</v>
      </c>
      <c r="G15" s="47">
        <f>K30*E44</f>
        <v>-3571446.0513597019</v>
      </c>
      <c r="H15" s="4"/>
      <c r="I15" s="47">
        <f>K30*E48</f>
        <v>-1452503.8193600001</v>
      </c>
      <c r="J15" s="4"/>
      <c r="K15" s="47">
        <f>E52*K30</f>
        <v>-887442</v>
      </c>
      <c r="L15" s="19"/>
      <c r="M15" s="19">
        <f>K30*E56</f>
        <v>-11836650.82</v>
      </c>
      <c r="N15" s="4"/>
      <c r="O15" s="4">
        <f>SUM(G15:M15)</f>
        <v>-17748042.690719701</v>
      </c>
      <c r="Q15" s="44">
        <f t="shared" si="0"/>
        <v>1920899356.5668144</v>
      </c>
      <c r="S15" s="44">
        <f>S30</f>
        <v>1801652322.5</v>
      </c>
    </row>
    <row r="16" spans="1:21" ht="13.5" thickBot="1" x14ac:dyDescent="0.25">
      <c r="A16" s="122">
        <v>4</v>
      </c>
      <c r="B16" s="4"/>
      <c r="C16" s="4" t="s">
        <v>28</v>
      </c>
      <c r="D16" s="4"/>
      <c r="E16" s="45">
        <f>SUM(E13:E15)</f>
        <v>3638800730.0279121</v>
      </c>
      <c r="G16" s="18">
        <f>SUM(G13:G15)</f>
        <v>-7142892.1027194038</v>
      </c>
      <c r="H16" s="4"/>
      <c r="I16" s="18">
        <f>SUM(I13:I15)</f>
        <v>-2905007.6387200002</v>
      </c>
      <c r="J16" s="4"/>
      <c r="K16" s="18">
        <f>SUM(K13:K15)</f>
        <v>-1774884</v>
      </c>
      <c r="L16" s="19"/>
      <c r="M16" s="18">
        <f>SUM(M13:M15)</f>
        <v>-23673301.640000001</v>
      </c>
      <c r="N16" s="4"/>
      <c r="O16" s="18">
        <f>SUM(O13:O15)</f>
        <v>-35496085.381439403</v>
      </c>
      <c r="Q16" s="18">
        <f>ROUND(SUM(Q13:Q15),0)</f>
        <v>3603304645</v>
      </c>
      <c r="S16" s="18">
        <f>ROUND(SUM(S13:S15),0)</f>
        <v>3603304645</v>
      </c>
    </row>
    <row r="17" spans="1:21" ht="13.5" thickTop="1" x14ac:dyDescent="0.2">
      <c r="A17" s="122"/>
      <c r="B17" s="4"/>
      <c r="C17" s="4"/>
      <c r="D17" s="4"/>
    </row>
    <row r="20" spans="1:21" x14ac:dyDescent="0.2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13" t="s">
        <v>10</v>
      </c>
      <c r="B21" s="13"/>
      <c r="C21" s="13" t="s">
        <v>814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2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99" t="s">
        <v>360</v>
      </c>
      <c r="P22" s="13"/>
      <c r="Q22" s="99" t="s">
        <v>681</v>
      </c>
      <c r="R22" s="13"/>
      <c r="S22" s="99" t="s">
        <v>360</v>
      </c>
      <c r="U22" s="46" t="s">
        <v>220</v>
      </c>
    </row>
    <row r="23" spans="1:21" x14ac:dyDescent="0.2">
      <c r="A23" s="1" t="s">
        <v>731</v>
      </c>
      <c r="G23" s="274" t="s">
        <v>732</v>
      </c>
      <c r="H23" s="274"/>
      <c r="I23" s="274"/>
      <c r="O23" s="1" t="s">
        <v>368</v>
      </c>
      <c r="Q23" s="250" t="str">
        <f>Q8</f>
        <v>Capitalization</v>
      </c>
      <c r="S23" s="99" t="s">
        <v>368</v>
      </c>
      <c r="U23" s="46" t="s">
        <v>222</v>
      </c>
    </row>
    <row r="24" spans="1:21" x14ac:dyDescent="0.2">
      <c r="E24" s="99" t="s">
        <v>733</v>
      </c>
      <c r="G24" s="1" t="s">
        <v>734</v>
      </c>
      <c r="I24" s="1" t="s">
        <v>734</v>
      </c>
      <c r="K24" s="274" t="s">
        <v>735</v>
      </c>
      <c r="L24" s="274"/>
      <c r="M24" s="274"/>
      <c r="N24"/>
      <c r="O24" s="12" t="s">
        <v>736</v>
      </c>
      <c r="Q24" s="99" t="str">
        <f>Q9</f>
        <v>Before</v>
      </c>
      <c r="S24" s="12" t="s">
        <v>736</v>
      </c>
      <c r="U24" s="99" t="s">
        <v>737</v>
      </c>
    </row>
    <row r="25" spans="1:21" x14ac:dyDescent="0.2">
      <c r="E25" s="247" t="s">
        <v>361</v>
      </c>
      <c r="G25" s="248" t="s">
        <v>222</v>
      </c>
      <c r="H25" s="99"/>
      <c r="I25" s="248" t="s">
        <v>362</v>
      </c>
      <c r="K25" s="248" t="s">
        <v>362</v>
      </c>
      <c r="L25" s="12"/>
      <c r="M25" s="248" t="s">
        <v>222</v>
      </c>
      <c r="N25"/>
      <c r="O25" s="2" t="s">
        <v>738</v>
      </c>
      <c r="Q25" s="247" t="str">
        <f>Q10</f>
        <v>Reapportionment</v>
      </c>
      <c r="S25" s="247" t="s">
        <v>739</v>
      </c>
      <c r="U25" s="23" t="s">
        <v>34</v>
      </c>
    </row>
    <row r="26" spans="1:21" x14ac:dyDescent="0.2">
      <c r="E26" s="12" t="s">
        <v>129</v>
      </c>
      <c r="F26" s="99"/>
      <c r="G26" s="12" t="s">
        <v>213</v>
      </c>
      <c r="H26" s="99"/>
      <c r="I26" s="12" t="s">
        <v>214</v>
      </c>
      <c r="J26" s="99"/>
      <c r="K26" s="12" t="s">
        <v>740</v>
      </c>
      <c r="L26" s="12"/>
      <c r="M26" s="12" t="s">
        <v>215</v>
      </c>
      <c r="N26" s="99"/>
      <c r="O26" s="12" t="s">
        <v>363</v>
      </c>
      <c r="P26" s="99"/>
      <c r="Q26" s="99" t="s">
        <v>756</v>
      </c>
      <c r="R26" s="99"/>
      <c r="S26" s="99" t="s">
        <v>741</v>
      </c>
      <c r="U26" s="16" t="s">
        <v>742</v>
      </c>
    </row>
    <row r="27" spans="1:21" x14ac:dyDescent="0.2">
      <c r="A27" s="99">
        <f>A16+1</f>
        <v>5</v>
      </c>
      <c r="C27" s="4" t="s">
        <v>26</v>
      </c>
      <c r="E27" s="5">
        <v>0.47360000000000002</v>
      </c>
      <c r="G27" s="4">
        <f>'D P2 '!Q12</f>
        <v>1610324675.2008581</v>
      </c>
      <c r="I27" s="26">
        <f>G27/$G$31</f>
        <v>0.44254269323192802</v>
      </c>
      <c r="K27" s="26">
        <f>E27</f>
        <v>0.47360000000000002</v>
      </c>
      <c r="L27" s="26"/>
      <c r="M27" s="44">
        <f>$G$31*K27</f>
        <v>1723336025.7412193</v>
      </c>
      <c r="O27" s="44">
        <f>M27-G27</f>
        <v>113011350.54036117</v>
      </c>
      <c r="Q27" s="44">
        <f>Q13</f>
        <v>1593513729.1642084</v>
      </c>
      <c r="S27" s="44">
        <f>$Q$16*K27</f>
        <v>1706525079.872</v>
      </c>
      <c r="U27" s="4">
        <f>S27-Q27</f>
        <v>113011350.70779157</v>
      </c>
    </row>
    <row r="28" spans="1:21" x14ac:dyDescent="0.2">
      <c r="A28" s="99">
        <f>A27+1</f>
        <v>6</v>
      </c>
      <c r="C28" s="4" t="s">
        <v>25</v>
      </c>
      <c r="E28" s="251">
        <v>2.64E-2</v>
      </c>
      <c r="G28" s="4">
        <f>'D P2 '!Q13</f>
        <v>89828655.569519952</v>
      </c>
      <c r="I28" s="26">
        <f>G28/$G$31</f>
        <v>2.4686335480874465E-2</v>
      </c>
      <c r="K28" s="26">
        <f>E28</f>
        <v>2.64E-2</v>
      </c>
      <c r="L28" s="26"/>
      <c r="M28" s="44">
        <f>$G$31*K28</f>
        <v>96064339.272736877</v>
      </c>
      <c r="O28" s="44">
        <f>M28-G28</f>
        <v>6235683.7032169253</v>
      </c>
      <c r="Q28" s="44">
        <f>Q14</f>
        <v>88891558.915449947</v>
      </c>
      <c r="S28" s="44">
        <f>$Q$16*K28</f>
        <v>95127242.628000006</v>
      </c>
      <c r="U28" s="4">
        <f>S28-Q28</f>
        <v>6235683.712550059</v>
      </c>
    </row>
    <row r="29" spans="1:21" x14ac:dyDescent="0.2">
      <c r="A29" s="99">
        <f t="shared" ref="A29:A31" si="1">A28+1</f>
        <v>7</v>
      </c>
      <c r="C29" s="4" t="s">
        <v>364</v>
      </c>
      <c r="E29" s="5">
        <f>SUM(E27:E28)</f>
        <v>0.5</v>
      </c>
      <c r="G29" s="4"/>
      <c r="U29" s="4"/>
    </row>
    <row r="30" spans="1:21" x14ac:dyDescent="0.2">
      <c r="A30" s="99">
        <f t="shared" si="1"/>
        <v>8</v>
      </c>
      <c r="C30" s="4" t="s">
        <v>27</v>
      </c>
      <c r="E30" s="5">
        <v>0.5</v>
      </c>
      <c r="G30" s="4">
        <f>'D P2 '!Q14</f>
        <v>1938647399.257534</v>
      </c>
      <c r="I30" s="26">
        <f>G30/$G$31</f>
        <v>0.53277097128719753</v>
      </c>
      <c r="K30" s="5">
        <f>E30</f>
        <v>0.5</v>
      </c>
      <c r="L30" s="5"/>
      <c r="M30" s="44">
        <f>$G$31*K30</f>
        <v>1819400365.0139561</v>
      </c>
      <c r="O30" s="44">
        <f>M30-G30</f>
        <v>-119247034.24357796</v>
      </c>
      <c r="Q30" s="44">
        <f>Q15</f>
        <v>1920899356.5668144</v>
      </c>
      <c r="S30" s="44">
        <f>$Q$16*K30</f>
        <v>1801652322.5</v>
      </c>
      <c r="U30" s="47">
        <f>S30-Q30</f>
        <v>-119247034.06681442</v>
      </c>
    </row>
    <row r="31" spans="1:21" ht="13.5" thickBot="1" x14ac:dyDescent="0.25">
      <c r="A31" s="99">
        <f t="shared" si="1"/>
        <v>9</v>
      </c>
      <c r="C31" s="4" t="s">
        <v>28</v>
      </c>
      <c r="E31" s="32">
        <f>SUM(E29:E30)</f>
        <v>1</v>
      </c>
      <c r="G31" s="18">
        <f>SUM(G27:G30)</f>
        <v>3638800730.0279121</v>
      </c>
      <c r="I31" s="32">
        <f>SUM(I27:I30)</f>
        <v>1</v>
      </c>
      <c r="K31" s="32">
        <f>SUM(K27:K30)</f>
        <v>1</v>
      </c>
      <c r="L31" s="33"/>
      <c r="M31" s="18">
        <f>SUM(M27:M30)</f>
        <v>3638800730.0279121</v>
      </c>
      <c r="O31" s="18">
        <f>ROUND(SUM(O27:O30),0)</f>
        <v>0</v>
      </c>
      <c r="Q31" s="45">
        <f>SUM(Q27:Q30)</f>
        <v>3603304644.6464729</v>
      </c>
      <c r="S31" s="45">
        <f>SUM(S27:S30)</f>
        <v>3603304645</v>
      </c>
      <c r="U31" s="18">
        <f>ROUND(SUM(U27:U30),0)</f>
        <v>0</v>
      </c>
    </row>
    <row r="32" spans="1:21" ht="13.5" thickTop="1" x14ac:dyDescent="0.2">
      <c r="A32"/>
      <c r="B32"/>
      <c r="C32"/>
      <c r="D32"/>
      <c r="E32"/>
      <c r="F32"/>
      <c r="G32" s="156"/>
      <c r="H32"/>
      <c r="I32"/>
      <c r="J32"/>
      <c r="K32"/>
      <c r="L32"/>
      <c r="M32"/>
    </row>
    <row r="33" spans="1:21" x14ac:dyDescent="0.2">
      <c r="A33" s="1" t="s">
        <v>743</v>
      </c>
      <c r="B33"/>
      <c r="C33"/>
      <c r="D33"/>
      <c r="E33"/>
      <c r="F33"/>
      <c r="G33" s="156"/>
      <c r="H33"/>
      <c r="I33"/>
      <c r="J33"/>
      <c r="K33"/>
      <c r="L33"/>
      <c r="M33"/>
      <c r="U33" s="16"/>
    </row>
    <row r="34" spans="1:21" x14ac:dyDescent="0.2">
      <c r="A34"/>
      <c r="B34"/>
      <c r="C34"/>
      <c r="D34"/>
      <c r="E34"/>
      <c r="F34"/>
      <c r="G34" s="156"/>
      <c r="H34"/>
      <c r="I34"/>
      <c r="J34"/>
      <c r="K34"/>
      <c r="L34"/>
      <c r="M34"/>
    </row>
    <row r="35" spans="1:21" x14ac:dyDescent="0.2">
      <c r="A35" t="s">
        <v>365</v>
      </c>
      <c r="B35"/>
      <c r="C35"/>
      <c r="D35"/>
      <c r="E35"/>
      <c r="F35"/>
      <c r="G35" s="156"/>
      <c r="H35"/>
      <c r="I35"/>
      <c r="J35"/>
    </row>
    <row r="36" spans="1:21" x14ac:dyDescent="0.2">
      <c r="A36"/>
      <c r="B36"/>
      <c r="C36"/>
      <c r="D36"/>
      <c r="E36"/>
      <c r="F36"/>
      <c r="G36" s="156"/>
      <c r="H36"/>
      <c r="I36"/>
      <c r="J36"/>
      <c r="K36" t="s">
        <v>366</v>
      </c>
      <c r="L36"/>
      <c r="M36"/>
    </row>
    <row r="37" spans="1:21" x14ac:dyDescent="0.2">
      <c r="A37"/>
      <c r="B37"/>
      <c r="C37"/>
      <c r="D37"/>
      <c r="E37"/>
      <c r="F37"/>
      <c r="G37" s="156"/>
      <c r="H37"/>
      <c r="I37"/>
      <c r="J37"/>
      <c r="K37" s="158">
        <f>I30-K30</f>
        <v>3.2770971287197526E-2</v>
      </c>
      <c r="L37" s="158"/>
      <c r="M37" s="158"/>
    </row>
    <row r="38" spans="1:21" x14ac:dyDescent="0.2">
      <c r="A38"/>
      <c r="B38"/>
      <c r="C38" s="4" t="s">
        <v>26</v>
      </c>
      <c r="D38"/>
      <c r="E38"/>
      <c r="F38"/>
      <c r="G38" s="156">
        <f>G27</f>
        <v>1610324675.2008581</v>
      </c>
      <c r="H38"/>
      <c r="I38">
        <f>G38/$G$40</f>
        <v>0.9471643798569529</v>
      </c>
      <c r="J38"/>
      <c r="K38">
        <f>$K$37*I38</f>
        <v>3.1039496696548454E-2</v>
      </c>
      <c r="L38"/>
      <c r="M38"/>
      <c r="O38" s="106">
        <v>1.0699764605178688</v>
      </c>
    </row>
    <row r="39" spans="1:21" x14ac:dyDescent="0.2">
      <c r="A39"/>
      <c r="B39"/>
      <c r="C39" s="4" t="s">
        <v>25</v>
      </c>
      <c r="D39"/>
      <c r="E39"/>
      <c r="F39"/>
      <c r="G39" s="156">
        <f>G28</f>
        <v>89828655.569519952</v>
      </c>
      <c r="H39"/>
      <c r="I39">
        <f>G39/$G$40</f>
        <v>5.2835620143047067E-2</v>
      </c>
      <c r="J39"/>
      <c r="K39">
        <f>$K$37*I39</f>
        <v>1.7314745906490707E-3</v>
      </c>
      <c r="L39"/>
      <c r="M39"/>
      <c r="O39" s="106">
        <v>1.0699764605178688</v>
      </c>
    </row>
    <row r="40" spans="1:21" x14ac:dyDescent="0.2">
      <c r="A40"/>
      <c r="B40"/>
      <c r="C40" t="s">
        <v>364</v>
      </c>
      <c r="D40"/>
      <c r="E40"/>
      <c r="F40"/>
      <c r="G40" s="156">
        <f>SUM(G38:G39)</f>
        <v>1700153330.7703781</v>
      </c>
      <c r="H40"/>
      <c r="I40">
        <f>SUM(I38:I39)</f>
        <v>1</v>
      </c>
      <c r="J40"/>
      <c r="K40">
        <f>SUM(K38:K39)</f>
        <v>3.2770971287197526E-2</v>
      </c>
      <c r="L40"/>
      <c r="M40"/>
      <c r="O40" s="106">
        <v>0.93861460484325132</v>
      </c>
    </row>
    <row r="41" spans="1:21" x14ac:dyDescent="0.2">
      <c r="A41"/>
      <c r="B41"/>
      <c r="C41"/>
      <c r="D41"/>
      <c r="E41"/>
      <c r="F41"/>
      <c r="G41" s="156"/>
      <c r="H41"/>
      <c r="I41"/>
      <c r="J41"/>
      <c r="K41"/>
      <c r="L41"/>
      <c r="M41"/>
    </row>
    <row r="43" spans="1:21" x14ac:dyDescent="0.2">
      <c r="C43" s="1" t="s">
        <v>744</v>
      </c>
    </row>
    <row r="44" spans="1:21" x14ac:dyDescent="0.2">
      <c r="C44" s="1" t="s">
        <v>745</v>
      </c>
      <c r="E44" s="4">
        <f>B.1!$G$39</f>
        <v>-7142892.1027194038</v>
      </c>
      <c r="G44" s="1" t="s">
        <v>750</v>
      </c>
    </row>
    <row r="45" spans="1:21" x14ac:dyDescent="0.2">
      <c r="C45" s="1" t="s">
        <v>746</v>
      </c>
      <c r="E45" s="44">
        <f>G16</f>
        <v>-7142892.1027194038</v>
      </c>
    </row>
    <row r="46" spans="1:21" x14ac:dyDescent="0.2">
      <c r="E46" s="161">
        <f>E44-E45</f>
        <v>0</v>
      </c>
    </row>
    <row r="47" spans="1:21" x14ac:dyDescent="0.2">
      <c r="C47" s="1" t="s">
        <v>560</v>
      </c>
      <c r="E47" s="40"/>
    </row>
    <row r="48" spans="1:21" x14ac:dyDescent="0.2">
      <c r="C48" s="1" t="s">
        <v>561</v>
      </c>
      <c r="E48" s="40">
        <f>B.1!$H$39</f>
        <v>-2905007.6387200002</v>
      </c>
      <c r="G48" s="1" t="s">
        <v>752</v>
      </c>
      <c r="I48" s="1" t="s">
        <v>751</v>
      </c>
    </row>
    <row r="49" spans="3:9" x14ac:dyDescent="0.2">
      <c r="C49" s="1" t="s">
        <v>572</v>
      </c>
      <c r="E49" s="65">
        <f>I16</f>
        <v>-2905007.6387200002</v>
      </c>
    </row>
    <row r="50" spans="3:9" x14ac:dyDescent="0.2">
      <c r="E50" s="40">
        <f>E48-E49</f>
        <v>0</v>
      </c>
    </row>
    <row r="51" spans="3:9" x14ac:dyDescent="0.2">
      <c r="C51" s="1" t="s">
        <v>747</v>
      </c>
    </row>
    <row r="52" spans="3:9" x14ac:dyDescent="0.2">
      <c r="C52" s="1" t="s">
        <v>748</v>
      </c>
      <c r="E52" s="4">
        <f>B.1!$I$39</f>
        <v>-1774884</v>
      </c>
      <c r="G52" s="1" t="s">
        <v>753</v>
      </c>
      <c r="I52" s="1" t="s">
        <v>751</v>
      </c>
    </row>
    <row r="53" spans="3:9" x14ac:dyDescent="0.2">
      <c r="C53" s="1" t="s">
        <v>749</v>
      </c>
      <c r="E53" s="4">
        <f>K16</f>
        <v>-1774884</v>
      </c>
    </row>
    <row r="54" spans="3:9" x14ac:dyDescent="0.2">
      <c r="E54" s="161">
        <f>E52-E53</f>
        <v>0</v>
      </c>
    </row>
    <row r="55" spans="3:9" x14ac:dyDescent="0.2">
      <c r="C55" s="1" t="s">
        <v>583</v>
      </c>
    </row>
    <row r="56" spans="3:9" x14ac:dyDescent="0.2">
      <c r="C56" s="1" t="s">
        <v>652</v>
      </c>
      <c r="E56" s="4">
        <f>B.1!$J$39</f>
        <v>-23673301.640000001</v>
      </c>
      <c r="G56" s="1" t="s">
        <v>754</v>
      </c>
      <c r="I56" s="1" t="s">
        <v>751</v>
      </c>
    </row>
    <row r="57" spans="3:9" x14ac:dyDescent="0.2">
      <c r="C57" s="1" t="s">
        <v>653</v>
      </c>
      <c r="E57" s="47">
        <f>M16</f>
        <v>-23673301.640000001</v>
      </c>
    </row>
    <row r="58" spans="3:9" x14ac:dyDescent="0.2">
      <c r="E58" s="4">
        <f>E56-E57</f>
        <v>0</v>
      </c>
    </row>
  </sheetData>
  <mergeCells count="2">
    <mergeCell ref="G23:I23"/>
    <mergeCell ref="K24:M24"/>
  </mergeCells>
  <pageMargins left="0.7" right="0.7" top="0.75" bottom="0.75" header="0.3" footer="0.3"/>
  <pageSetup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4"/>
  <sheetViews>
    <sheetView workbookViewId="0">
      <selection activeCell="H63" sqref="H63"/>
    </sheetView>
  </sheetViews>
  <sheetFormatPr defaultRowHeight="12.75" x14ac:dyDescent="0.2"/>
  <cols>
    <col min="1" max="1" width="5.42578125" style="1" customWidth="1"/>
    <col min="2" max="2" width="3.7109375" style="1" customWidth="1"/>
    <col min="3" max="3" width="45.42578125" style="1" customWidth="1"/>
    <col min="4" max="4" width="2.85546875" style="1" customWidth="1"/>
    <col min="5" max="5" width="15.85546875" style="1" customWidth="1"/>
    <col min="6" max="6" width="2.85546875" style="1" customWidth="1"/>
    <col min="7" max="7" width="16.140625" style="1" customWidth="1"/>
    <col min="8" max="8" width="3.7109375" style="1" customWidth="1"/>
    <col min="9" max="9" width="15.140625" style="1" customWidth="1"/>
    <col min="10" max="10" width="3" style="1" customWidth="1"/>
    <col min="11" max="11" width="13" style="1" customWidth="1"/>
    <col min="12" max="12" width="3.140625" style="1" customWidth="1"/>
    <col min="13" max="13" width="13.42578125" style="1" customWidth="1"/>
    <col min="14" max="14" width="2.85546875" style="1" customWidth="1"/>
    <col min="15" max="15" width="13.5703125" style="1" customWidth="1"/>
    <col min="16" max="16384" width="9.140625" style="1"/>
  </cols>
  <sheetData>
    <row r="1" spans="1:15" x14ac:dyDescent="0.2">
      <c r="A1" s="1" t="s">
        <v>274</v>
      </c>
      <c r="O1" s="27" t="s">
        <v>185</v>
      </c>
    </row>
    <row r="2" spans="1:15" x14ac:dyDescent="0.2">
      <c r="A2" s="1" t="s">
        <v>331</v>
      </c>
      <c r="O2" s="27" t="s">
        <v>225</v>
      </c>
    </row>
    <row r="3" spans="1:15" x14ac:dyDescent="0.2">
      <c r="O3" s="27" t="s">
        <v>275</v>
      </c>
    </row>
    <row r="4" spans="1:15" x14ac:dyDescent="0.2">
      <c r="A4" s="1" t="s">
        <v>328</v>
      </c>
      <c r="O4" s="27" t="s">
        <v>37</v>
      </c>
    </row>
    <row r="5" spans="1:15" x14ac:dyDescent="0.2">
      <c r="A5" s="221"/>
      <c r="B5" s="221"/>
    </row>
    <row r="6" spans="1:15" x14ac:dyDescent="0.2">
      <c r="I6" s="99" t="s">
        <v>332</v>
      </c>
    </row>
    <row r="7" spans="1:15" ht="25.5" x14ac:dyDescent="0.2">
      <c r="A7" s="64" t="s">
        <v>40</v>
      </c>
      <c r="B7" s="222"/>
      <c r="C7" s="2" t="s">
        <v>333</v>
      </c>
      <c r="E7" s="219" t="s">
        <v>334</v>
      </c>
      <c r="G7" s="64" t="s">
        <v>335</v>
      </c>
      <c r="I7" s="64" t="s">
        <v>336</v>
      </c>
      <c r="K7" s="64" t="s">
        <v>337</v>
      </c>
      <c r="M7" s="64" t="s">
        <v>338</v>
      </c>
      <c r="O7" s="64" t="s">
        <v>331</v>
      </c>
    </row>
    <row r="8" spans="1:15" x14ac:dyDescent="0.2">
      <c r="A8" s="99"/>
      <c r="E8" s="223" t="s">
        <v>6</v>
      </c>
      <c r="F8" s="223"/>
      <c r="G8" s="223" t="s">
        <v>7</v>
      </c>
      <c r="I8" s="99" t="s">
        <v>8</v>
      </c>
      <c r="K8" s="99" t="s">
        <v>38</v>
      </c>
      <c r="M8" s="99" t="s">
        <v>339</v>
      </c>
      <c r="O8" s="99" t="s">
        <v>340</v>
      </c>
    </row>
    <row r="9" spans="1:15" x14ac:dyDescent="0.2">
      <c r="A9" s="99"/>
      <c r="C9" s="1" t="s">
        <v>341</v>
      </c>
      <c r="E9" s="224"/>
      <c r="F9" s="224"/>
      <c r="G9" s="224"/>
    </row>
    <row r="10" spans="1:15" x14ac:dyDescent="0.2">
      <c r="A10" s="225">
        <v>1</v>
      </c>
      <c r="B10" s="226"/>
      <c r="C10" s="1" t="s">
        <v>342</v>
      </c>
      <c r="E10" s="4">
        <v>6763836329.1472015</v>
      </c>
      <c r="F10" s="4"/>
      <c r="G10" s="4">
        <v>6970368267.9741955</v>
      </c>
      <c r="I10" s="224">
        <f>G10-E10</f>
        <v>206531938.82699394</v>
      </c>
      <c r="K10" s="227">
        <v>0.97204000000000002</v>
      </c>
      <c r="M10" s="4">
        <f>I10*K10</f>
        <v>200757305.81739119</v>
      </c>
      <c r="O10" s="44">
        <f>M10-I10</f>
        <v>-5774633.0096027553</v>
      </c>
    </row>
    <row r="11" spans="1:15" x14ac:dyDescent="0.2">
      <c r="A11" s="225">
        <v>2</v>
      </c>
      <c r="B11" s="226"/>
      <c r="C11" s="1" t="s">
        <v>343</v>
      </c>
      <c r="E11" s="4">
        <v>384971.08674773236</v>
      </c>
      <c r="F11" s="4"/>
      <c r="G11" s="4">
        <v>384971.08674773236</v>
      </c>
    </row>
    <row r="12" spans="1:15" x14ac:dyDescent="0.2">
      <c r="A12" s="225">
        <v>3</v>
      </c>
      <c r="B12" s="226"/>
      <c r="C12" s="1" t="s">
        <v>344</v>
      </c>
      <c r="E12" s="47">
        <v>-2573686914.4091501</v>
      </c>
      <c r="F12" s="4"/>
      <c r="G12" s="47">
        <v>-2699542764.4517398</v>
      </c>
      <c r="I12" s="47"/>
      <c r="M12" s="47"/>
      <c r="O12" s="47"/>
    </row>
    <row r="13" spans="1:15" x14ac:dyDescent="0.2">
      <c r="A13" s="225">
        <v>4</v>
      </c>
      <c r="B13" s="226"/>
      <c r="C13" s="1" t="s">
        <v>345</v>
      </c>
      <c r="E13" s="4">
        <f>SUM(E10:E12)</f>
        <v>4190534385.8247995</v>
      </c>
      <c r="F13" s="4"/>
      <c r="G13" s="4">
        <f>SUM(G10:G12)</f>
        <v>4271210474.6092038</v>
      </c>
      <c r="I13" s="4">
        <f>SUM(I10:I12)</f>
        <v>206531938.82699394</v>
      </c>
      <c r="M13" s="4">
        <f>SUM(M10:M12)</f>
        <v>200757305.81739119</v>
      </c>
      <c r="O13" s="4">
        <f>SUM(O10:O12)</f>
        <v>-5774633.0096027553</v>
      </c>
    </row>
    <row r="14" spans="1:15" x14ac:dyDescent="0.2">
      <c r="A14" s="225">
        <v>5</v>
      </c>
      <c r="B14" s="226"/>
      <c r="C14" s="1" t="s">
        <v>346</v>
      </c>
      <c r="E14" s="47">
        <v>69767635.860117227</v>
      </c>
      <c r="F14" s="4"/>
      <c r="G14" s="47">
        <v>118703941.05026916</v>
      </c>
      <c r="I14" s="47">
        <f>G14-E14</f>
        <v>48936305.19015193</v>
      </c>
      <c r="K14" s="227">
        <f>$K$10</f>
        <v>0.97204000000000002</v>
      </c>
      <c r="M14" s="47">
        <f>I14*K14</f>
        <v>47568046.097035281</v>
      </c>
      <c r="O14" s="47">
        <f>M14-I14</f>
        <v>-1368259.0931166485</v>
      </c>
    </row>
    <row r="15" spans="1:15" x14ac:dyDescent="0.2">
      <c r="A15" s="225">
        <v>6</v>
      </c>
      <c r="B15" s="226"/>
      <c r="C15" s="1" t="s">
        <v>347</v>
      </c>
      <c r="E15" s="4">
        <f>SUM(E13:E14)</f>
        <v>4260302021.684917</v>
      </c>
      <c r="F15" s="4"/>
      <c r="G15" s="4">
        <f>SUM(G13:G14)</f>
        <v>4389914415.6594734</v>
      </c>
      <c r="I15" s="4">
        <f>SUM(I13:I14)</f>
        <v>255468244.01714587</v>
      </c>
      <c r="M15" s="4">
        <f>SUM(M13:M14)</f>
        <v>248325351.91442648</v>
      </c>
      <c r="O15" s="4">
        <f>SUM(O13:O14)</f>
        <v>-7142892.1027194038</v>
      </c>
    </row>
    <row r="16" spans="1:15" x14ac:dyDescent="0.2">
      <c r="A16" s="225"/>
      <c r="B16" s="226"/>
      <c r="E16" s="4"/>
      <c r="F16" s="4"/>
      <c r="G16" s="4"/>
      <c r="I16" s="4"/>
      <c r="M16" s="4"/>
      <c r="O16" s="4"/>
    </row>
    <row r="17" spans="1:15" x14ac:dyDescent="0.2">
      <c r="A17" s="225">
        <v>7</v>
      </c>
      <c r="B17" s="226"/>
      <c r="C17" s="1" t="s">
        <v>348</v>
      </c>
      <c r="E17" s="4">
        <v>101002227.49863997</v>
      </c>
      <c r="F17" s="4"/>
      <c r="G17" s="4">
        <v>106348560.03969355</v>
      </c>
      <c r="I17" s="4"/>
      <c r="M17" s="4"/>
      <c r="O17" s="4"/>
    </row>
    <row r="18" spans="1:15" x14ac:dyDescent="0.2">
      <c r="A18" s="225">
        <v>8</v>
      </c>
      <c r="B18" s="226"/>
      <c r="C18" s="1" t="s">
        <v>349</v>
      </c>
      <c r="E18" s="4">
        <v>150181362.37122077</v>
      </c>
      <c r="F18" s="4"/>
      <c r="G18" s="4">
        <v>135979597.64236894</v>
      </c>
      <c r="I18" s="4"/>
      <c r="M18" s="4"/>
      <c r="O18" s="4"/>
    </row>
    <row r="19" spans="1:15" x14ac:dyDescent="0.2">
      <c r="A19" s="225">
        <v>9</v>
      </c>
      <c r="B19" s="226"/>
      <c r="C19" s="1" t="s">
        <v>308</v>
      </c>
      <c r="E19" s="4">
        <v>-1549703.6162990495</v>
      </c>
      <c r="F19" s="4"/>
      <c r="G19" s="4">
        <v>-1549703.6162990497</v>
      </c>
      <c r="I19" s="4"/>
      <c r="M19" s="4"/>
      <c r="O19" s="4"/>
    </row>
    <row r="20" spans="1:15" x14ac:dyDescent="0.2">
      <c r="A20" s="225">
        <v>10</v>
      </c>
      <c r="B20" s="226"/>
      <c r="C20" s="1" t="s">
        <v>350</v>
      </c>
      <c r="E20" s="4">
        <v>-819583394.08627367</v>
      </c>
      <c r="F20" s="4"/>
      <c r="G20" s="4">
        <v>-910427697.99012208</v>
      </c>
      <c r="I20" s="4"/>
      <c r="M20" s="4"/>
      <c r="O20" s="4"/>
    </row>
    <row r="21" spans="1:15" x14ac:dyDescent="0.2">
      <c r="A21" s="225">
        <v>11</v>
      </c>
      <c r="B21" s="226"/>
      <c r="C21" s="1" t="s">
        <v>351</v>
      </c>
      <c r="E21" s="4">
        <v>-82538337.052132368</v>
      </c>
      <c r="F21" s="4"/>
      <c r="G21" s="4">
        <v>-81185411.398252815</v>
      </c>
      <c r="I21" s="4"/>
      <c r="M21" s="4"/>
      <c r="O21" s="4"/>
    </row>
    <row r="22" spans="1:15" x14ac:dyDescent="0.2">
      <c r="A22" s="225">
        <v>12</v>
      </c>
      <c r="B22" s="226"/>
      <c r="C22" s="1" t="s">
        <v>352</v>
      </c>
      <c r="E22" s="4">
        <v>0</v>
      </c>
      <c r="F22" s="4"/>
      <c r="G22" s="4">
        <v>0</v>
      </c>
      <c r="I22" s="4"/>
      <c r="M22" s="4"/>
      <c r="O22" s="4"/>
    </row>
    <row r="23" spans="1:15" x14ac:dyDescent="0.2">
      <c r="A23" s="225"/>
      <c r="B23" s="226"/>
      <c r="E23" s="4"/>
      <c r="F23" s="4"/>
      <c r="G23" s="4"/>
      <c r="I23" s="4"/>
      <c r="M23" s="4"/>
      <c r="O23" s="4"/>
    </row>
    <row r="24" spans="1:15" ht="13.5" thickBot="1" x14ac:dyDescent="0.25">
      <c r="A24" s="225">
        <v>13</v>
      </c>
      <c r="B24" s="226"/>
      <c r="C24" s="1" t="s">
        <v>353</v>
      </c>
      <c r="E24" s="18">
        <f>SUM(E15:E22)</f>
        <v>3607814176.8000727</v>
      </c>
      <c r="F24" s="4"/>
      <c r="G24" s="18">
        <f>SUM(G15:G22)</f>
        <v>3639079760.336863</v>
      </c>
      <c r="I24" s="18">
        <f>SUM(I15:I22)</f>
        <v>255468244.01714587</v>
      </c>
      <c r="M24" s="18">
        <f>SUM(M15:M22)</f>
        <v>248325351.91442648</v>
      </c>
      <c r="O24" s="18">
        <f>SUM(O15:O22)</f>
        <v>-7142892.1027194038</v>
      </c>
    </row>
    <row r="25" spans="1:15" ht="13.5" thickTop="1" x14ac:dyDescent="0.2">
      <c r="A25" s="226"/>
      <c r="B25" s="226"/>
      <c r="E25" s="224"/>
      <c r="F25" s="224"/>
      <c r="G25" s="224"/>
    </row>
    <row r="26" spans="1:15" x14ac:dyDescent="0.2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">
      <c r="A27" s="1" t="s">
        <v>354</v>
      </c>
    </row>
    <row r="28" spans="1:15" x14ac:dyDescent="0.2">
      <c r="A28" s="1" t="s">
        <v>355</v>
      </c>
    </row>
    <row r="29" spans="1:15" x14ac:dyDescent="0.2">
      <c r="A29" s="1" t="s">
        <v>356</v>
      </c>
    </row>
    <row r="32" spans="1:15" x14ac:dyDescent="0.2">
      <c r="A32" s="1" t="s">
        <v>357</v>
      </c>
    </row>
    <row r="33" spans="3:7" x14ac:dyDescent="0.2">
      <c r="C33" s="1" t="s">
        <v>358</v>
      </c>
      <c r="E33" s="4">
        <v>3607814176.8000727</v>
      </c>
      <c r="F33" s="4"/>
      <c r="G33" s="4">
        <v>3639079760.336863</v>
      </c>
    </row>
    <row r="34" spans="3:7" x14ac:dyDescent="0.2">
      <c r="C34" s="1" t="s">
        <v>359</v>
      </c>
      <c r="E34" s="44">
        <f>E24-E33</f>
        <v>0</v>
      </c>
      <c r="G34" s="44">
        <f>G24-G33</f>
        <v>0</v>
      </c>
    </row>
  </sheetData>
  <pageMargins left="0.75" right="0.5" top="1" bottom="1" header="0.5" footer="0.5"/>
  <pageSetup scale="78" fitToHeight="3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H63" sqref="H63"/>
    </sheetView>
  </sheetViews>
  <sheetFormatPr defaultRowHeight="12.75" x14ac:dyDescent="0.2"/>
  <cols>
    <col min="1" max="1" width="5" style="1" customWidth="1"/>
    <col min="2" max="2" width="1" style="1" customWidth="1"/>
    <col min="3" max="3" width="67" style="1" bestFit="1" customWidth="1"/>
    <col min="4" max="4" width="1.140625" style="1" customWidth="1"/>
    <col min="5" max="5" width="11.140625" style="1" bestFit="1" customWidth="1"/>
    <col min="6" max="6" width="1.28515625" style="1" customWidth="1"/>
    <col min="7" max="7" width="12.28515625" style="1" customWidth="1"/>
    <col min="8" max="8" width="1.28515625" style="1" customWidth="1"/>
    <col min="9" max="9" width="12.28515625" style="1" customWidth="1"/>
    <col min="10" max="10" width="1" style="1" customWidth="1"/>
    <col min="11" max="11" width="11.140625" style="1" bestFit="1" customWidth="1"/>
    <col min="12" max="12" width="1.140625" style="1" customWidth="1"/>
    <col min="13" max="13" width="11.28515625" style="1" bestFit="1" customWidth="1"/>
    <col min="14" max="14" width="9.140625" style="1"/>
    <col min="15" max="15" width="9.85546875" style="1" bestFit="1" customWidth="1"/>
    <col min="16" max="16384" width="9.140625" style="1"/>
  </cols>
  <sheetData>
    <row r="1" spans="1:13" x14ac:dyDescent="0.2">
      <c r="A1" s="1" t="str">
        <f>Contents!A1</f>
        <v>Kentucky Utilities Company</v>
      </c>
      <c r="G1" s="27"/>
      <c r="H1" s="27"/>
      <c r="I1" s="27"/>
      <c r="M1" s="27" t="str">
        <f>Contents!A3</f>
        <v>Exhibit RCS-1</v>
      </c>
    </row>
    <row r="2" spans="1:13" x14ac:dyDescent="0.2">
      <c r="A2" s="1" t="s">
        <v>560</v>
      </c>
      <c r="G2" s="27"/>
      <c r="H2" s="27"/>
      <c r="I2" s="27"/>
      <c r="M2" s="27" t="s">
        <v>226</v>
      </c>
    </row>
    <row r="3" spans="1:13" x14ac:dyDescent="0.2">
      <c r="G3" s="27"/>
      <c r="H3" s="27"/>
      <c r="I3" s="27"/>
      <c r="M3" s="27" t="str">
        <f>Contents!A2</f>
        <v>Case No. 2016-00370</v>
      </c>
    </row>
    <row r="4" spans="1:13" x14ac:dyDescent="0.2">
      <c r="A4" s="1" t="s">
        <v>328</v>
      </c>
      <c r="G4" s="27"/>
      <c r="H4" s="27"/>
      <c r="I4" s="27"/>
      <c r="M4" s="27" t="s">
        <v>37</v>
      </c>
    </row>
    <row r="6" spans="1:13" x14ac:dyDescent="0.2">
      <c r="E6" s="99" t="s">
        <v>216</v>
      </c>
      <c r="F6" s="99"/>
      <c r="G6" s="99"/>
      <c r="H6" s="99"/>
      <c r="I6" s="99"/>
    </row>
    <row r="7" spans="1:13" x14ac:dyDescent="0.2">
      <c r="A7" s="99" t="s">
        <v>0</v>
      </c>
      <c r="E7" s="99" t="s">
        <v>220</v>
      </c>
      <c r="F7" s="99"/>
      <c r="G7" s="99"/>
      <c r="H7" s="99"/>
      <c r="I7" s="99"/>
    </row>
    <row r="8" spans="1:13" x14ac:dyDescent="0.2">
      <c r="A8" s="11" t="s">
        <v>2</v>
      </c>
      <c r="C8" s="2" t="s">
        <v>3</v>
      </c>
      <c r="E8" s="11" t="s">
        <v>16</v>
      </c>
      <c r="F8" s="99"/>
      <c r="G8" s="11" t="s">
        <v>15</v>
      </c>
      <c r="H8" s="12"/>
      <c r="I8" s="12"/>
    </row>
    <row r="9" spans="1:13" x14ac:dyDescent="0.2">
      <c r="E9" s="99" t="s">
        <v>6</v>
      </c>
    </row>
    <row r="10" spans="1:13" x14ac:dyDescent="0.2">
      <c r="E10" s="13"/>
    </row>
    <row r="11" spans="1:13" ht="15" customHeight="1" thickBot="1" x14ac:dyDescent="0.25">
      <c r="A11" s="99">
        <v>1</v>
      </c>
      <c r="C11" s="1" t="s">
        <v>562</v>
      </c>
      <c r="E11" s="20">
        <f>-M24</f>
        <v>-2905007.6387200002</v>
      </c>
      <c r="G11" s="99" t="s">
        <v>43</v>
      </c>
      <c r="H11" s="99"/>
      <c r="I11" s="99"/>
    </row>
    <row r="12" spans="1:13" ht="13.5" thickTop="1" x14ac:dyDescent="0.2"/>
    <row r="14" spans="1:13" x14ac:dyDescent="0.2">
      <c r="A14" s="2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1" t="s">
        <v>804</v>
      </c>
    </row>
    <row r="16" spans="1:13" x14ac:dyDescent="0.2">
      <c r="K16" s="12" t="s">
        <v>216</v>
      </c>
    </row>
    <row r="17" spans="1:15" x14ac:dyDescent="0.2">
      <c r="G17" s="99" t="s">
        <v>28</v>
      </c>
      <c r="H17" s="99"/>
      <c r="I17" s="99"/>
      <c r="K17" s="12" t="s">
        <v>220</v>
      </c>
      <c r="M17" s="99" t="s">
        <v>216</v>
      </c>
    </row>
    <row r="18" spans="1:15" x14ac:dyDescent="0.2">
      <c r="E18" s="99" t="s">
        <v>565</v>
      </c>
      <c r="F18" s="99"/>
      <c r="G18" s="99" t="s">
        <v>567</v>
      </c>
      <c r="H18" s="99"/>
      <c r="I18" s="99" t="s">
        <v>775</v>
      </c>
      <c r="K18" s="12" t="s">
        <v>474</v>
      </c>
      <c r="M18" s="99" t="s">
        <v>220</v>
      </c>
    </row>
    <row r="19" spans="1:15" x14ac:dyDescent="0.2">
      <c r="C19" s="2" t="s">
        <v>3</v>
      </c>
      <c r="E19" s="219" t="s">
        <v>471</v>
      </c>
      <c r="F19" s="99"/>
      <c r="G19" s="219" t="s">
        <v>16</v>
      </c>
      <c r="H19" s="12"/>
      <c r="I19" s="249" t="s">
        <v>776</v>
      </c>
      <c r="K19" s="219" t="s">
        <v>475</v>
      </c>
      <c r="M19" s="219" t="s">
        <v>16</v>
      </c>
    </row>
    <row r="20" spans="1:15" x14ac:dyDescent="0.2">
      <c r="A20" s="99">
        <v>2</v>
      </c>
      <c r="C20" s="1" t="s">
        <v>563</v>
      </c>
      <c r="E20" s="99">
        <v>365</v>
      </c>
      <c r="G20" s="4">
        <v>5758000</v>
      </c>
      <c r="H20" s="4"/>
      <c r="I20" s="4">
        <f>ROUND(G20/2,0)</f>
        <v>2879000</v>
      </c>
      <c r="K20" s="17">
        <v>1</v>
      </c>
      <c r="M20" s="4">
        <f>ROUND(I20*K20,0)</f>
        <v>2879000</v>
      </c>
    </row>
    <row r="21" spans="1:15" x14ac:dyDescent="0.2">
      <c r="A21" s="99">
        <v>3</v>
      </c>
      <c r="C21" s="1" t="s">
        <v>564</v>
      </c>
      <c r="E21" s="99">
        <v>397</v>
      </c>
      <c r="G21" s="47">
        <v>238000</v>
      </c>
      <c r="H21" s="19"/>
      <c r="I21" s="47">
        <f>ROUND(G21/2,0)</f>
        <v>119000</v>
      </c>
      <c r="K21" s="218">
        <v>0.92074352528161585</v>
      </c>
      <c r="M21" s="47">
        <f>ROUND(I21*K21,0)</f>
        <v>109568</v>
      </c>
    </row>
    <row r="22" spans="1:15" x14ac:dyDescent="0.2">
      <c r="A22" s="99">
        <v>4</v>
      </c>
      <c r="C22" s="1" t="s">
        <v>566</v>
      </c>
      <c r="G22" s="4">
        <f>G20+G21</f>
        <v>5996000</v>
      </c>
      <c r="H22" s="4"/>
      <c r="I22" s="4">
        <f>I20+I21</f>
        <v>2998000</v>
      </c>
      <c r="K22" s="26"/>
      <c r="M22" s="4">
        <f>M20+M21</f>
        <v>2988568</v>
      </c>
      <c r="O22" s="44"/>
    </row>
    <row r="23" spans="1:15" x14ac:dyDescent="0.2">
      <c r="A23" s="99">
        <v>5</v>
      </c>
      <c r="C23" s="1" t="s">
        <v>569</v>
      </c>
      <c r="G23" s="117"/>
      <c r="H23" s="117"/>
      <c r="I23" s="117"/>
      <c r="M23" s="117">
        <f>-M22*(1-0.97204)</f>
        <v>-83560.361279999954</v>
      </c>
    </row>
    <row r="24" spans="1:15" ht="15.75" customHeight="1" thickBot="1" x14ac:dyDescent="0.25">
      <c r="A24" s="99">
        <v>6</v>
      </c>
      <c r="C24" s="1" t="s">
        <v>568</v>
      </c>
      <c r="G24" s="19"/>
      <c r="H24" s="19"/>
      <c r="I24" s="19"/>
      <c r="M24" s="18">
        <f>M22+M23</f>
        <v>2905007.6387200002</v>
      </c>
    </row>
    <row r="25" spans="1:15" ht="13.5" thickTop="1" x14ac:dyDescent="0.2"/>
    <row r="26" spans="1:15" x14ac:dyDescent="0.2">
      <c r="A26" s="1" t="s">
        <v>770</v>
      </c>
      <c r="E26" s="99"/>
      <c r="F26" s="99"/>
      <c r="G26" s="99"/>
    </row>
    <row r="27" spans="1:15" x14ac:dyDescent="0.2">
      <c r="E27" s="249" t="s">
        <v>16</v>
      </c>
      <c r="F27" s="99"/>
      <c r="G27" s="249" t="s">
        <v>15</v>
      </c>
    </row>
    <row r="28" spans="1:15" x14ac:dyDescent="0.2">
      <c r="A28" s="99">
        <v>7</v>
      </c>
      <c r="C28" s="1" t="s">
        <v>771</v>
      </c>
      <c r="E28" s="44">
        <f>M22</f>
        <v>2988568</v>
      </c>
      <c r="G28" s="99" t="s">
        <v>672</v>
      </c>
    </row>
    <row r="29" spans="1:15" x14ac:dyDescent="0.2">
      <c r="A29" s="99">
        <v>8</v>
      </c>
      <c r="C29" s="1" t="s">
        <v>772</v>
      </c>
      <c r="E29" s="266">
        <f>'B-1'!K10</f>
        <v>0.97204000000000002</v>
      </c>
      <c r="G29" s="99" t="s">
        <v>670</v>
      </c>
    </row>
    <row r="30" spans="1:15" x14ac:dyDescent="0.2">
      <c r="A30" s="99">
        <v>9</v>
      </c>
      <c r="C30" s="1" t="s">
        <v>773</v>
      </c>
      <c r="E30" s="267">
        <f>E28*E29</f>
        <v>2905007.6387200002</v>
      </c>
      <c r="G30" s="99" t="s">
        <v>777</v>
      </c>
    </row>
    <row r="31" spans="1:15" ht="13.5" thickBot="1" x14ac:dyDescent="0.25">
      <c r="A31" s="99">
        <v>10</v>
      </c>
      <c r="C31" s="1" t="s">
        <v>774</v>
      </c>
      <c r="E31" s="45">
        <f>E30-E28</f>
        <v>-83560.361279999837</v>
      </c>
      <c r="G31" s="99" t="s">
        <v>778</v>
      </c>
    </row>
    <row r="32" spans="1:15" ht="13.5" thickTop="1" x14ac:dyDescent="0.2"/>
  </sheetData>
  <pageMargins left="0.75" right="0.75" top="1" bottom="0.64" header="0.5" footer="0.5"/>
  <pageSetup scale="89" fitToHeight="3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28"/>
  <sheetViews>
    <sheetView workbookViewId="0">
      <selection activeCell="C32" sqref="C32"/>
    </sheetView>
  </sheetViews>
  <sheetFormatPr defaultRowHeight="12.75" x14ac:dyDescent="0.2"/>
  <cols>
    <col min="1" max="1" width="4.5703125" style="1" customWidth="1"/>
    <col min="2" max="2" width="2.5703125" style="1" customWidth="1"/>
    <col min="3" max="3" width="42" style="1" customWidth="1"/>
    <col min="4" max="4" width="0.85546875" style="1" customWidth="1"/>
    <col min="5" max="5" width="14.85546875" style="1" bestFit="1" customWidth="1"/>
    <col min="6" max="6" width="1" style="1" customWidth="1"/>
    <col min="7" max="7" width="13.42578125" style="1" bestFit="1" customWidth="1"/>
    <col min="8" max="8" width="1.140625" style="1" customWidth="1"/>
    <col min="9" max="9" width="14.85546875" style="1" customWidth="1"/>
    <col min="10" max="10" width="1.28515625" style="1" customWidth="1"/>
    <col min="11" max="16384" width="9.140625" style="1"/>
  </cols>
  <sheetData>
    <row r="1" spans="1:10" x14ac:dyDescent="0.2">
      <c r="A1" s="1" t="str">
        <f>Contents!A1</f>
        <v>Kentucky Utilities Company</v>
      </c>
      <c r="F1" s="10"/>
      <c r="H1" s="10"/>
      <c r="I1" s="27" t="s">
        <v>185</v>
      </c>
    </row>
    <row r="2" spans="1:10" x14ac:dyDescent="0.2">
      <c r="A2" s="89" t="s">
        <v>132</v>
      </c>
      <c r="F2" s="10"/>
      <c r="H2" s="10"/>
      <c r="I2" s="27" t="s">
        <v>175</v>
      </c>
    </row>
    <row r="3" spans="1:10" x14ac:dyDescent="0.2">
      <c r="A3" s="41"/>
      <c r="F3" s="10"/>
      <c r="H3" s="10"/>
      <c r="I3" s="27" t="s">
        <v>380</v>
      </c>
    </row>
    <row r="4" spans="1:10" x14ac:dyDescent="0.2">
      <c r="A4" s="1" t="s">
        <v>328</v>
      </c>
      <c r="F4" s="10"/>
      <c r="H4" s="10"/>
      <c r="I4" s="27" t="s">
        <v>71</v>
      </c>
    </row>
    <row r="5" spans="1:10" x14ac:dyDescent="0.2">
      <c r="E5" s="99"/>
    </row>
    <row r="6" spans="1:10" x14ac:dyDescent="0.2">
      <c r="E6" s="99"/>
    </row>
    <row r="7" spans="1:10" x14ac:dyDescent="0.2">
      <c r="E7" s="99" t="s">
        <v>381</v>
      </c>
      <c r="G7" s="99"/>
      <c r="H7" s="99"/>
      <c r="I7" s="99" t="s">
        <v>160</v>
      </c>
    </row>
    <row r="8" spans="1:10" x14ac:dyDescent="0.2">
      <c r="A8" s="99" t="s">
        <v>0</v>
      </c>
      <c r="E8" s="99" t="s">
        <v>382</v>
      </c>
      <c r="G8" s="99" t="s">
        <v>160</v>
      </c>
      <c r="H8" s="99"/>
      <c r="I8" s="99" t="s">
        <v>191</v>
      </c>
    </row>
    <row r="9" spans="1:10" x14ac:dyDescent="0.2">
      <c r="A9" s="157" t="s">
        <v>2</v>
      </c>
      <c r="C9" s="2" t="s">
        <v>3</v>
      </c>
      <c r="E9" s="157" t="s">
        <v>16</v>
      </c>
      <c r="G9" s="157" t="s">
        <v>4</v>
      </c>
      <c r="H9" s="12"/>
      <c r="I9" s="157" t="s">
        <v>16</v>
      </c>
    </row>
    <row r="10" spans="1:10" x14ac:dyDescent="0.2">
      <c r="E10" s="99" t="s">
        <v>6</v>
      </c>
      <c r="G10" s="99" t="s">
        <v>7</v>
      </c>
      <c r="H10" s="13"/>
      <c r="I10" s="99" t="s">
        <v>18</v>
      </c>
    </row>
    <row r="11" spans="1:10" x14ac:dyDescent="0.2">
      <c r="H11" s="13"/>
    </row>
    <row r="12" spans="1:10" x14ac:dyDescent="0.2">
      <c r="A12" s="99">
        <v>1</v>
      </c>
      <c r="C12" s="1" t="s">
        <v>383</v>
      </c>
      <c r="E12" s="4">
        <v>901541819</v>
      </c>
      <c r="F12" s="4"/>
      <c r="G12" s="271">
        <f>'B-3, P2'!I23</f>
        <v>-14199070.875999998</v>
      </c>
      <c r="H12" s="19"/>
      <c r="I12" s="4">
        <f>E12+G12</f>
        <v>887342748.12399995</v>
      </c>
      <c r="J12" s="4"/>
    </row>
    <row r="13" spans="1:10" x14ac:dyDescent="0.2">
      <c r="A13" s="99"/>
      <c r="C13" s="1" t="s">
        <v>384</v>
      </c>
      <c r="E13" s="4"/>
      <c r="F13" s="4"/>
      <c r="G13" s="4"/>
      <c r="H13" s="19"/>
      <c r="I13" s="4"/>
      <c r="J13" s="4"/>
    </row>
    <row r="14" spans="1:10" x14ac:dyDescent="0.2">
      <c r="A14" s="99">
        <f>A12+1</f>
        <v>2</v>
      </c>
      <c r="C14" s="1" t="s">
        <v>385</v>
      </c>
      <c r="E14" s="19">
        <v>-50753339</v>
      </c>
      <c r="F14" s="19"/>
      <c r="G14" s="19"/>
      <c r="H14" s="19"/>
      <c r="I14" s="4">
        <f t="shared" ref="I14" si="0">E14+G14</f>
        <v>-50753339</v>
      </c>
      <c r="J14" s="4"/>
    </row>
    <row r="15" spans="1:10" x14ac:dyDescent="0.2">
      <c r="A15" s="99">
        <v>3</v>
      </c>
      <c r="C15" s="1" t="s">
        <v>386</v>
      </c>
      <c r="E15" s="4"/>
      <c r="F15" s="4"/>
      <c r="G15" s="4"/>
      <c r="H15" s="4"/>
      <c r="I15" s="4"/>
      <c r="J15" s="4"/>
    </row>
    <row r="16" spans="1:10" x14ac:dyDescent="0.2">
      <c r="A16" s="99"/>
      <c r="E16" s="19"/>
      <c r="F16" s="19"/>
      <c r="G16" s="19"/>
      <c r="H16" s="19"/>
      <c r="I16" s="19"/>
      <c r="J16" s="4"/>
    </row>
    <row r="17" spans="1:10" x14ac:dyDescent="0.2">
      <c r="A17" s="99"/>
      <c r="E17" s="47"/>
      <c r="F17" s="4"/>
      <c r="G17" s="47"/>
      <c r="H17" s="4"/>
      <c r="I17" s="47"/>
      <c r="J17" s="4"/>
    </row>
    <row r="18" spans="1:10" x14ac:dyDescent="0.2">
      <c r="A18" s="99">
        <v>4</v>
      </c>
      <c r="C18" s="1" t="s">
        <v>207</v>
      </c>
      <c r="E18" s="44">
        <f>SUM(E12:E17)</f>
        <v>850788480</v>
      </c>
      <c r="G18" s="44">
        <f t="shared" ref="G18:I18" si="1">SUM(G12:G17)</f>
        <v>-14199070.875999998</v>
      </c>
      <c r="H18" s="44">
        <f t="shared" si="1"/>
        <v>0</v>
      </c>
      <c r="I18" s="44">
        <f t="shared" si="1"/>
        <v>836589409.12399995</v>
      </c>
    </row>
    <row r="19" spans="1:10" x14ac:dyDescent="0.2">
      <c r="A19" s="99">
        <v>5</v>
      </c>
      <c r="C19" s="1" t="s">
        <v>236</v>
      </c>
      <c r="E19" s="125">
        <v>0.125</v>
      </c>
      <c r="G19" s="125">
        <v>0.125</v>
      </c>
      <c r="I19" s="125">
        <v>0.125</v>
      </c>
    </row>
    <row r="20" spans="1:10" ht="13.5" thickBot="1" x14ac:dyDescent="0.25">
      <c r="A20" s="99">
        <v>6</v>
      </c>
      <c r="C20" s="1" t="s">
        <v>132</v>
      </c>
      <c r="E20" s="18">
        <f>ROUND(E18*E19,0)</f>
        <v>106348560</v>
      </c>
      <c r="G20" s="18">
        <f>ROUND(G18*G19,0)</f>
        <v>-1774884</v>
      </c>
      <c r="I20" s="18">
        <f>ROUND(I18*I19,0)</f>
        <v>104573676</v>
      </c>
    </row>
    <row r="21" spans="1:10" ht="13.5" thickTop="1" x14ac:dyDescent="0.2"/>
    <row r="22" spans="1:10" x14ac:dyDescent="0.2">
      <c r="I22" s="44"/>
    </row>
    <row r="25" spans="1:10" x14ac:dyDescent="0.2">
      <c r="A25" s="2" t="s">
        <v>9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">
      <c r="A26" s="1" t="s">
        <v>387</v>
      </c>
      <c r="B26" s="51"/>
    </row>
    <row r="27" spans="1:10" x14ac:dyDescent="0.2">
      <c r="A27" s="1" t="s">
        <v>269</v>
      </c>
      <c r="B27" s="51"/>
    </row>
    <row r="28" spans="1:10" x14ac:dyDescent="0.2">
      <c r="B28" s="51"/>
    </row>
  </sheetData>
  <pageMargins left="0.75" right="0.75" top="1" bottom="0.63" header="0.5" footer="0.5"/>
  <pageSetup fitToHeight="3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A27" sqref="A27"/>
    </sheetView>
  </sheetViews>
  <sheetFormatPr defaultRowHeight="12.75" x14ac:dyDescent="0.2"/>
  <cols>
    <col min="1" max="1" width="4" style="1" customWidth="1"/>
    <col min="2" max="2" width="1" style="1" customWidth="1"/>
    <col min="3" max="3" width="62" style="1" bestFit="1" customWidth="1"/>
    <col min="4" max="4" width="1.140625" style="1" customWidth="1"/>
    <col min="5" max="5" width="10.42578125" style="1" bestFit="1" customWidth="1"/>
    <col min="6" max="6" width="1.140625" style="1" customWidth="1"/>
    <col min="7" max="7" width="14" style="1" bestFit="1" customWidth="1"/>
    <col min="8" max="8" width="0.85546875" style="1" customWidth="1"/>
    <col min="9" max="9" width="14.140625" style="1" bestFit="1" customWidth="1"/>
    <col min="10" max="10" width="10.28515625" style="1" bestFit="1" customWidth="1"/>
    <col min="11" max="11" width="9.140625" style="1"/>
    <col min="12" max="12" width="14.140625" style="1" bestFit="1" customWidth="1"/>
    <col min="13" max="16384" width="9.140625" style="1"/>
  </cols>
  <sheetData>
    <row r="1" spans="1:10" x14ac:dyDescent="0.2">
      <c r="A1" s="1" t="str">
        <f>Contents!A1</f>
        <v>Kentucky Utilities Company</v>
      </c>
      <c r="F1" s="10"/>
      <c r="I1" s="27" t="str">
        <f>Contents!A3</f>
        <v>Exhibit RCS-1</v>
      </c>
    </row>
    <row r="2" spans="1:10" x14ac:dyDescent="0.2">
      <c r="A2" s="1" t="s">
        <v>231</v>
      </c>
      <c r="F2" s="10"/>
      <c r="I2" s="27" t="s">
        <v>175</v>
      </c>
    </row>
    <row r="3" spans="1:10" x14ac:dyDescent="0.2">
      <c r="A3" s="41"/>
      <c r="F3" s="10"/>
      <c r="I3" s="27" t="str">
        <f>Contents!A2</f>
        <v>Case No. 2016-00370</v>
      </c>
    </row>
    <row r="4" spans="1:10" x14ac:dyDescent="0.2">
      <c r="A4" s="1" t="s">
        <v>328</v>
      </c>
      <c r="E4" s="10"/>
      <c r="G4" s="10"/>
      <c r="I4" s="27" t="s">
        <v>52</v>
      </c>
    </row>
    <row r="5" spans="1:10" x14ac:dyDescent="0.2">
      <c r="G5" s="10"/>
      <c r="I5" s="27"/>
    </row>
    <row r="7" spans="1:10" x14ac:dyDescent="0.2">
      <c r="G7" s="99"/>
      <c r="I7" s="99" t="s">
        <v>227</v>
      </c>
    </row>
    <row r="8" spans="1:10" x14ac:dyDescent="0.2">
      <c r="A8" s="1" t="s">
        <v>0</v>
      </c>
      <c r="E8" s="99" t="s">
        <v>34</v>
      </c>
      <c r="G8" s="99" t="s">
        <v>228</v>
      </c>
      <c r="H8" s="99"/>
      <c r="I8" s="12" t="s">
        <v>228</v>
      </c>
      <c r="J8" s="12"/>
    </row>
    <row r="9" spans="1:10" x14ac:dyDescent="0.2">
      <c r="A9" s="2" t="s">
        <v>2</v>
      </c>
      <c r="C9" s="2" t="s">
        <v>3</v>
      </c>
      <c r="E9" s="11" t="s">
        <v>2</v>
      </c>
      <c r="G9" s="11" t="s">
        <v>4</v>
      </c>
      <c r="I9" s="11" t="s">
        <v>252</v>
      </c>
      <c r="J9" s="12"/>
    </row>
    <row r="10" spans="1:10" x14ac:dyDescent="0.2">
      <c r="G10" s="42" t="s">
        <v>6</v>
      </c>
      <c r="I10" s="99" t="s">
        <v>7</v>
      </c>
      <c r="J10" s="12"/>
    </row>
    <row r="11" spans="1:10" x14ac:dyDescent="0.2">
      <c r="G11" s="42"/>
      <c r="I11" s="99"/>
      <c r="J11" s="12"/>
    </row>
    <row r="12" spans="1:10" x14ac:dyDescent="0.2">
      <c r="A12" s="99">
        <v>1</v>
      </c>
      <c r="C12" s="1" t="str">
        <f>Contents!B25</f>
        <v>Interest Synchronization</v>
      </c>
      <c r="E12" s="99" t="str">
        <f>[2]Contents!A30</f>
        <v>C-1</v>
      </c>
      <c r="G12" s="4">
        <f>C.1!G22</f>
        <v>-1550104.6463576742</v>
      </c>
      <c r="I12" s="99"/>
      <c r="J12" s="12"/>
    </row>
    <row r="13" spans="1:10" x14ac:dyDescent="0.2">
      <c r="A13" s="99">
        <f t="shared" ref="A13:A18" si="0">A12+1</f>
        <v>2</v>
      </c>
      <c r="C13" s="1" t="str">
        <f>Contents!B26</f>
        <v>Incentive Compensation Expense</v>
      </c>
      <c r="E13" s="99" t="str">
        <f>[2]Contents!A31</f>
        <v>C-2</v>
      </c>
      <c r="G13" s="4">
        <f>C.1!H22</f>
        <v>-1595597</v>
      </c>
      <c r="I13" s="4">
        <f>C.1!H15</f>
        <v>-2605059</v>
      </c>
      <c r="J13" s="13"/>
    </row>
    <row r="14" spans="1:10" x14ac:dyDescent="0.2">
      <c r="A14" s="99">
        <f t="shared" si="0"/>
        <v>3</v>
      </c>
      <c r="C14" s="1" t="str">
        <f>Contents!B27</f>
        <v>Advanced Metering Services</v>
      </c>
      <c r="E14" s="99" t="str">
        <f>[2]Contents!A32</f>
        <v>C-3</v>
      </c>
      <c r="G14" s="4">
        <f>C.1!I22</f>
        <v>-2320797</v>
      </c>
      <c r="I14" s="4">
        <f>C.1!I15</f>
        <v>-3189557</v>
      </c>
      <c r="J14" s="13"/>
    </row>
    <row r="15" spans="1:10" x14ac:dyDescent="0.2">
      <c r="A15" s="99">
        <f t="shared" si="0"/>
        <v>4</v>
      </c>
      <c r="C15" s="1" t="str">
        <f>Contents!B28</f>
        <v>Transmission Vegetation Management Expense</v>
      </c>
      <c r="E15" s="99" t="str">
        <f>[2]Contents!A33</f>
        <v>C-4</v>
      </c>
      <c r="G15" s="4">
        <f>C.1!J22</f>
        <v>-2411262</v>
      </c>
      <c r="I15" s="4">
        <f>C.1!J15</f>
        <v>-3936758</v>
      </c>
      <c r="J15" s="13"/>
    </row>
    <row r="16" spans="1:10" x14ac:dyDescent="0.2">
      <c r="A16" s="99">
        <f t="shared" si="0"/>
        <v>5</v>
      </c>
      <c r="C16" s="1" t="str">
        <f>Contents!B29</f>
        <v>Uncollectibles Expense</v>
      </c>
      <c r="E16" s="99" t="str">
        <f>[2]Contents!A34</f>
        <v>C-5</v>
      </c>
      <c r="G16" s="4">
        <f>C.1!K22</f>
        <v>-573697.44799999986</v>
      </c>
      <c r="I16" s="4">
        <f>C.1!K15</f>
        <v>-936649.44799999986</v>
      </c>
      <c r="J16" s="13"/>
    </row>
    <row r="17" spans="1:12" x14ac:dyDescent="0.2">
      <c r="A17" s="99">
        <f t="shared" si="0"/>
        <v>6</v>
      </c>
      <c r="C17" s="1" t="str">
        <f>Contents!B30</f>
        <v>Depreciation Expense - Impacts of Slippage</v>
      </c>
      <c r="E17" s="99" t="str">
        <f>[2]Contents!A35</f>
        <v>C-6</v>
      </c>
      <c r="G17" s="4">
        <f>C.1!L22</f>
        <v>-102630</v>
      </c>
      <c r="I17" s="4"/>
      <c r="J17" s="13"/>
    </row>
    <row r="18" spans="1:12" x14ac:dyDescent="0.2">
      <c r="A18" s="99">
        <f t="shared" si="0"/>
        <v>7</v>
      </c>
      <c r="C18" s="1" t="str">
        <f>Contents!B31</f>
        <v>Depreciation Expense Related to Distribution Automation</v>
      </c>
      <c r="E18" s="99" t="str">
        <f>[2]Contents!A36</f>
        <v>C-7</v>
      </c>
      <c r="G18" s="4">
        <f>C.1!M22</f>
        <v>-40381</v>
      </c>
      <c r="I18" s="4"/>
      <c r="J18" s="13"/>
    </row>
    <row r="19" spans="1:12" x14ac:dyDescent="0.2">
      <c r="A19" s="99">
        <v>8</v>
      </c>
      <c r="C19" s="1" t="str">
        <f>Contents!B32</f>
        <v>Payroll and Employee Benefits Expense - Remove Vacant Positions</v>
      </c>
      <c r="E19" s="99" t="str">
        <f>[2]Contents!A37</f>
        <v>C-8</v>
      </c>
      <c r="G19" s="4">
        <f>C.1!N22</f>
        <v>-1151901.4280000001</v>
      </c>
      <c r="I19" s="4">
        <f>C.1!N15</f>
        <v>-1773780.4280000001</v>
      </c>
      <c r="J19" s="13"/>
    </row>
    <row r="20" spans="1:12" x14ac:dyDescent="0.2">
      <c r="A20" s="99">
        <v>9</v>
      </c>
      <c r="C20" s="1" t="str">
        <f>Contents!B33</f>
        <v>Affliliate Charges From PPL Services Corporation to LG&amp;E</v>
      </c>
      <c r="E20" s="99" t="str">
        <f>[2]Contents!A38</f>
        <v>C-9</v>
      </c>
      <c r="G20" s="4">
        <f>C.1!O22</f>
        <v>-921526</v>
      </c>
      <c r="I20" s="4">
        <f>C.1!O15</f>
        <v>-1504533</v>
      </c>
      <c r="J20" s="13"/>
    </row>
    <row r="21" spans="1:12" x14ac:dyDescent="0.2">
      <c r="A21" s="99">
        <v>10</v>
      </c>
      <c r="C21" s="1" t="str">
        <f>Contents!B34</f>
        <v>Not Used for KU</v>
      </c>
      <c r="E21" s="99" t="str">
        <f>[2]Contents!A40</f>
        <v>C-10</v>
      </c>
      <c r="G21" s="4">
        <f>C.1!P22</f>
        <v>0</v>
      </c>
      <c r="I21" s="4">
        <f t="shared" ref="I21" si="1">G21</f>
        <v>0</v>
      </c>
      <c r="J21" s="13"/>
    </row>
    <row r="22" spans="1:12" x14ac:dyDescent="0.2">
      <c r="A22" s="99">
        <v>11</v>
      </c>
      <c r="C22" s="1" t="str">
        <f>Contents!B35</f>
        <v>Rescheduling of Expiring Regulatory Asset Amortizations</v>
      </c>
      <c r="E22" s="99" t="str">
        <f>[2]Contents!A41</f>
        <v>C-11</v>
      </c>
      <c r="G22" s="47">
        <f>C.1!Q22</f>
        <v>-154799</v>
      </c>
      <c r="I22" s="4">
        <f>C.1!Q15</f>
        <v>-252734</v>
      </c>
      <c r="J22" s="13"/>
    </row>
    <row r="23" spans="1:12" x14ac:dyDescent="0.2">
      <c r="A23" s="99">
        <v>12</v>
      </c>
      <c r="C23" s="1" t="s">
        <v>229</v>
      </c>
      <c r="G23" s="44">
        <f>SUM(G12:G22)</f>
        <v>-10822695.522357672</v>
      </c>
      <c r="I23" s="50">
        <f>SUM(I12:I22)</f>
        <v>-14199070.875999998</v>
      </c>
      <c r="J23" s="40"/>
    </row>
    <row r="24" spans="1:12" x14ac:dyDescent="0.2">
      <c r="A24" s="99">
        <v>13</v>
      </c>
      <c r="C24" s="1" t="s">
        <v>790</v>
      </c>
      <c r="G24" s="44">
        <f>C.1!E22</f>
        <v>-10822695.522357672</v>
      </c>
      <c r="J24" s="13"/>
    </row>
    <row r="25" spans="1:12" ht="13.5" thickBot="1" x14ac:dyDescent="0.25">
      <c r="A25" s="99">
        <v>14</v>
      </c>
      <c r="C25" s="1" t="s">
        <v>230</v>
      </c>
      <c r="G25" s="45">
        <f>G23-G24</f>
        <v>0</v>
      </c>
      <c r="J25" s="13"/>
      <c r="L25" s="44"/>
    </row>
    <row r="26" spans="1:12" ht="13.5" thickTop="1" x14ac:dyDescent="0.2">
      <c r="A26" s="99"/>
      <c r="G26" s="40"/>
      <c r="J26" s="13"/>
      <c r="L26" s="44"/>
    </row>
    <row r="27" spans="1:12" x14ac:dyDescent="0.2">
      <c r="A27" s="99">
        <f>A25+1</f>
        <v>15</v>
      </c>
      <c r="C27" s="1" t="s">
        <v>813</v>
      </c>
      <c r="G27" s="40"/>
      <c r="I27" s="4">
        <f>'C'!G17</f>
        <v>-14199070.875999998</v>
      </c>
    </row>
    <row r="28" spans="1:12" ht="13.5" thickBot="1" x14ac:dyDescent="0.25">
      <c r="A28" s="99">
        <f>A27+1</f>
        <v>16</v>
      </c>
      <c r="C28" s="1" t="s">
        <v>29</v>
      </c>
      <c r="G28" s="40"/>
      <c r="I28" s="45">
        <f>I23-I27</f>
        <v>0</v>
      </c>
    </row>
    <row r="29" spans="1:12" ht="13.5" thickTop="1" x14ac:dyDescent="0.2"/>
    <row r="30" spans="1:12" x14ac:dyDescent="0.2">
      <c r="A30" s="1" t="s">
        <v>789</v>
      </c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4" workbookViewId="0">
      <selection activeCell="H63" sqref="H63"/>
    </sheetView>
  </sheetViews>
  <sheetFormatPr defaultRowHeight="12.75" x14ac:dyDescent="0.2"/>
  <cols>
    <col min="1" max="1" width="5.28515625" style="1" customWidth="1"/>
    <col min="2" max="2" width="1.28515625" style="1" customWidth="1"/>
    <col min="3" max="3" width="53.28515625" style="1" customWidth="1"/>
    <col min="4" max="4" width="1" style="1" customWidth="1"/>
    <col min="5" max="5" width="13.85546875" style="1" bestFit="1" customWidth="1"/>
    <col min="6" max="6" width="1.42578125" style="1" customWidth="1"/>
    <col min="7" max="7" width="11" style="1" customWidth="1"/>
    <col min="8" max="8" width="1.42578125" style="1" customWidth="1"/>
    <col min="9" max="9" width="11.140625" style="1" bestFit="1" customWidth="1"/>
    <col min="10" max="10" width="9.140625" style="1" customWidth="1"/>
    <col min="11" max="16384" width="9.140625" style="1"/>
  </cols>
  <sheetData>
    <row r="1" spans="1:9" x14ac:dyDescent="0.2">
      <c r="A1" s="1" t="str">
        <f>Contents!A1</f>
        <v>Kentucky Utilities Company</v>
      </c>
      <c r="G1" s="27"/>
      <c r="I1" s="27" t="str">
        <f>Contents!A3</f>
        <v>Exhibit RCS-1</v>
      </c>
    </row>
    <row r="2" spans="1:9" x14ac:dyDescent="0.2">
      <c r="A2" s="89" t="s">
        <v>583</v>
      </c>
      <c r="G2" s="27"/>
      <c r="I2" s="27" t="s">
        <v>593</v>
      </c>
    </row>
    <row r="3" spans="1:9" x14ac:dyDescent="0.2">
      <c r="A3" s="41"/>
      <c r="G3" s="27"/>
      <c r="I3" s="27" t="str">
        <f>Contents!A2</f>
        <v>Case No. 2016-00370</v>
      </c>
    </row>
    <row r="4" spans="1:9" x14ac:dyDescent="0.2">
      <c r="A4" s="1" t="s">
        <v>328</v>
      </c>
      <c r="G4" s="27"/>
      <c r="I4" s="27" t="s">
        <v>37</v>
      </c>
    </row>
    <row r="7" spans="1:9" x14ac:dyDescent="0.2">
      <c r="E7" s="99" t="s">
        <v>216</v>
      </c>
    </row>
    <row r="8" spans="1:9" x14ac:dyDescent="0.2">
      <c r="A8" s="99" t="s">
        <v>0</v>
      </c>
      <c r="E8" s="99" t="s">
        <v>220</v>
      </c>
    </row>
    <row r="9" spans="1:9" x14ac:dyDescent="0.2">
      <c r="A9" s="220" t="s">
        <v>2</v>
      </c>
      <c r="C9" s="2" t="s">
        <v>3</v>
      </c>
      <c r="E9" s="220" t="s">
        <v>16</v>
      </c>
      <c r="G9" s="220" t="s">
        <v>15</v>
      </c>
    </row>
    <row r="10" spans="1:9" x14ac:dyDescent="0.2">
      <c r="A10" s="99"/>
      <c r="E10" s="99" t="s">
        <v>6</v>
      </c>
    </row>
    <row r="11" spans="1:9" x14ac:dyDescent="0.2">
      <c r="A11" s="99"/>
    </row>
    <row r="12" spans="1:9" x14ac:dyDescent="0.2">
      <c r="A12" s="99">
        <v>1</v>
      </c>
      <c r="C12" s="1" t="s">
        <v>601</v>
      </c>
      <c r="E12" s="44">
        <f>-I30</f>
        <v>-25507301.640000001</v>
      </c>
      <c r="G12" s="99" t="s">
        <v>43</v>
      </c>
    </row>
    <row r="13" spans="1:9" x14ac:dyDescent="0.2">
      <c r="A13" s="99"/>
    </row>
    <row r="14" spans="1:9" x14ac:dyDescent="0.2">
      <c r="A14" s="99">
        <v>2</v>
      </c>
      <c r="C14" s="1" t="s">
        <v>602</v>
      </c>
      <c r="E14" s="65">
        <f>I32</f>
        <v>1834000</v>
      </c>
      <c r="G14" s="99" t="s">
        <v>44</v>
      </c>
    </row>
    <row r="16" spans="1:9" ht="13.5" thickBot="1" x14ac:dyDescent="0.25">
      <c r="A16" s="99">
        <v>3</v>
      </c>
      <c r="C16" s="1" t="s">
        <v>605</v>
      </c>
      <c r="E16" s="43">
        <f>E12+E14</f>
        <v>-23673301.640000001</v>
      </c>
    </row>
    <row r="17" spans="1:13" ht="13.5" thickTop="1" x14ac:dyDescent="0.2"/>
    <row r="20" spans="1:13" x14ac:dyDescent="0.2">
      <c r="A20" s="2" t="s">
        <v>9</v>
      </c>
      <c r="B20" s="2"/>
      <c r="C20" s="2"/>
      <c r="D20" s="2"/>
      <c r="E20" s="2"/>
      <c r="F20" s="2"/>
      <c r="G20" s="2"/>
      <c r="H20" s="2"/>
      <c r="I20" s="2"/>
    </row>
    <row r="21" spans="1:13" x14ac:dyDescent="0.2">
      <c r="A21" s="1" t="s">
        <v>587</v>
      </c>
    </row>
    <row r="22" spans="1:13" x14ac:dyDescent="0.2">
      <c r="I22" s="99"/>
      <c r="M22" s="99"/>
    </row>
    <row r="23" spans="1:13" x14ac:dyDescent="0.2">
      <c r="E23" s="99" t="s">
        <v>28</v>
      </c>
      <c r="I23" s="99" t="s">
        <v>216</v>
      </c>
      <c r="K23" s="99"/>
      <c r="L23" s="99"/>
      <c r="M23" s="99"/>
    </row>
    <row r="24" spans="1:13" x14ac:dyDescent="0.2">
      <c r="E24" s="99" t="s">
        <v>45</v>
      </c>
      <c r="G24" s="99" t="s">
        <v>216</v>
      </c>
      <c r="H24" s="99"/>
      <c r="I24" s="99" t="s">
        <v>220</v>
      </c>
      <c r="M24" s="99"/>
    </row>
    <row r="25" spans="1:13" x14ac:dyDescent="0.2">
      <c r="E25" s="99" t="s">
        <v>584</v>
      </c>
      <c r="G25" s="99" t="s">
        <v>220</v>
      </c>
      <c r="H25" s="99"/>
      <c r="I25" s="99" t="s">
        <v>584</v>
      </c>
      <c r="K25" s="99"/>
      <c r="L25" s="99"/>
      <c r="M25" s="99"/>
    </row>
    <row r="26" spans="1:13" x14ac:dyDescent="0.2">
      <c r="C26" s="2" t="s">
        <v>3</v>
      </c>
      <c r="E26" s="220" t="s">
        <v>16</v>
      </c>
      <c r="F26" s="12"/>
      <c r="G26" s="220" t="s">
        <v>597</v>
      </c>
      <c r="H26" s="12"/>
      <c r="I26" s="220" t="s">
        <v>16</v>
      </c>
      <c r="K26" s="99"/>
      <c r="L26" s="99"/>
      <c r="M26" s="99"/>
    </row>
    <row r="27" spans="1:13" x14ac:dyDescent="0.2">
      <c r="I27" s="12"/>
      <c r="J27" s="12"/>
      <c r="K27" s="12"/>
      <c r="L27" s="12"/>
      <c r="M27" s="12"/>
    </row>
    <row r="28" spans="1:13" x14ac:dyDescent="0.2">
      <c r="A28" s="99">
        <v>4</v>
      </c>
      <c r="C28" s="1" t="s">
        <v>603</v>
      </c>
      <c r="E28" s="4">
        <v>26241000</v>
      </c>
      <c r="G28" s="17">
        <v>1</v>
      </c>
      <c r="I28" s="19">
        <f>ROUND(E28*G28,0)</f>
        <v>26241000</v>
      </c>
      <c r="J28" s="13"/>
      <c r="K28" s="13"/>
      <c r="L28" s="13"/>
      <c r="M28" s="13"/>
    </row>
    <row r="29" spans="1:13" x14ac:dyDescent="0.2">
      <c r="A29" s="99">
        <v>5</v>
      </c>
      <c r="C29" s="1" t="s">
        <v>569</v>
      </c>
      <c r="E29" s="4">
        <f>-E28*(1-0.97204)</f>
        <v>-733698.35999999964</v>
      </c>
      <c r="G29" s="17"/>
      <c r="I29" s="4">
        <f>-I28*(1-0.97204)</f>
        <v>-733698.35999999964</v>
      </c>
      <c r="J29" s="13"/>
      <c r="K29" s="13"/>
      <c r="L29" s="13"/>
      <c r="M29" s="13"/>
    </row>
    <row r="30" spans="1:13" ht="13.5" thickBot="1" x14ac:dyDescent="0.25">
      <c r="A30" s="99">
        <v>6</v>
      </c>
      <c r="C30" s="1" t="s">
        <v>606</v>
      </c>
      <c r="E30" s="18">
        <f>E28+E29</f>
        <v>25507301.640000001</v>
      </c>
      <c r="G30" s="17"/>
      <c r="I30" s="18">
        <f>I28+I29</f>
        <v>25507301.640000001</v>
      </c>
      <c r="J30" s="13"/>
      <c r="K30" s="13"/>
      <c r="L30" s="13"/>
      <c r="M30" s="13"/>
    </row>
    <row r="31" spans="1:13" ht="13.5" thickTop="1" x14ac:dyDescent="0.2">
      <c r="A31" s="99"/>
      <c r="E31" s="4"/>
      <c r="G31" s="17"/>
      <c r="I31" s="19"/>
      <c r="J31" s="13"/>
      <c r="K31" s="13"/>
      <c r="L31" s="13"/>
      <c r="M31" s="13"/>
    </row>
    <row r="32" spans="1:13" ht="13.5" thickBot="1" x14ac:dyDescent="0.25">
      <c r="A32" s="99">
        <v>7</v>
      </c>
      <c r="C32" s="1" t="s">
        <v>604</v>
      </c>
      <c r="E32" s="20">
        <v>1834000</v>
      </c>
      <c r="G32" s="17">
        <v>1</v>
      </c>
      <c r="I32" s="20">
        <f>ROUND(E32*G32,0)</f>
        <v>1834000</v>
      </c>
    </row>
    <row r="33" spans="1:1" ht="13.5" thickTop="1" x14ac:dyDescent="0.2">
      <c r="A33" s="99"/>
    </row>
    <row r="34" spans="1:1" x14ac:dyDescent="0.2">
      <c r="A34" s="1" t="s">
        <v>805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H63" sqref="H63"/>
    </sheetView>
  </sheetViews>
  <sheetFormatPr defaultRowHeight="12.75" x14ac:dyDescent="0.2"/>
  <cols>
    <col min="1" max="1" width="5" style="1" customWidth="1"/>
    <col min="2" max="2" width="1.140625" style="1" customWidth="1"/>
    <col min="3" max="3" width="63.7109375" style="1" bestFit="1" customWidth="1"/>
    <col min="4" max="4" width="1.28515625" style="1" customWidth="1"/>
    <col min="5" max="5" width="14.85546875" style="1" bestFit="1" customWidth="1"/>
    <col min="6" max="6" width="1.42578125" style="1" customWidth="1"/>
    <col min="7" max="7" width="14.7109375" style="1" bestFit="1" customWidth="1"/>
    <col min="8" max="8" width="1.28515625" style="1" customWidth="1"/>
    <col min="9" max="9" width="13.28515625" style="1" customWidth="1"/>
    <col min="10" max="11" width="9.140625" style="1"/>
    <col min="12" max="12" width="10.85546875" style="1" customWidth="1"/>
    <col min="13" max="16384" width="9.140625" style="1"/>
  </cols>
  <sheetData>
    <row r="1" spans="1:12" x14ac:dyDescent="0.2">
      <c r="A1" s="1" t="s">
        <v>274</v>
      </c>
      <c r="I1" s="27" t="str">
        <f>Contents!$S$4</f>
        <v>Exhibit RCS-1</v>
      </c>
    </row>
    <row r="2" spans="1:12" x14ac:dyDescent="0.2">
      <c r="A2" s="1" t="s">
        <v>69</v>
      </c>
      <c r="I2" s="27" t="s">
        <v>806</v>
      </c>
    </row>
    <row r="3" spans="1:12" x14ac:dyDescent="0.2">
      <c r="A3" s="41"/>
      <c r="I3" s="27" t="str">
        <f>A!$K$3</f>
        <v>Case No. 2016-00370</v>
      </c>
    </row>
    <row r="4" spans="1:12" x14ac:dyDescent="0.2">
      <c r="A4" s="1" t="s">
        <v>328</v>
      </c>
      <c r="I4" s="27" t="s">
        <v>37</v>
      </c>
    </row>
    <row r="5" spans="1:12" x14ac:dyDescent="0.2">
      <c r="H5" s="99"/>
    </row>
    <row r="7" spans="1:12" x14ac:dyDescent="0.2">
      <c r="A7" s="99" t="s">
        <v>235</v>
      </c>
      <c r="E7" s="99" t="s">
        <v>326</v>
      </c>
      <c r="G7" s="99" t="s">
        <v>160</v>
      </c>
      <c r="H7" s="99"/>
      <c r="I7" s="99" t="s">
        <v>160</v>
      </c>
    </row>
    <row r="8" spans="1:12" x14ac:dyDescent="0.2">
      <c r="A8" s="11" t="s">
        <v>2</v>
      </c>
      <c r="C8" s="2" t="s">
        <v>3</v>
      </c>
      <c r="E8" s="11" t="s">
        <v>16</v>
      </c>
      <c r="G8" s="11" t="s">
        <v>16</v>
      </c>
      <c r="H8" s="99"/>
      <c r="I8" s="11" t="s">
        <v>34</v>
      </c>
    </row>
    <row r="9" spans="1:12" ht="12.75" customHeight="1" x14ac:dyDescent="0.2">
      <c r="A9" s="99"/>
      <c r="E9" s="99" t="s">
        <v>6</v>
      </c>
      <c r="F9" s="99"/>
      <c r="G9" s="99" t="s">
        <v>7</v>
      </c>
      <c r="H9" s="99"/>
      <c r="I9" s="99" t="s">
        <v>18</v>
      </c>
    </row>
    <row r="10" spans="1:12" ht="12.75" customHeight="1" x14ac:dyDescent="0.2">
      <c r="A10" s="99">
        <v>1</v>
      </c>
      <c r="C10" s="1" t="s">
        <v>370</v>
      </c>
      <c r="E10" s="4">
        <f>'D P3'!E16</f>
        <v>3638800730.0279121</v>
      </c>
      <c r="G10" s="120">
        <f>'D P3'!S16</f>
        <v>3603304645</v>
      </c>
    </row>
    <row r="11" spans="1:12" x14ac:dyDescent="0.2">
      <c r="A11" s="99">
        <f>A10+1</f>
        <v>2</v>
      </c>
      <c r="C11" s="1" t="s">
        <v>371</v>
      </c>
      <c r="E11" s="159">
        <f>'D P1'!K11+'D P1'!K12</f>
        <v>1.8404394294779875E-2</v>
      </c>
      <c r="G11" s="160">
        <f>'D P2 '!Y19+'D P2 '!Y20</f>
        <v>1.9695861023266668E-2</v>
      </c>
    </row>
    <row r="12" spans="1:12" x14ac:dyDescent="0.2">
      <c r="A12" s="99">
        <f>A11+1</f>
        <v>3</v>
      </c>
      <c r="C12" s="1" t="s">
        <v>372</v>
      </c>
      <c r="E12" s="49">
        <f>E10*E11</f>
        <v>66969923.395566553</v>
      </c>
      <c r="G12" s="49">
        <f>ROUND(G10*G11,0)</f>
        <v>70970188</v>
      </c>
    </row>
    <row r="13" spans="1:12" x14ac:dyDescent="0.2">
      <c r="A13" s="99"/>
      <c r="J13" s="13"/>
      <c r="K13" s="13"/>
      <c r="L13" s="13"/>
    </row>
    <row r="14" spans="1:12" x14ac:dyDescent="0.2">
      <c r="A14" s="99">
        <f>A12+1</f>
        <v>4</v>
      </c>
      <c r="C14" s="1" t="s">
        <v>373</v>
      </c>
      <c r="E14" s="72">
        <v>0.38750052800000001</v>
      </c>
      <c r="G14" s="72">
        <f>E14</f>
        <v>0.38750052800000001</v>
      </c>
      <c r="J14" s="13"/>
      <c r="K14" s="13"/>
      <c r="L14" s="13"/>
    </row>
    <row r="15" spans="1:12" ht="13.5" thickBot="1" x14ac:dyDescent="0.25">
      <c r="A15" s="99">
        <f>A14+1</f>
        <v>5</v>
      </c>
      <c r="C15" s="1" t="s">
        <v>797</v>
      </c>
      <c r="E15" s="18">
        <f>-E12*E14</f>
        <v>-25950880.675901592</v>
      </c>
      <c r="G15" s="18">
        <f>-G12*G14</f>
        <v>-27500985.322259266</v>
      </c>
      <c r="I15" s="45">
        <f>G15-E15</f>
        <v>-1550104.6463576742</v>
      </c>
    </row>
    <row r="16" spans="1:12" ht="13.5" thickTop="1" x14ac:dyDescent="0.2">
      <c r="A16" s="99"/>
      <c r="E16" s="19"/>
      <c r="G16" s="19"/>
      <c r="I16" s="40"/>
    </row>
    <row r="18" spans="1:9" x14ac:dyDescent="0.2">
      <c r="A18" s="2" t="s">
        <v>374</v>
      </c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1" t="s">
        <v>376</v>
      </c>
    </row>
    <row r="20" spans="1:9" x14ac:dyDescent="0.2">
      <c r="A20" s="1" t="s">
        <v>375</v>
      </c>
    </row>
    <row r="22" spans="1:9" x14ac:dyDescent="0.2">
      <c r="I22" s="44"/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H63" sqref="H63"/>
    </sheetView>
  </sheetViews>
  <sheetFormatPr defaultRowHeight="12.75" x14ac:dyDescent="0.2"/>
  <cols>
    <col min="1" max="1" width="5" style="169" customWidth="1"/>
    <col min="2" max="2" width="1.140625" style="169" customWidth="1"/>
    <col min="3" max="3" width="72.140625" style="169" bestFit="1" customWidth="1"/>
    <col min="4" max="4" width="1" style="169" customWidth="1"/>
    <col min="5" max="5" width="12" style="169" bestFit="1" customWidth="1"/>
    <col min="6" max="6" width="1.28515625" style="169" customWidth="1"/>
    <col min="7" max="7" width="13.28515625" style="169" customWidth="1"/>
    <col min="8" max="8" width="1.7109375" style="169" customWidth="1"/>
    <col min="9" max="9" width="12.85546875" style="169" bestFit="1" customWidth="1"/>
    <col min="10" max="10" width="1.42578125" style="169" customWidth="1"/>
    <col min="11" max="11" width="7.28515625" style="169" bestFit="1" customWidth="1"/>
    <col min="12" max="12" width="12" style="169" bestFit="1" customWidth="1"/>
    <col min="13" max="14" width="10.7109375" style="169" bestFit="1" customWidth="1"/>
    <col min="15" max="16384" width="9.140625" style="169"/>
  </cols>
  <sheetData>
    <row r="1" spans="1:11" x14ac:dyDescent="0.2">
      <c r="A1" s="169" t="s">
        <v>274</v>
      </c>
      <c r="G1" s="170" t="str">
        <f>Contents!A3</f>
        <v>Exhibit RCS-1</v>
      </c>
    </row>
    <row r="2" spans="1:11" x14ac:dyDescent="0.2">
      <c r="A2" s="169" t="s">
        <v>238</v>
      </c>
      <c r="G2" s="170" t="s">
        <v>130</v>
      </c>
    </row>
    <row r="3" spans="1:11" x14ac:dyDescent="0.2">
      <c r="G3" s="170" t="str">
        <f>Contents!A2</f>
        <v>Case No. 2016-00370</v>
      </c>
    </row>
    <row r="4" spans="1:11" x14ac:dyDescent="0.2">
      <c r="A4" s="169" t="s">
        <v>328</v>
      </c>
      <c r="G4" s="170" t="s">
        <v>194</v>
      </c>
    </row>
    <row r="7" spans="1:11" x14ac:dyDescent="0.2">
      <c r="E7" s="171" t="s">
        <v>216</v>
      </c>
    </row>
    <row r="8" spans="1:11" x14ac:dyDescent="0.2">
      <c r="A8" s="171" t="s">
        <v>0</v>
      </c>
      <c r="E8" s="171" t="s">
        <v>220</v>
      </c>
    </row>
    <row r="9" spans="1:11" x14ac:dyDescent="0.2">
      <c r="A9" s="172" t="s">
        <v>2</v>
      </c>
      <c r="C9" s="173" t="s">
        <v>3</v>
      </c>
      <c r="E9" s="172" t="s">
        <v>16</v>
      </c>
      <c r="G9" s="172" t="s">
        <v>15</v>
      </c>
      <c r="H9" s="174"/>
      <c r="I9" s="174"/>
      <c r="J9" s="174"/>
    </row>
    <row r="10" spans="1:11" x14ac:dyDescent="0.2">
      <c r="A10" s="171"/>
      <c r="G10" s="171"/>
      <c r="H10" s="171"/>
      <c r="I10" s="171"/>
      <c r="J10" s="171"/>
    </row>
    <row r="11" spans="1:11" ht="13.5" thickBot="1" x14ac:dyDescent="0.25">
      <c r="A11" s="171">
        <v>1</v>
      </c>
      <c r="C11" s="1" t="s">
        <v>807</v>
      </c>
      <c r="E11" s="175">
        <f>-E24</f>
        <v>-2605059</v>
      </c>
      <c r="G11" s="171" t="s">
        <v>43</v>
      </c>
      <c r="H11" s="171"/>
      <c r="I11" s="171"/>
      <c r="J11" s="171"/>
    </row>
    <row r="12" spans="1:11" ht="13.5" thickTop="1" x14ac:dyDescent="0.2">
      <c r="A12" s="171"/>
      <c r="G12" s="171"/>
      <c r="H12" s="171"/>
      <c r="I12" s="171"/>
      <c r="J12" s="171"/>
    </row>
    <row r="14" spans="1:11" x14ac:dyDescent="0.2">
      <c r="A14" s="173" t="s">
        <v>9</v>
      </c>
      <c r="B14" s="173"/>
      <c r="C14" s="173"/>
      <c r="D14" s="173"/>
      <c r="E14" s="173"/>
      <c r="F14" s="173"/>
      <c r="G14" s="173"/>
      <c r="H14" s="176"/>
      <c r="I14" s="176"/>
      <c r="J14" s="176"/>
      <c r="K14" s="176"/>
    </row>
    <row r="15" spans="1:11" x14ac:dyDescent="0.2">
      <c r="A15" s="169" t="s">
        <v>482</v>
      </c>
    </row>
    <row r="16" spans="1:11" x14ac:dyDescent="0.2">
      <c r="E16" s="171" t="s">
        <v>216</v>
      </c>
    </row>
    <row r="17" spans="1:12" x14ac:dyDescent="0.2">
      <c r="E17" s="171" t="s">
        <v>220</v>
      </c>
    </row>
    <row r="18" spans="1:12" x14ac:dyDescent="0.2">
      <c r="C18" s="173" t="s">
        <v>3</v>
      </c>
      <c r="E18" s="172" t="s">
        <v>16</v>
      </c>
      <c r="G18" s="172" t="s">
        <v>15</v>
      </c>
      <c r="L18" s="177"/>
    </row>
    <row r="19" spans="1:12" x14ac:dyDescent="0.2">
      <c r="A19" s="171">
        <v>2</v>
      </c>
      <c r="C19" s="176" t="s">
        <v>388</v>
      </c>
      <c r="E19" s="178">
        <f>'C-2 P2'!I59</f>
        <v>3627330.1988565261</v>
      </c>
      <c r="G19" s="171" t="s">
        <v>392</v>
      </c>
      <c r="L19" s="177"/>
    </row>
    <row r="20" spans="1:12" x14ac:dyDescent="0.2">
      <c r="A20" s="171">
        <v>3</v>
      </c>
      <c r="C20" s="176" t="s">
        <v>389</v>
      </c>
      <c r="E20" s="178">
        <f>'C-2 P2'!I60</f>
        <v>6146611.7930087913</v>
      </c>
      <c r="G20" s="171" t="s">
        <v>392</v>
      </c>
      <c r="L20" s="177"/>
    </row>
    <row r="21" spans="1:12" x14ac:dyDescent="0.2">
      <c r="A21" s="171">
        <v>4</v>
      </c>
      <c r="C21" s="176" t="s">
        <v>390</v>
      </c>
      <c r="E21" s="179">
        <f>'C-2 P2'!I61</f>
        <v>646294.81813468318</v>
      </c>
      <c r="G21" s="171" t="s">
        <v>392</v>
      </c>
      <c r="L21" s="177"/>
    </row>
    <row r="22" spans="1:12" x14ac:dyDescent="0.2">
      <c r="A22" s="171">
        <v>5</v>
      </c>
      <c r="C22" s="169" t="s">
        <v>391</v>
      </c>
      <c r="E22" s="180">
        <f>SUM(E19:E21)</f>
        <v>10420236.810000002</v>
      </c>
      <c r="G22" s="171"/>
    </row>
    <row r="23" spans="1:12" x14ac:dyDescent="0.2">
      <c r="A23" s="171">
        <v>6</v>
      </c>
      <c r="C23" s="169" t="s">
        <v>808</v>
      </c>
      <c r="E23" s="181">
        <v>0.25</v>
      </c>
      <c r="G23" s="171"/>
    </row>
    <row r="24" spans="1:12" ht="13.5" thickBot="1" x14ac:dyDescent="0.25">
      <c r="A24" s="171">
        <v>7</v>
      </c>
      <c r="C24" s="169" t="s">
        <v>393</v>
      </c>
      <c r="E24" s="182">
        <f>ROUND(E22*E23,0)</f>
        <v>2605059</v>
      </c>
    </row>
    <row r="25" spans="1:12" ht="13.5" thickTop="1" x14ac:dyDescent="0.2"/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2" workbookViewId="0">
      <selection activeCell="A52" sqref="A52"/>
    </sheetView>
  </sheetViews>
  <sheetFormatPr defaultRowHeight="12.75" x14ac:dyDescent="0.2"/>
  <cols>
    <col min="1" max="1" width="5.42578125" style="1" customWidth="1"/>
    <col min="2" max="2" width="1.42578125" style="1" customWidth="1"/>
    <col min="3" max="3" width="14.42578125" style="99" customWidth="1"/>
    <col min="4" max="4" width="1.42578125" style="99" customWidth="1"/>
    <col min="5" max="5" width="11.5703125" style="1" customWidth="1"/>
    <col min="6" max="6" width="1" style="1" customWidth="1"/>
    <col min="7" max="7" width="12.42578125" style="99" bestFit="1" customWidth="1"/>
    <col min="8" max="8" width="1.42578125" style="1" customWidth="1"/>
    <col min="9" max="9" width="11.140625" style="1" bestFit="1" customWidth="1"/>
    <col min="10" max="10" width="1.28515625" style="1" customWidth="1"/>
    <col min="11" max="11" width="12.7109375" style="1" customWidth="1"/>
    <col min="12" max="16384" width="9.140625" style="1"/>
  </cols>
  <sheetData>
    <row r="1" spans="1:11" x14ac:dyDescent="0.2">
      <c r="A1" s="169" t="s">
        <v>274</v>
      </c>
      <c r="B1" s="169"/>
      <c r="C1" s="171"/>
      <c r="D1" s="171"/>
      <c r="E1" s="169"/>
      <c r="F1" s="169"/>
      <c r="G1" s="171"/>
      <c r="H1" s="169"/>
      <c r="I1" s="170"/>
      <c r="K1" s="27" t="str">
        <f>Contents!A3</f>
        <v>Exhibit RCS-1</v>
      </c>
    </row>
    <row r="2" spans="1:11" x14ac:dyDescent="0.2">
      <c r="A2" s="169" t="s">
        <v>238</v>
      </c>
      <c r="B2" s="169"/>
      <c r="C2" s="171"/>
      <c r="D2" s="171"/>
      <c r="E2" s="169"/>
      <c r="F2" s="169"/>
      <c r="G2" s="171"/>
      <c r="H2" s="169"/>
      <c r="I2" s="170"/>
      <c r="K2" s="27" t="s">
        <v>130</v>
      </c>
    </row>
    <row r="3" spans="1:11" x14ac:dyDescent="0.2">
      <c r="A3" s="169"/>
      <c r="B3" s="169"/>
      <c r="C3" s="171"/>
      <c r="D3" s="171"/>
      <c r="E3" s="169"/>
      <c r="F3" s="169"/>
      <c r="G3" s="171"/>
      <c r="H3" s="169"/>
      <c r="I3" s="170"/>
      <c r="K3" s="27" t="str">
        <f>Contents!A2</f>
        <v>Case No. 2016-00370</v>
      </c>
    </row>
    <row r="4" spans="1:11" x14ac:dyDescent="0.2">
      <c r="A4" s="169" t="s">
        <v>328</v>
      </c>
      <c r="B4" s="169"/>
      <c r="C4" s="171"/>
      <c r="D4" s="171"/>
      <c r="E4" s="169"/>
      <c r="F4" s="169"/>
      <c r="G4" s="171"/>
      <c r="H4" s="169"/>
      <c r="I4" s="170"/>
      <c r="K4" s="27" t="s">
        <v>192</v>
      </c>
    </row>
    <row r="5" spans="1:11" x14ac:dyDescent="0.2">
      <c r="A5" s="169"/>
      <c r="B5" s="169"/>
      <c r="C5" s="171"/>
      <c r="D5" s="171"/>
      <c r="E5" s="169"/>
      <c r="F5" s="169"/>
      <c r="G5" s="171"/>
      <c r="H5" s="169"/>
      <c r="I5" s="170"/>
    </row>
    <row r="6" spans="1:11" x14ac:dyDescent="0.2">
      <c r="G6" s="12" t="s">
        <v>216</v>
      </c>
    </row>
    <row r="7" spans="1:11" x14ac:dyDescent="0.2">
      <c r="E7" s="12" t="s">
        <v>472</v>
      </c>
      <c r="G7" s="12" t="s">
        <v>473</v>
      </c>
      <c r="I7" s="12" t="s">
        <v>216</v>
      </c>
    </row>
    <row r="8" spans="1:11" x14ac:dyDescent="0.2">
      <c r="A8" s="99" t="s">
        <v>0</v>
      </c>
      <c r="C8" s="99" t="s">
        <v>470</v>
      </c>
      <c r="E8" s="12" t="s">
        <v>45</v>
      </c>
      <c r="G8" s="12" t="s">
        <v>474</v>
      </c>
      <c r="I8" s="12" t="s">
        <v>220</v>
      </c>
    </row>
    <row r="9" spans="1:11" x14ac:dyDescent="0.2">
      <c r="A9" s="211" t="s">
        <v>2</v>
      </c>
      <c r="C9" s="211" t="s">
        <v>471</v>
      </c>
      <c r="D9" s="12"/>
      <c r="E9" s="211" t="s">
        <v>16</v>
      </c>
      <c r="G9" s="211" t="s">
        <v>475</v>
      </c>
      <c r="I9" s="211" t="s">
        <v>16</v>
      </c>
    </row>
    <row r="10" spans="1:11" x14ac:dyDescent="0.2">
      <c r="A10" s="12"/>
      <c r="C10" s="12"/>
      <c r="D10" s="12"/>
      <c r="E10" s="12" t="s">
        <v>6</v>
      </c>
      <c r="G10" s="12" t="s">
        <v>7</v>
      </c>
      <c r="I10" s="12" t="s">
        <v>18</v>
      </c>
    </row>
    <row r="11" spans="1:11" x14ac:dyDescent="0.2">
      <c r="A11" s="99">
        <v>1</v>
      </c>
      <c r="C11" s="99" t="s">
        <v>430</v>
      </c>
      <c r="E11" s="4">
        <v>675798.14552331611</v>
      </c>
      <c r="F11" s="4"/>
      <c r="G11" s="22">
        <v>0.87012107919337778</v>
      </c>
      <c r="H11" s="212"/>
      <c r="I11" s="4">
        <f>ROUND(E11*G11,2)</f>
        <v>588026.21</v>
      </c>
    </row>
    <row r="12" spans="1:11" x14ac:dyDescent="0.2">
      <c r="A12" s="99">
        <f>A11+1</f>
        <v>2</v>
      </c>
      <c r="C12" s="99" t="s">
        <v>431</v>
      </c>
      <c r="E12" s="4">
        <v>229157.25925707241</v>
      </c>
      <c r="F12" s="4"/>
      <c r="G12" s="22">
        <v>0.87938242823882595</v>
      </c>
      <c r="H12" s="212"/>
      <c r="I12" s="4">
        <f t="shared" ref="I12:I50" si="0">ROUND(E12*G12,2)</f>
        <v>201516.87</v>
      </c>
    </row>
    <row r="13" spans="1:11" x14ac:dyDescent="0.2">
      <c r="A13" s="99">
        <f t="shared" ref="A13:A51" si="1">A12+1</f>
        <v>3</v>
      </c>
      <c r="C13" s="99" t="s">
        <v>432</v>
      </c>
      <c r="E13" s="4">
        <v>748037.37170374545</v>
      </c>
      <c r="F13" s="4"/>
      <c r="G13" s="22">
        <v>0.87012107919337789</v>
      </c>
      <c r="H13" s="212"/>
      <c r="I13" s="4">
        <f t="shared" si="0"/>
        <v>650883.09</v>
      </c>
    </row>
    <row r="14" spans="1:11" x14ac:dyDescent="0.2">
      <c r="A14" s="99">
        <f t="shared" si="1"/>
        <v>4</v>
      </c>
      <c r="C14" s="99" t="s">
        <v>433</v>
      </c>
      <c r="E14" s="4">
        <v>466583.9115454061</v>
      </c>
      <c r="F14" s="4"/>
      <c r="G14" s="22">
        <v>0.87012107919337778</v>
      </c>
      <c r="H14" s="212"/>
      <c r="I14" s="4">
        <f t="shared" si="0"/>
        <v>405984.5</v>
      </c>
    </row>
    <row r="15" spans="1:11" x14ac:dyDescent="0.2">
      <c r="A15" s="99">
        <f t="shared" si="1"/>
        <v>5</v>
      </c>
      <c r="C15" s="99" t="s">
        <v>434</v>
      </c>
      <c r="E15" s="4">
        <v>125197.39670820009</v>
      </c>
      <c r="F15" s="4"/>
      <c r="G15" s="22">
        <v>0.87012107919337778</v>
      </c>
      <c r="H15" s="212"/>
      <c r="I15" s="4">
        <f t="shared" si="0"/>
        <v>108936.89</v>
      </c>
    </row>
    <row r="16" spans="1:11" x14ac:dyDescent="0.2">
      <c r="A16" s="99">
        <f t="shared" si="1"/>
        <v>6</v>
      </c>
      <c r="C16" s="99" t="s">
        <v>435</v>
      </c>
      <c r="E16" s="4">
        <v>594274.78804376593</v>
      </c>
      <c r="F16" s="4"/>
      <c r="G16" s="22">
        <v>0.87938242823882584</v>
      </c>
      <c r="H16" s="212"/>
      <c r="I16" s="4">
        <f t="shared" si="0"/>
        <v>522594.81</v>
      </c>
    </row>
    <row r="17" spans="1:9" x14ac:dyDescent="0.2">
      <c r="A17" s="99">
        <f t="shared" si="1"/>
        <v>7</v>
      </c>
      <c r="C17" s="99" t="s">
        <v>436</v>
      </c>
      <c r="E17" s="4">
        <v>92214.296066299823</v>
      </c>
      <c r="F17" s="4"/>
      <c r="G17" s="22">
        <v>0.87012107919337789</v>
      </c>
      <c r="H17" s="212"/>
      <c r="I17" s="4">
        <f t="shared" si="0"/>
        <v>80237.600000000006</v>
      </c>
    </row>
    <row r="18" spans="1:9" x14ac:dyDescent="0.2">
      <c r="A18" s="99">
        <f t="shared" si="1"/>
        <v>8</v>
      </c>
      <c r="C18" s="99" t="s">
        <v>437</v>
      </c>
      <c r="E18" s="4">
        <v>552108.70382059272</v>
      </c>
      <c r="F18" s="4"/>
      <c r="G18" s="22">
        <v>0.87938242823882595</v>
      </c>
      <c r="H18" s="212"/>
      <c r="I18" s="4">
        <f t="shared" si="0"/>
        <v>485514.69</v>
      </c>
    </row>
    <row r="19" spans="1:9" x14ac:dyDescent="0.2">
      <c r="A19" s="99">
        <f t="shared" si="1"/>
        <v>9</v>
      </c>
      <c r="C19" s="99" t="s">
        <v>438</v>
      </c>
      <c r="E19" s="4">
        <v>124110.22326267339</v>
      </c>
      <c r="F19" s="4"/>
      <c r="G19" s="22">
        <v>0.87938242823882584</v>
      </c>
      <c r="H19" s="212"/>
      <c r="I19" s="4">
        <f t="shared" si="0"/>
        <v>109140.35</v>
      </c>
    </row>
    <row r="20" spans="1:9" x14ac:dyDescent="0.2">
      <c r="A20" s="99">
        <f t="shared" si="1"/>
        <v>10</v>
      </c>
      <c r="C20" s="99" t="s">
        <v>439</v>
      </c>
      <c r="E20" s="4">
        <v>24243.334770526992</v>
      </c>
      <c r="F20" s="4"/>
      <c r="G20" s="22">
        <v>0.87012107919337778</v>
      </c>
      <c r="H20" s="212"/>
      <c r="I20" s="4">
        <f t="shared" si="0"/>
        <v>21094.639999999999</v>
      </c>
    </row>
    <row r="21" spans="1:9" x14ac:dyDescent="0.2">
      <c r="A21" s="99">
        <f t="shared" si="1"/>
        <v>11</v>
      </c>
      <c r="C21" s="99" t="s">
        <v>440</v>
      </c>
      <c r="E21" s="4">
        <v>12881.449041415959</v>
      </c>
      <c r="F21" s="4"/>
      <c r="G21" s="22">
        <v>0.87012107919337778</v>
      </c>
      <c r="H21" s="212"/>
      <c r="I21" s="4">
        <f t="shared" si="0"/>
        <v>11208.42</v>
      </c>
    </row>
    <row r="22" spans="1:9" x14ac:dyDescent="0.2">
      <c r="A22" s="99">
        <f t="shared" si="1"/>
        <v>12</v>
      </c>
      <c r="C22" s="99" t="s">
        <v>441</v>
      </c>
      <c r="E22" s="4">
        <v>3649.7405860021045</v>
      </c>
      <c r="F22" s="4"/>
      <c r="G22" s="22">
        <v>0.87012107919337789</v>
      </c>
      <c r="H22" s="212"/>
      <c r="I22" s="4">
        <f t="shared" si="0"/>
        <v>3175.72</v>
      </c>
    </row>
    <row r="23" spans="1:9" x14ac:dyDescent="0.2">
      <c r="A23" s="99">
        <f t="shared" si="1"/>
        <v>13</v>
      </c>
      <c r="C23" s="99" t="s">
        <v>442</v>
      </c>
      <c r="E23" s="4">
        <v>26958.879687470726</v>
      </c>
      <c r="F23" s="4"/>
      <c r="G23" s="22">
        <v>0.87012107919337778</v>
      </c>
      <c r="H23" s="212"/>
      <c r="I23" s="4">
        <f t="shared" si="0"/>
        <v>23457.49</v>
      </c>
    </row>
    <row r="24" spans="1:9" x14ac:dyDescent="0.2">
      <c r="A24" s="99">
        <f t="shared" si="1"/>
        <v>14</v>
      </c>
      <c r="C24" s="99" t="s">
        <v>443</v>
      </c>
      <c r="E24" s="4">
        <v>9705.0639956754148</v>
      </c>
      <c r="F24" s="4"/>
      <c r="G24" s="22">
        <v>0.87012107919337778</v>
      </c>
      <c r="H24" s="212"/>
      <c r="I24" s="4">
        <f t="shared" si="0"/>
        <v>8444.58</v>
      </c>
    </row>
    <row r="25" spans="1:9" x14ac:dyDescent="0.2">
      <c r="A25" s="99">
        <f t="shared" si="1"/>
        <v>15</v>
      </c>
      <c r="C25" s="99" t="s">
        <v>444</v>
      </c>
      <c r="E25" s="4">
        <v>67506.052507528133</v>
      </c>
      <c r="F25" s="4"/>
      <c r="G25" s="22">
        <v>0.87012107919337789</v>
      </c>
      <c r="H25" s="212"/>
      <c r="I25" s="4">
        <f t="shared" si="0"/>
        <v>58738.44</v>
      </c>
    </row>
    <row r="26" spans="1:9" x14ac:dyDescent="0.2">
      <c r="A26" s="99">
        <f t="shared" si="1"/>
        <v>16</v>
      </c>
      <c r="C26" s="99" t="s">
        <v>445</v>
      </c>
      <c r="E26" s="4">
        <v>2766.9016988019112</v>
      </c>
      <c r="F26" s="4"/>
      <c r="G26" s="22">
        <v>0.87012107919337778</v>
      </c>
      <c r="H26" s="212"/>
      <c r="I26" s="4">
        <f t="shared" si="0"/>
        <v>2407.54</v>
      </c>
    </row>
    <row r="27" spans="1:9" x14ac:dyDescent="0.2">
      <c r="A27" s="99">
        <f t="shared" si="1"/>
        <v>17</v>
      </c>
      <c r="C27" s="99" t="s">
        <v>446</v>
      </c>
      <c r="E27" s="4">
        <v>200329.31483398422</v>
      </c>
      <c r="F27" s="4"/>
      <c r="G27" s="22">
        <v>0.87012107919337789</v>
      </c>
      <c r="H27" s="212"/>
      <c r="I27" s="4">
        <f t="shared" si="0"/>
        <v>174310.76</v>
      </c>
    </row>
    <row r="28" spans="1:9" x14ac:dyDescent="0.2">
      <c r="A28" s="99">
        <f t="shared" si="1"/>
        <v>18</v>
      </c>
      <c r="C28" s="99" t="s">
        <v>447</v>
      </c>
      <c r="E28" s="4">
        <v>234471.03847454797</v>
      </c>
      <c r="F28" s="4"/>
      <c r="G28" s="22">
        <v>0.90154845710207365</v>
      </c>
      <c r="H28" s="212"/>
      <c r="I28" s="4">
        <f t="shared" si="0"/>
        <v>211387</v>
      </c>
    </row>
    <row r="29" spans="1:9" x14ac:dyDescent="0.2">
      <c r="A29" s="99">
        <f t="shared" si="1"/>
        <v>19</v>
      </c>
      <c r="C29" s="99" t="s">
        <v>448</v>
      </c>
      <c r="E29" s="4">
        <v>323852.64351374272</v>
      </c>
      <c r="F29" s="4"/>
      <c r="G29" s="22">
        <v>0.90154845710207376</v>
      </c>
      <c r="H29" s="212"/>
      <c r="I29" s="4">
        <f t="shared" si="0"/>
        <v>291968.84999999998</v>
      </c>
    </row>
    <row r="30" spans="1:9" x14ac:dyDescent="0.2">
      <c r="A30" s="99">
        <f t="shared" si="1"/>
        <v>20</v>
      </c>
      <c r="C30" s="99" t="s">
        <v>449</v>
      </c>
      <c r="E30" s="4">
        <v>37146.434178015166</v>
      </c>
      <c r="F30" s="4"/>
      <c r="G30" s="22">
        <v>0.90154845710207365</v>
      </c>
      <c r="H30" s="212"/>
      <c r="I30" s="4">
        <f t="shared" si="0"/>
        <v>33489.31</v>
      </c>
    </row>
    <row r="31" spans="1:9" x14ac:dyDescent="0.2">
      <c r="A31" s="99">
        <f t="shared" si="1"/>
        <v>21</v>
      </c>
      <c r="C31" s="99" t="s">
        <v>450</v>
      </c>
      <c r="E31" s="4">
        <v>10322.887010347376</v>
      </c>
      <c r="F31" s="4"/>
      <c r="G31" s="22">
        <v>0.90154845710207365</v>
      </c>
      <c r="H31" s="212"/>
      <c r="I31" s="4">
        <f t="shared" si="0"/>
        <v>9306.58</v>
      </c>
    </row>
    <row r="32" spans="1:9" x14ac:dyDescent="0.2">
      <c r="A32" s="99">
        <f t="shared" si="1"/>
        <v>22</v>
      </c>
      <c r="C32" s="99" t="s">
        <v>451</v>
      </c>
      <c r="E32" s="4">
        <v>88899.382311277557</v>
      </c>
      <c r="F32" s="4"/>
      <c r="G32" s="22">
        <v>0.90154845710207376</v>
      </c>
      <c r="H32" s="212"/>
      <c r="I32" s="4">
        <f t="shared" si="0"/>
        <v>80147.100000000006</v>
      </c>
    </row>
    <row r="33" spans="1:9" x14ac:dyDescent="0.2">
      <c r="A33" s="99">
        <f t="shared" si="1"/>
        <v>23</v>
      </c>
      <c r="C33" s="99" t="s">
        <v>452</v>
      </c>
      <c r="E33" s="4">
        <v>9082.2230449913659</v>
      </c>
      <c r="F33" s="4"/>
      <c r="G33" s="22">
        <v>0.90154845710207376</v>
      </c>
      <c r="H33" s="212"/>
      <c r="I33" s="4">
        <f t="shared" si="0"/>
        <v>8188.06</v>
      </c>
    </row>
    <row r="34" spans="1:9" x14ac:dyDescent="0.2">
      <c r="A34" s="99">
        <f t="shared" si="1"/>
        <v>24</v>
      </c>
      <c r="C34" s="99" t="s">
        <v>453</v>
      </c>
      <c r="E34" s="4">
        <v>110541.65908077201</v>
      </c>
      <c r="F34" s="4"/>
      <c r="G34" s="22">
        <v>0.94436035408340246</v>
      </c>
      <c r="H34" s="212"/>
      <c r="I34" s="4">
        <f t="shared" si="0"/>
        <v>104391.16</v>
      </c>
    </row>
    <row r="35" spans="1:9" x14ac:dyDescent="0.2">
      <c r="A35" s="99">
        <f t="shared" si="1"/>
        <v>25</v>
      </c>
      <c r="C35" s="99" t="s">
        <v>454</v>
      </c>
      <c r="E35" s="4">
        <v>34498.160426985283</v>
      </c>
      <c r="F35" s="4"/>
      <c r="G35" s="22">
        <v>0.94436035408340246</v>
      </c>
      <c r="H35" s="212"/>
      <c r="I35" s="4">
        <f t="shared" si="0"/>
        <v>32578.69</v>
      </c>
    </row>
    <row r="36" spans="1:9" x14ac:dyDescent="0.2">
      <c r="A36" s="99">
        <f t="shared" si="1"/>
        <v>26</v>
      </c>
      <c r="C36" s="99" t="s">
        <v>455</v>
      </c>
      <c r="E36" s="4">
        <v>60396.526633582682</v>
      </c>
      <c r="F36" s="4"/>
      <c r="G36" s="22">
        <v>0.94436035408340246</v>
      </c>
      <c r="H36" s="212"/>
      <c r="I36" s="4">
        <f t="shared" si="0"/>
        <v>57036.09</v>
      </c>
    </row>
    <row r="37" spans="1:9" x14ac:dyDescent="0.2">
      <c r="A37" s="99">
        <f t="shared" si="1"/>
        <v>27</v>
      </c>
      <c r="C37" s="99" t="s">
        <v>456</v>
      </c>
      <c r="E37" s="4">
        <v>191015.62312900595</v>
      </c>
      <c r="F37" s="4"/>
      <c r="G37" s="22">
        <v>0.94436035408340246</v>
      </c>
      <c r="H37" s="212"/>
      <c r="I37" s="4">
        <f t="shared" si="0"/>
        <v>180387.58</v>
      </c>
    </row>
    <row r="38" spans="1:9" x14ac:dyDescent="0.2">
      <c r="A38" s="99">
        <f t="shared" si="1"/>
        <v>28</v>
      </c>
      <c r="C38" s="99" t="s">
        <v>457</v>
      </c>
      <c r="E38" s="4">
        <v>454172.50525578222</v>
      </c>
      <c r="F38" s="4"/>
      <c r="G38" s="22">
        <v>0.94436035408340246</v>
      </c>
      <c r="H38" s="212"/>
      <c r="I38" s="4">
        <f t="shared" si="0"/>
        <v>428902.51</v>
      </c>
    </row>
    <row r="39" spans="1:9" x14ac:dyDescent="0.2">
      <c r="A39" s="99">
        <f t="shared" si="1"/>
        <v>29</v>
      </c>
      <c r="C39" s="99" t="s">
        <v>458</v>
      </c>
      <c r="E39" s="4">
        <v>268452.07931800489</v>
      </c>
      <c r="F39" s="4"/>
      <c r="G39" s="22">
        <v>0.94436035408340235</v>
      </c>
      <c r="H39" s="212"/>
      <c r="I39" s="4">
        <f t="shared" si="0"/>
        <v>253515.5</v>
      </c>
    </row>
    <row r="40" spans="1:9" x14ac:dyDescent="0.2">
      <c r="A40" s="99">
        <f t="shared" si="1"/>
        <v>30</v>
      </c>
      <c r="C40" s="99" t="s">
        <v>459</v>
      </c>
      <c r="E40" s="4">
        <v>43127.036040853985</v>
      </c>
      <c r="F40" s="4"/>
      <c r="G40" s="22">
        <v>0.94436035408340235</v>
      </c>
      <c r="H40" s="212"/>
      <c r="I40" s="4">
        <f t="shared" si="0"/>
        <v>40727.46</v>
      </c>
    </row>
    <row r="41" spans="1:9" x14ac:dyDescent="0.2">
      <c r="A41" s="99">
        <f t="shared" si="1"/>
        <v>31</v>
      </c>
      <c r="C41" s="99" t="s">
        <v>460</v>
      </c>
      <c r="E41" s="4">
        <v>461407.04926457105</v>
      </c>
      <c r="F41" s="4"/>
      <c r="G41" s="22">
        <v>0.94436035408340246</v>
      </c>
      <c r="H41" s="212"/>
      <c r="I41" s="4">
        <f t="shared" si="0"/>
        <v>435734.52</v>
      </c>
    </row>
    <row r="42" spans="1:9" x14ac:dyDescent="0.2">
      <c r="A42" s="99">
        <f t="shared" si="1"/>
        <v>32</v>
      </c>
      <c r="C42" s="99" t="s">
        <v>461</v>
      </c>
      <c r="E42" s="4">
        <v>30797.756653361066</v>
      </c>
      <c r="F42" s="4"/>
      <c r="G42" s="22">
        <v>0.94436035408340246</v>
      </c>
      <c r="H42" s="212"/>
      <c r="I42" s="4">
        <f t="shared" si="0"/>
        <v>29084.18</v>
      </c>
    </row>
    <row r="43" spans="1:9" x14ac:dyDescent="0.2">
      <c r="A43" s="99">
        <f t="shared" si="1"/>
        <v>33</v>
      </c>
      <c r="C43" s="99" t="s">
        <v>462</v>
      </c>
      <c r="E43" s="4">
        <v>3835.9930611576629</v>
      </c>
      <c r="F43" s="4"/>
      <c r="G43" s="22">
        <v>0.94436035408340246</v>
      </c>
      <c r="H43" s="212"/>
      <c r="I43" s="4">
        <f t="shared" si="0"/>
        <v>3622.56</v>
      </c>
    </row>
    <row r="44" spans="1:9" x14ac:dyDescent="0.2">
      <c r="A44" s="99">
        <f t="shared" si="1"/>
        <v>34</v>
      </c>
      <c r="C44" s="99" t="s">
        <v>463</v>
      </c>
      <c r="E44" s="4">
        <v>318087.96001158806</v>
      </c>
      <c r="F44" s="4"/>
      <c r="G44" s="22">
        <v>0.94878309867334731</v>
      </c>
      <c r="H44" s="212"/>
      <c r="I44" s="4">
        <f t="shared" si="0"/>
        <v>301796.47999999998</v>
      </c>
    </row>
    <row r="45" spans="1:9" x14ac:dyDescent="0.2">
      <c r="A45" s="99">
        <f>A44+1</f>
        <v>35</v>
      </c>
      <c r="C45" s="99" t="s">
        <v>464</v>
      </c>
      <c r="E45" s="4">
        <v>59056.763534513353</v>
      </c>
      <c r="F45" s="4"/>
      <c r="G45" s="22">
        <v>0.9487830986733472</v>
      </c>
      <c r="H45" s="212"/>
      <c r="I45" s="4">
        <f t="shared" si="0"/>
        <v>56032.06</v>
      </c>
    </row>
    <row r="46" spans="1:9" x14ac:dyDescent="0.2">
      <c r="A46" s="99">
        <f>A45+1</f>
        <v>36</v>
      </c>
      <c r="C46" s="99" t="s">
        <v>465</v>
      </c>
      <c r="E46" s="4">
        <v>1125367.2442950383</v>
      </c>
      <c r="F46" s="4"/>
      <c r="G46" s="22">
        <v>0.9487830986733472</v>
      </c>
      <c r="H46" s="212"/>
      <c r="I46" s="4">
        <f t="shared" si="0"/>
        <v>1067729.42</v>
      </c>
    </row>
    <row r="47" spans="1:9" x14ac:dyDescent="0.2">
      <c r="A47" s="99">
        <f t="shared" si="1"/>
        <v>37</v>
      </c>
      <c r="C47" s="99" t="s">
        <v>466</v>
      </c>
      <c r="E47" s="4">
        <v>57921.780736337634</v>
      </c>
      <c r="F47" s="4"/>
      <c r="G47" s="22">
        <v>0.99724956170321866</v>
      </c>
      <c r="H47" s="212"/>
      <c r="I47" s="4">
        <f t="shared" si="0"/>
        <v>57762.47</v>
      </c>
    </row>
    <row r="48" spans="1:9" x14ac:dyDescent="0.2">
      <c r="A48" s="99">
        <f t="shared" si="1"/>
        <v>38</v>
      </c>
      <c r="C48" s="99" t="s">
        <v>467</v>
      </c>
      <c r="E48" s="4">
        <v>25509.461685477516</v>
      </c>
      <c r="F48" s="4"/>
      <c r="G48" s="22">
        <v>0.99724956170321888</v>
      </c>
      <c r="H48" s="212"/>
      <c r="I48" s="4">
        <f t="shared" si="0"/>
        <v>25439.3</v>
      </c>
    </row>
    <row r="49" spans="1:11" x14ac:dyDescent="0.2">
      <c r="A49" s="99">
        <f t="shared" si="1"/>
        <v>39</v>
      </c>
      <c r="C49" s="99" t="s">
        <v>468</v>
      </c>
      <c r="E49" s="4">
        <v>3556332.7007416105</v>
      </c>
      <c r="F49" s="4"/>
      <c r="G49" s="22">
        <v>0.90371060862444874</v>
      </c>
      <c r="H49" s="212"/>
      <c r="I49" s="4">
        <f t="shared" si="0"/>
        <v>3213895.59</v>
      </c>
    </row>
    <row r="50" spans="1:11" x14ac:dyDescent="0.2">
      <c r="A50" s="99">
        <f t="shared" si="1"/>
        <v>40</v>
      </c>
      <c r="C50" s="99" t="s">
        <v>469</v>
      </c>
      <c r="E50" s="4">
        <v>45857.312753121456</v>
      </c>
      <c r="F50" s="4"/>
      <c r="G50" s="22">
        <v>0.90371060862444885</v>
      </c>
      <c r="H50" s="212"/>
      <c r="I50" s="4">
        <f t="shared" si="0"/>
        <v>41441.74</v>
      </c>
    </row>
    <row r="51" spans="1:11" ht="13.5" thickBot="1" x14ac:dyDescent="0.25">
      <c r="A51" s="99">
        <f t="shared" si="1"/>
        <v>41</v>
      </c>
      <c r="C51" s="99" t="s">
        <v>28</v>
      </c>
      <c r="E51" s="18">
        <f>SUM(E11:E50)</f>
        <v>11505675.054207163</v>
      </c>
      <c r="F51" s="4"/>
      <c r="G51" s="22"/>
      <c r="H51" s="212"/>
      <c r="I51" s="18">
        <f>SUM(I11:I50)</f>
        <v>10420236.810000001</v>
      </c>
    </row>
    <row r="52" spans="1:11" ht="13.5" thickTop="1" x14ac:dyDescent="0.2"/>
    <row r="53" spans="1:11" x14ac:dyDescent="0.2">
      <c r="A53" s="2" t="s">
        <v>9</v>
      </c>
      <c r="B53" s="2"/>
      <c r="C53" s="211"/>
      <c r="D53" s="211"/>
      <c r="E53" s="2"/>
      <c r="F53" s="2"/>
      <c r="G53" s="211"/>
      <c r="H53" s="2"/>
      <c r="I53" s="2"/>
      <c r="J53" s="2"/>
      <c r="K53" s="2"/>
    </row>
    <row r="54" spans="1:11" x14ac:dyDescent="0.2">
      <c r="A54" s="1" t="s">
        <v>478</v>
      </c>
    </row>
    <row r="56" spans="1:11" x14ac:dyDescent="0.2">
      <c r="C56" s="1"/>
      <c r="D56" s="1"/>
      <c r="E56" s="99" t="s">
        <v>472</v>
      </c>
      <c r="I56" s="12" t="s">
        <v>216</v>
      </c>
    </row>
    <row r="57" spans="1:11" x14ac:dyDescent="0.2">
      <c r="C57" s="1"/>
      <c r="D57" s="1"/>
      <c r="E57" s="99" t="s">
        <v>45</v>
      </c>
      <c r="I57" s="12" t="s">
        <v>220</v>
      </c>
    </row>
    <row r="58" spans="1:11" x14ac:dyDescent="0.2">
      <c r="C58" s="173" t="s">
        <v>3</v>
      </c>
      <c r="D58" s="169"/>
      <c r="E58" s="172" t="s">
        <v>480</v>
      </c>
      <c r="F58" s="169"/>
      <c r="G58" s="211" t="s">
        <v>24</v>
      </c>
      <c r="I58" s="211" t="s">
        <v>477</v>
      </c>
    </row>
    <row r="59" spans="1:11" x14ac:dyDescent="0.2">
      <c r="A59" s="99">
        <f>A51+1</f>
        <v>42</v>
      </c>
      <c r="C59" s="176" t="s">
        <v>388</v>
      </c>
      <c r="D59" s="169"/>
      <c r="E59" s="178">
        <v>4005176</v>
      </c>
      <c r="F59" s="169"/>
      <c r="G59" s="213">
        <f>E59/E62</f>
        <v>0.34810439196309645</v>
      </c>
      <c r="I59" s="16">
        <f>I51*G59</f>
        <v>3627330.1988565261</v>
      </c>
    </row>
    <row r="60" spans="1:11" x14ac:dyDescent="0.2">
      <c r="A60" s="99">
        <f>A59+1</f>
        <v>43</v>
      </c>
      <c r="C60" s="176" t="s">
        <v>389</v>
      </c>
      <c r="D60" s="169"/>
      <c r="E60" s="178">
        <v>6786882</v>
      </c>
      <c r="F60" s="169"/>
      <c r="G60" s="213">
        <f>E60/E62</f>
        <v>0.58987256288744472</v>
      </c>
      <c r="I60" s="16">
        <f>I51*G60</f>
        <v>6146611.7930087913</v>
      </c>
    </row>
    <row r="61" spans="1:11" x14ac:dyDescent="0.2">
      <c r="A61" s="99">
        <f t="shared" ref="A61:A62" si="2">A60+1</f>
        <v>44</v>
      </c>
      <c r="C61" s="176" t="s">
        <v>390</v>
      </c>
      <c r="D61" s="169"/>
      <c r="E61" s="179">
        <v>713617</v>
      </c>
      <c r="F61" s="169"/>
      <c r="G61" s="214">
        <f>E61/E62</f>
        <v>6.2023045149458854E-2</v>
      </c>
      <c r="I61" s="16">
        <f>I51*G61</f>
        <v>646294.81813468318</v>
      </c>
    </row>
    <row r="62" spans="1:11" ht="13.5" thickBot="1" x14ac:dyDescent="0.25">
      <c r="A62" s="99">
        <f t="shared" si="2"/>
        <v>45</v>
      </c>
      <c r="C62" s="169" t="s">
        <v>476</v>
      </c>
      <c r="D62" s="169"/>
      <c r="E62" s="182">
        <f>SUM(E59:E61)</f>
        <v>11505675</v>
      </c>
      <c r="F62" s="169"/>
      <c r="G62" s="216">
        <f>SUM(G59:G61)</f>
        <v>1</v>
      </c>
      <c r="I62" s="215">
        <f>SUM(I59:I61)</f>
        <v>10420236.810000002</v>
      </c>
    </row>
    <row r="63" spans="1:11" ht="13.5" thickTop="1" x14ac:dyDescent="0.2"/>
    <row r="64" spans="1:11" x14ac:dyDescent="0.2">
      <c r="A64" s="1" t="s">
        <v>481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4"/>
  <sheetViews>
    <sheetView workbookViewId="0">
      <selection activeCell="H63" sqref="H63"/>
    </sheetView>
  </sheetViews>
  <sheetFormatPr defaultRowHeight="12.75" x14ac:dyDescent="0.2"/>
  <cols>
    <col min="1" max="1" width="5.28515625" style="1" customWidth="1"/>
    <col min="2" max="2" width="1" style="1" customWidth="1"/>
    <col min="3" max="3" width="41.5703125" style="1" bestFit="1" customWidth="1"/>
    <col min="4" max="4" width="1" style="1" customWidth="1"/>
    <col min="5" max="5" width="9.140625" style="1"/>
    <col min="6" max="6" width="0.7109375" style="1" customWidth="1"/>
    <col min="7" max="7" width="16.140625" style="1" bestFit="1" customWidth="1"/>
    <col min="8" max="8" width="0.85546875" style="1" customWidth="1"/>
    <col min="9" max="9" width="16.140625" style="1" bestFit="1" customWidth="1"/>
    <col min="10" max="10" width="0.7109375" style="1" customWidth="1"/>
    <col min="11" max="11" width="15.5703125" style="1" bestFit="1" customWidth="1"/>
    <col min="12" max="15" width="2.140625" style="1" customWidth="1"/>
    <col min="16" max="16384" width="9.140625" style="1"/>
  </cols>
  <sheetData>
    <row r="1" spans="1:11" x14ac:dyDescent="0.2">
      <c r="A1" s="1" t="str">
        <f>Contents!A1</f>
        <v>Kentucky Utilities Company</v>
      </c>
      <c r="K1" s="27" t="str">
        <f>Contents!$S$4</f>
        <v>Exhibit RCS-1</v>
      </c>
    </row>
    <row r="2" spans="1:11" x14ac:dyDescent="0.2">
      <c r="A2" s="1" t="s">
        <v>53</v>
      </c>
      <c r="K2" s="27" t="s">
        <v>97</v>
      </c>
    </row>
    <row r="3" spans="1:11" x14ac:dyDescent="0.2">
      <c r="A3" s="41"/>
      <c r="K3" s="27" t="str">
        <f>Contents!$A$2</f>
        <v>Case No. 2016-00370</v>
      </c>
    </row>
    <row r="4" spans="1:11" x14ac:dyDescent="0.2">
      <c r="A4" s="1" t="s">
        <v>328</v>
      </c>
      <c r="K4" s="27" t="s">
        <v>71</v>
      </c>
    </row>
    <row r="6" spans="1:11" x14ac:dyDescent="0.2">
      <c r="A6" s="99" t="s">
        <v>0</v>
      </c>
      <c r="G6" s="99" t="s">
        <v>5</v>
      </c>
      <c r="H6" s="99"/>
      <c r="I6" s="99"/>
      <c r="J6" s="99"/>
    </row>
    <row r="7" spans="1:11" x14ac:dyDescent="0.2">
      <c r="A7" s="11" t="s">
        <v>2</v>
      </c>
      <c r="C7" s="2" t="s">
        <v>3</v>
      </c>
      <c r="D7" s="13"/>
      <c r="E7" s="2" t="s">
        <v>15</v>
      </c>
      <c r="G7" s="11" t="s">
        <v>45</v>
      </c>
      <c r="H7" s="99"/>
      <c r="I7" s="11" t="s">
        <v>158</v>
      </c>
      <c r="J7" s="99"/>
      <c r="K7" s="11" t="s">
        <v>29</v>
      </c>
    </row>
    <row r="8" spans="1:11" x14ac:dyDescent="0.2">
      <c r="G8" s="99" t="s">
        <v>6</v>
      </c>
      <c r="H8" s="99"/>
      <c r="I8" s="99" t="s">
        <v>7</v>
      </c>
      <c r="J8" s="99"/>
      <c r="K8" s="99" t="s">
        <v>18</v>
      </c>
    </row>
    <row r="10" spans="1:11" ht="15.75" thickBot="1" x14ac:dyDescent="0.3">
      <c r="A10" s="99">
        <v>1</v>
      </c>
      <c r="C10" s="1" t="s">
        <v>209</v>
      </c>
      <c r="E10" s="99" t="s">
        <v>115</v>
      </c>
      <c r="G10" s="4">
        <f>B!E42</f>
        <v>3638800730.0279121</v>
      </c>
      <c r="I10" s="4">
        <f>B!I42</f>
        <v>3603304644.6464729</v>
      </c>
      <c r="K10" s="139">
        <f>I10-G10</f>
        <v>-35496085.381439209</v>
      </c>
    </row>
    <row r="11" spans="1:11" ht="13.5" thickTop="1" x14ac:dyDescent="0.2">
      <c r="A11" s="99">
        <f t="shared" ref="A11:A20" si="0">A10+1</f>
        <v>2</v>
      </c>
      <c r="C11" s="1" t="s">
        <v>11</v>
      </c>
      <c r="E11" s="99" t="s">
        <v>115</v>
      </c>
      <c r="G11" s="105">
        <f>'D P1'!K14</f>
        <v>7.2906864656469603E-2</v>
      </c>
      <c r="I11" s="105">
        <f>'D P1'!K20</f>
        <v>6.3445861023266659E-2</v>
      </c>
    </row>
    <row r="12" spans="1:11" x14ac:dyDescent="0.2">
      <c r="A12" s="99">
        <f t="shared" si="0"/>
        <v>3</v>
      </c>
      <c r="C12" s="1" t="s">
        <v>12</v>
      </c>
      <c r="E12" s="99"/>
      <c r="G12" s="4">
        <f>G10*G11</f>
        <v>265293552.33600777</v>
      </c>
      <c r="I12" s="4">
        <f>I10*I11</f>
        <v>228614765.70873138</v>
      </c>
      <c r="K12" s="44">
        <f>I12-G12</f>
        <v>-36678786.627276391</v>
      </c>
    </row>
    <row r="13" spans="1:11" x14ac:dyDescent="0.2">
      <c r="A13" s="99">
        <f t="shared" si="0"/>
        <v>4</v>
      </c>
      <c r="C13" s="1" t="s">
        <v>13</v>
      </c>
      <c r="E13" s="99" t="s">
        <v>116</v>
      </c>
      <c r="G13" s="47">
        <f>'C'!E26</f>
        <v>202510540</v>
      </c>
      <c r="I13" s="47">
        <f>'C'!I26</f>
        <v>213333235.5223577</v>
      </c>
      <c r="K13" s="44">
        <f>I13-G13</f>
        <v>10822695.522357702</v>
      </c>
    </row>
    <row r="14" spans="1:11" ht="13.5" thickBot="1" x14ac:dyDescent="0.25">
      <c r="A14" s="99">
        <f t="shared" si="0"/>
        <v>5</v>
      </c>
      <c r="C14" s="1" t="s">
        <v>246</v>
      </c>
      <c r="E14" s="99"/>
      <c r="G14" s="4">
        <f>G12-G13</f>
        <v>62783012.336007774</v>
      </c>
      <c r="I14" s="4">
        <f>I12-I13</f>
        <v>15281530.186373681</v>
      </c>
      <c r="K14" s="45">
        <f>I14-G14</f>
        <v>-47501482.149634093</v>
      </c>
    </row>
    <row r="15" spans="1:11" ht="13.5" thickTop="1" x14ac:dyDescent="0.2">
      <c r="A15" s="99">
        <f t="shared" si="0"/>
        <v>6</v>
      </c>
      <c r="C15" s="1" t="s">
        <v>14</v>
      </c>
      <c r="E15" s="99" t="s">
        <v>117</v>
      </c>
      <c r="G15" s="272">
        <f>'A-1'!K22</f>
        <v>1.6421322016625246</v>
      </c>
      <c r="H15" s="106"/>
      <c r="I15" s="272">
        <f>'A-1'!O22</f>
        <v>1.6416051320148557</v>
      </c>
    </row>
    <row r="16" spans="1:11" x14ac:dyDescent="0.2">
      <c r="A16" s="99">
        <f t="shared" si="0"/>
        <v>7</v>
      </c>
      <c r="C16" s="1" t="s">
        <v>54</v>
      </c>
      <c r="G16" s="19">
        <f>G14*G15</f>
        <v>103098006.27433389</v>
      </c>
      <c r="I16" s="19">
        <f>I14*I15</f>
        <v>25086238.378990967</v>
      </c>
      <c r="K16" s="19">
        <f>I16-G16</f>
        <v>-78011767.895342931</v>
      </c>
    </row>
    <row r="17" spans="1:15" ht="13.5" thickBot="1" x14ac:dyDescent="0.25">
      <c r="A17" s="99">
        <f>A16+1</f>
        <v>8</v>
      </c>
      <c r="C17" s="1" t="s">
        <v>208</v>
      </c>
      <c r="G17" s="18">
        <f>SUM(G16:G16)</f>
        <v>103098006.27433389</v>
      </c>
      <c r="I17" s="18">
        <f>SUM(I16:I16)</f>
        <v>25086238.378990967</v>
      </c>
      <c r="K17" s="18">
        <f>SUM(K16:K16)</f>
        <v>-78011767.895342931</v>
      </c>
    </row>
    <row r="18" spans="1:15" ht="13.5" thickTop="1" x14ac:dyDescent="0.2">
      <c r="A18" s="99"/>
      <c r="G18" s="19"/>
      <c r="I18" s="19"/>
      <c r="K18" s="19"/>
    </row>
    <row r="19" spans="1:15" x14ac:dyDescent="0.2">
      <c r="A19" s="99">
        <f>A17+1</f>
        <v>9</v>
      </c>
      <c r="C19" s="1" t="s">
        <v>182</v>
      </c>
      <c r="E19" s="99" t="s">
        <v>116</v>
      </c>
      <c r="G19" s="19">
        <f>'C'!E14</f>
        <v>1485327442</v>
      </c>
      <c r="I19" s="19">
        <f>'C'!I14</f>
        <v>1485327442</v>
      </c>
      <c r="K19" s="19">
        <f>I19-G19</f>
        <v>0</v>
      </c>
    </row>
    <row r="20" spans="1:15" ht="13.5" thickBot="1" x14ac:dyDescent="0.25">
      <c r="A20" s="99">
        <f t="shared" si="0"/>
        <v>10</v>
      </c>
      <c r="C20" s="1" t="s">
        <v>183</v>
      </c>
      <c r="E20" s="99" t="s">
        <v>116</v>
      </c>
      <c r="G20" s="18">
        <f>G17+G19</f>
        <v>1588425448.274334</v>
      </c>
      <c r="I20" s="18">
        <f>I17+I19</f>
        <v>1510413680.3789909</v>
      </c>
      <c r="K20" s="18">
        <f>I20-G20</f>
        <v>-78011767.895343065</v>
      </c>
    </row>
    <row r="21" spans="1:15" ht="13.5" thickTop="1" x14ac:dyDescent="0.2">
      <c r="A21" s="99"/>
      <c r="G21" s="19"/>
      <c r="I21" s="19"/>
      <c r="K21" s="40"/>
    </row>
    <row r="22" spans="1:15" ht="13.5" thickBot="1" x14ac:dyDescent="0.25">
      <c r="A22" s="99">
        <f>A20+1</f>
        <v>11</v>
      </c>
      <c r="C22" s="1" t="s">
        <v>184</v>
      </c>
      <c r="G22" s="66">
        <f>G17/G19</f>
        <v>6.9410961757706419E-2</v>
      </c>
      <c r="H22" s="5"/>
      <c r="I22" s="66">
        <f>I17/I19</f>
        <v>1.6889365718048159E-2</v>
      </c>
      <c r="K22" s="40"/>
    </row>
    <row r="23" spans="1:15" ht="13.5" thickTop="1" x14ac:dyDescent="0.2"/>
    <row r="24" spans="1:15" x14ac:dyDescent="0.2">
      <c r="A24" s="2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3"/>
      <c r="M24" s="13"/>
      <c r="N24" s="13"/>
      <c r="O24" s="13"/>
    </row>
    <row r="25" spans="1:15" x14ac:dyDescent="0.2">
      <c r="A25" s="1" t="s">
        <v>10</v>
      </c>
      <c r="C25" s="51" t="s">
        <v>321</v>
      </c>
    </row>
    <row r="26" spans="1:15" x14ac:dyDescent="0.2">
      <c r="A26" s="10" t="s">
        <v>178</v>
      </c>
      <c r="G26" s="16"/>
    </row>
    <row r="27" spans="1:15" x14ac:dyDescent="0.2">
      <c r="A27" s="12" t="s">
        <v>41</v>
      </c>
      <c r="B27" s="13"/>
      <c r="C27" s="13" t="s">
        <v>122</v>
      </c>
      <c r="D27" s="13"/>
      <c r="E27" s="13"/>
      <c r="F27" s="13"/>
      <c r="G27" s="109"/>
      <c r="H27" s="13"/>
      <c r="I27" s="12"/>
      <c r="J27" s="13"/>
    </row>
    <row r="30" spans="1:15" x14ac:dyDescent="0.2">
      <c r="I30" s="1" t="s">
        <v>187</v>
      </c>
    </row>
    <row r="34" spans="1:1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pageMargins left="0.75" right="0.75" top="1" bottom="0.75" header="0.5" footer="0.5"/>
  <pageSetup scale="105" fitToHeight="3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H63" sqref="H63"/>
    </sheetView>
  </sheetViews>
  <sheetFormatPr defaultRowHeight="12.75" x14ac:dyDescent="0.2"/>
  <cols>
    <col min="1" max="1" width="4.5703125" style="169" customWidth="1"/>
    <col min="2" max="2" width="1.28515625" style="169" customWidth="1"/>
    <col min="3" max="3" width="30.140625" style="169" bestFit="1" customWidth="1"/>
    <col min="4" max="4" width="1.42578125" style="169" customWidth="1"/>
    <col min="5" max="5" width="12.7109375" style="169" customWidth="1"/>
    <col min="6" max="6" width="9.140625" style="169"/>
    <col min="7" max="7" width="3.42578125" style="169" customWidth="1"/>
    <col min="8" max="8" width="11.140625" style="169" customWidth="1"/>
    <col min="9" max="9" width="9.140625" style="169"/>
    <col min="10" max="10" width="3.5703125" style="169" customWidth="1"/>
    <col min="11" max="11" width="11.140625" style="169" customWidth="1"/>
    <col min="12" max="16384" width="9.140625" style="169"/>
  </cols>
  <sheetData>
    <row r="1" spans="1:12" x14ac:dyDescent="0.2">
      <c r="A1" s="169" t="s">
        <v>274</v>
      </c>
      <c r="L1" s="170" t="s">
        <v>185</v>
      </c>
    </row>
    <row r="2" spans="1:12" x14ac:dyDescent="0.2">
      <c r="A2" s="169" t="s">
        <v>238</v>
      </c>
      <c r="L2" s="170" t="s">
        <v>130</v>
      </c>
    </row>
    <row r="3" spans="1:12" x14ac:dyDescent="0.2">
      <c r="L3" s="170" t="s">
        <v>275</v>
      </c>
    </row>
    <row r="4" spans="1:12" x14ac:dyDescent="0.2">
      <c r="A4" s="169" t="s">
        <v>328</v>
      </c>
      <c r="L4" s="170" t="s">
        <v>193</v>
      </c>
    </row>
    <row r="7" spans="1:12" x14ac:dyDescent="0.2">
      <c r="K7" s="171" t="s">
        <v>381</v>
      </c>
    </row>
    <row r="8" spans="1:12" x14ac:dyDescent="0.2">
      <c r="C8" s="183"/>
      <c r="E8" s="171">
        <v>2015</v>
      </c>
      <c r="H8" s="171">
        <v>2016</v>
      </c>
      <c r="K8" s="171" t="s">
        <v>394</v>
      </c>
      <c r="L8" s="171" t="s">
        <v>381</v>
      </c>
    </row>
    <row r="9" spans="1:12" x14ac:dyDescent="0.2">
      <c r="A9" s="171" t="s">
        <v>0</v>
      </c>
      <c r="E9" s="171" t="s">
        <v>220</v>
      </c>
      <c r="F9" s="171">
        <v>2015</v>
      </c>
      <c r="G9" s="171"/>
      <c r="H9" s="171" t="s">
        <v>220</v>
      </c>
      <c r="I9" s="171">
        <v>2016</v>
      </c>
      <c r="K9" s="171" t="s">
        <v>220</v>
      </c>
      <c r="L9" s="171" t="s">
        <v>394</v>
      </c>
    </row>
    <row r="10" spans="1:12" x14ac:dyDescent="0.2">
      <c r="A10" s="172" t="s">
        <v>2</v>
      </c>
      <c r="C10" s="173" t="s">
        <v>395</v>
      </c>
      <c r="E10" s="172" t="s">
        <v>16</v>
      </c>
      <c r="F10" s="172" t="s">
        <v>24</v>
      </c>
      <c r="H10" s="172" t="s">
        <v>16</v>
      </c>
      <c r="I10" s="172" t="s">
        <v>24</v>
      </c>
      <c r="K10" s="172" t="s">
        <v>16</v>
      </c>
      <c r="L10" s="172" t="s">
        <v>24</v>
      </c>
    </row>
    <row r="11" spans="1:12" x14ac:dyDescent="0.2">
      <c r="A11" s="174"/>
      <c r="C11" s="176"/>
      <c r="E11" s="174" t="s">
        <v>6</v>
      </c>
      <c r="F11" s="174" t="s">
        <v>7</v>
      </c>
      <c r="H11" s="174" t="s">
        <v>18</v>
      </c>
      <c r="I11" s="174" t="s">
        <v>38</v>
      </c>
      <c r="K11" s="174" t="s">
        <v>50</v>
      </c>
      <c r="L11" s="174" t="s">
        <v>51</v>
      </c>
    </row>
    <row r="12" spans="1:12" x14ac:dyDescent="0.2">
      <c r="A12" s="171">
        <v>1</v>
      </c>
      <c r="C12" s="169" t="s">
        <v>396</v>
      </c>
      <c r="E12" s="180">
        <v>6584295</v>
      </c>
      <c r="F12" s="184">
        <f>E12/E18</f>
        <v>0.52935782302183687</v>
      </c>
      <c r="H12" s="180">
        <v>3342481</v>
      </c>
      <c r="I12" s="184">
        <f>H12/H18</f>
        <v>0.30069812741144625</v>
      </c>
      <c r="K12" s="180">
        <v>2545288</v>
      </c>
      <c r="L12" s="184">
        <f>K12/K18</f>
        <v>0.25321637950502546</v>
      </c>
    </row>
    <row r="13" spans="1:12" x14ac:dyDescent="0.2">
      <c r="A13" s="171">
        <v>2</v>
      </c>
      <c r="C13" s="169" t="s">
        <v>397</v>
      </c>
      <c r="E13" s="180">
        <v>0</v>
      </c>
      <c r="F13" s="184">
        <f>E13/E18</f>
        <v>0</v>
      </c>
      <c r="H13" s="180">
        <v>0</v>
      </c>
      <c r="I13" s="184">
        <f>H13/H18</f>
        <v>0</v>
      </c>
      <c r="K13" s="180">
        <v>201687</v>
      </c>
      <c r="L13" s="184">
        <f>K13/K18</f>
        <v>2.0064704635872274E-2</v>
      </c>
    </row>
    <row r="14" spans="1:12" x14ac:dyDescent="0.2">
      <c r="A14" s="171">
        <v>3</v>
      </c>
      <c r="C14" s="169" t="s">
        <v>398</v>
      </c>
      <c r="E14" s="180">
        <v>0</v>
      </c>
      <c r="F14" s="184">
        <f>E14/E18</f>
        <v>0</v>
      </c>
      <c r="H14" s="180">
        <v>0</v>
      </c>
      <c r="I14" s="184">
        <f>H14/H18</f>
        <v>0</v>
      </c>
      <c r="K14" s="180">
        <v>201687</v>
      </c>
      <c r="L14" s="184">
        <f>K14/K18</f>
        <v>2.0064704635872274E-2</v>
      </c>
    </row>
    <row r="15" spans="1:12" x14ac:dyDescent="0.2">
      <c r="A15" s="171">
        <v>4</v>
      </c>
      <c r="C15" s="169" t="s">
        <v>399</v>
      </c>
      <c r="E15" s="180">
        <v>1796639</v>
      </c>
      <c r="F15" s="184">
        <f>E15/E18</f>
        <v>0.1444444560573501</v>
      </c>
      <c r="H15" s="180">
        <v>1822208</v>
      </c>
      <c r="I15" s="184">
        <f>H15/H18</f>
        <v>0.1639304855746844</v>
      </c>
      <c r="K15" s="180">
        <v>1665126</v>
      </c>
      <c r="L15" s="184">
        <f>K15/K18</f>
        <v>0.16565401523901618</v>
      </c>
    </row>
    <row r="16" spans="1:12" x14ac:dyDescent="0.2">
      <c r="A16" s="171">
        <v>5</v>
      </c>
      <c r="C16" s="169" t="s">
        <v>400</v>
      </c>
      <c r="E16" s="180">
        <v>0</v>
      </c>
      <c r="F16" s="184">
        <f>E16/E18</f>
        <v>0</v>
      </c>
      <c r="H16" s="180">
        <v>1713353</v>
      </c>
      <c r="I16" s="184">
        <f>H16/H18</f>
        <v>0.15413761176048082</v>
      </c>
      <c r="K16" s="180">
        <v>1565655</v>
      </c>
      <c r="L16" s="184">
        <f>K16/K18</f>
        <v>0.15575820522233266</v>
      </c>
    </row>
    <row r="17" spans="1:12" x14ac:dyDescent="0.2">
      <c r="A17" s="171">
        <v>6</v>
      </c>
      <c r="C17" s="169" t="s">
        <v>401</v>
      </c>
      <c r="E17" s="180">
        <v>4057335</v>
      </c>
      <c r="F17" s="184">
        <f>E17/E18</f>
        <v>0.32619772092081301</v>
      </c>
      <c r="H17" s="180">
        <v>4237694</v>
      </c>
      <c r="I17" s="184">
        <f>H17/H18</f>
        <v>0.38123377525338853</v>
      </c>
      <c r="K17" s="180">
        <v>3872387</v>
      </c>
      <c r="L17" s="184">
        <f>K17/K18</f>
        <v>0.38524199076188115</v>
      </c>
    </row>
    <row r="18" spans="1:12" ht="13.5" thickBot="1" x14ac:dyDescent="0.25">
      <c r="A18" s="171">
        <v>7</v>
      </c>
      <c r="C18" s="169" t="s">
        <v>402</v>
      </c>
      <c r="E18" s="182">
        <f>SUM(E12:E17)</f>
        <v>12438269</v>
      </c>
      <c r="F18" s="185">
        <f>SUM(F12:F17)</f>
        <v>1</v>
      </c>
      <c r="H18" s="182">
        <f>SUM(H12:H17)</f>
        <v>11115736</v>
      </c>
      <c r="I18" s="185">
        <f>SUM(I12:I17)</f>
        <v>1</v>
      </c>
      <c r="K18" s="182">
        <f>SUM(K12:K17)</f>
        <v>10051830</v>
      </c>
      <c r="L18" s="185">
        <f>SUM(L12:L17)</f>
        <v>1</v>
      </c>
    </row>
    <row r="19" spans="1:12" ht="13.5" thickTop="1" x14ac:dyDescent="0.2"/>
    <row r="21" spans="1:12" x14ac:dyDescent="0.2">
      <c r="A21" s="173" t="s">
        <v>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1:12" x14ac:dyDescent="0.2">
      <c r="A22" s="169" t="s">
        <v>479</v>
      </c>
    </row>
    <row r="23" spans="1:12" x14ac:dyDescent="0.2">
      <c r="A23" s="169" t="s">
        <v>658</v>
      </c>
    </row>
  </sheetData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opLeftCell="A7" workbookViewId="0">
      <selection activeCell="H63" sqref="H63"/>
    </sheetView>
  </sheetViews>
  <sheetFormatPr defaultRowHeight="12.75" x14ac:dyDescent="0.2"/>
  <cols>
    <col min="1" max="1" width="4.42578125" style="1" customWidth="1"/>
    <col min="2" max="2" width="1.140625" style="1" customWidth="1"/>
    <col min="3" max="3" width="49" style="1" customWidth="1"/>
    <col min="4" max="4" width="1.28515625" style="1" customWidth="1"/>
    <col min="5" max="5" width="11.140625" style="1" bestFit="1" customWidth="1"/>
    <col min="6" max="6" width="1.140625" style="1" customWidth="1"/>
    <col min="7" max="7" width="10.85546875" style="1" customWidth="1"/>
    <col min="8" max="8" width="1.28515625" style="1" customWidth="1"/>
    <col min="9" max="9" width="12" style="1" bestFit="1" customWidth="1"/>
    <col min="10" max="10" width="1.28515625" style="1" customWidth="1"/>
    <col min="11" max="11" width="11.140625" style="1" bestFit="1" customWidth="1"/>
    <col min="12" max="12" width="1.42578125" style="1" customWidth="1"/>
    <col min="13" max="16384" width="9.140625" style="1"/>
  </cols>
  <sheetData>
    <row r="1" spans="1:13" x14ac:dyDescent="0.2">
      <c r="A1" s="169" t="str">
        <f>Contents!A1</f>
        <v>Kentucky Utilities Company</v>
      </c>
      <c r="K1" s="27" t="str">
        <f>Contents!A3</f>
        <v>Exhibit RCS-1</v>
      </c>
    </row>
    <row r="2" spans="1:13" x14ac:dyDescent="0.2">
      <c r="A2" s="169" t="s">
        <v>585</v>
      </c>
      <c r="K2" s="27" t="s">
        <v>56</v>
      </c>
    </row>
    <row r="3" spans="1:13" x14ac:dyDescent="0.2">
      <c r="A3" s="169"/>
      <c r="K3" s="27" t="str">
        <f>Contents!A2</f>
        <v>Case No. 2016-00370</v>
      </c>
    </row>
    <row r="4" spans="1:13" x14ac:dyDescent="0.2">
      <c r="A4" s="169" t="s">
        <v>328</v>
      </c>
      <c r="G4" s="99"/>
      <c r="K4" s="27" t="s">
        <v>37</v>
      </c>
    </row>
    <row r="5" spans="1:13" x14ac:dyDescent="0.2">
      <c r="E5" s="99"/>
      <c r="G5" s="99"/>
      <c r="K5" s="99"/>
    </row>
    <row r="6" spans="1:13" x14ac:dyDescent="0.2">
      <c r="E6" s="99" t="s">
        <v>216</v>
      </c>
      <c r="G6" s="99"/>
      <c r="I6" s="99"/>
      <c r="J6" s="99"/>
      <c r="K6" s="99"/>
    </row>
    <row r="7" spans="1:13" x14ac:dyDescent="0.2">
      <c r="A7" s="99" t="s">
        <v>0</v>
      </c>
      <c r="E7" s="99" t="s">
        <v>220</v>
      </c>
      <c r="G7" s="99"/>
      <c r="I7" s="99"/>
      <c r="J7" s="99"/>
      <c r="K7" s="99"/>
    </row>
    <row r="8" spans="1:13" x14ac:dyDescent="0.2">
      <c r="A8" s="220" t="s">
        <v>2</v>
      </c>
      <c r="C8" s="2" t="s">
        <v>3</v>
      </c>
      <c r="D8" s="13"/>
      <c r="E8" s="220" t="s">
        <v>16</v>
      </c>
      <c r="G8" s="220" t="s">
        <v>15</v>
      </c>
      <c r="H8" s="12"/>
      <c r="I8" s="12"/>
      <c r="J8" s="12"/>
      <c r="K8" s="12"/>
      <c r="L8" s="12"/>
      <c r="M8" s="12"/>
    </row>
    <row r="9" spans="1:13" x14ac:dyDescent="0.2">
      <c r="A9" s="99"/>
      <c r="E9" s="99" t="s">
        <v>6</v>
      </c>
      <c r="G9" s="99"/>
      <c r="H9" s="99"/>
      <c r="I9" s="99"/>
      <c r="J9" s="99"/>
      <c r="K9" s="99"/>
      <c r="L9" s="99"/>
      <c r="M9" s="99"/>
    </row>
    <row r="10" spans="1:13" x14ac:dyDescent="0.2">
      <c r="A10" s="99"/>
      <c r="E10" s="99"/>
    </row>
    <row r="11" spans="1:13" ht="13.5" thickBot="1" x14ac:dyDescent="0.25">
      <c r="A11" s="99">
        <v>1</v>
      </c>
      <c r="C11" s="1" t="s">
        <v>586</v>
      </c>
      <c r="E11" s="230">
        <f>-K29</f>
        <v>-3189557</v>
      </c>
      <c r="G11" s="99" t="s">
        <v>43</v>
      </c>
    </row>
    <row r="12" spans="1:13" ht="13.5" thickTop="1" x14ac:dyDescent="0.2">
      <c r="A12" s="99"/>
      <c r="E12" s="231"/>
      <c r="G12" s="99"/>
    </row>
    <row r="13" spans="1:13" ht="13.5" thickBot="1" x14ac:dyDescent="0.25">
      <c r="A13" s="99">
        <v>2</v>
      </c>
      <c r="C13" s="1" t="s">
        <v>594</v>
      </c>
      <c r="E13" s="230">
        <f>-K33</f>
        <v>-599502</v>
      </c>
      <c r="G13" s="99" t="s">
        <v>44</v>
      </c>
    </row>
    <row r="14" spans="1:13" ht="13.5" thickTop="1" x14ac:dyDescent="0.2">
      <c r="A14" s="99"/>
      <c r="E14" s="99"/>
    </row>
    <row r="16" spans="1:13" x14ac:dyDescent="0.2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3"/>
      <c r="M16" s="13"/>
    </row>
    <row r="17" spans="1:11" x14ac:dyDescent="0.2">
      <c r="A17" s="1" t="s">
        <v>592</v>
      </c>
    </row>
    <row r="19" spans="1:11" x14ac:dyDescent="0.2">
      <c r="G19" s="99" t="s">
        <v>28</v>
      </c>
      <c r="K19" s="99" t="s">
        <v>216</v>
      </c>
    </row>
    <row r="20" spans="1:11" x14ac:dyDescent="0.2">
      <c r="G20" s="99" t="s">
        <v>45</v>
      </c>
      <c r="I20" s="99" t="s">
        <v>216</v>
      </c>
      <c r="J20" s="99"/>
      <c r="K20" s="99" t="s">
        <v>220</v>
      </c>
    </row>
    <row r="21" spans="1:11" x14ac:dyDescent="0.2">
      <c r="E21" s="12" t="s">
        <v>470</v>
      </c>
      <c r="G21" s="99" t="s">
        <v>584</v>
      </c>
      <c r="I21" s="99" t="s">
        <v>220</v>
      </c>
      <c r="J21" s="99"/>
      <c r="K21" s="99" t="s">
        <v>584</v>
      </c>
    </row>
    <row r="22" spans="1:11" x14ac:dyDescent="0.2">
      <c r="C22" s="2" t="s">
        <v>3</v>
      </c>
      <c r="E22" s="220" t="s">
        <v>471</v>
      </c>
      <c r="G22" s="220" t="s">
        <v>16</v>
      </c>
      <c r="H22" s="12"/>
      <c r="I22" s="220" t="s">
        <v>597</v>
      </c>
      <c r="J22" s="12"/>
      <c r="K22" s="220" t="s">
        <v>16</v>
      </c>
    </row>
    <row r="23" spans="1:11" x14ac:dyDescent="0.2">
      <c r="A23" s="99"/>
      <c r="E23" s="99" t="s">
        <v>7</v>
      </c>
      <c r="F23" s="99"/>
      <c r="G23" s="99" t="s">
        <v>18</v>
      </c>
      <c r="H23" s="99"/>
      <c r="I23" s="99" t="s">
        <v>38</v>
      </c>
      <c r="J23" s="99"/>
      <c r="K23" s="99" t="s">
        <v>50</v>
      </c>
    </row>
    <row r="24" spans="1:11" x14ac:dyDescent="0.2">
      <c r="A24" s="99"/>
      <c r="E24" s="99"/>
      <c r="F24" s="99"/>
      <c r="G24" s="99"/>
      <c r="H24" s="99"/>
      <c r="I24" s="99"/>
      <c r="J24" s="99"/>
      <c r="K24" s="99"/>
    </row>
    <row r="25" spans="1:11" x14ac:dyDescent="0.2">
      <c r="A25" s="99">
        <v>3</v>
      </c>
      <c r="C25" s="1" t="s">
        <v>588</v>
      </c>
      <c r="E25" s="99">
        <v>586</v>
      </c>
      <c r="G25" s="4">
        <v>1173875</v>
      </c>
      <c r="I25" s="218">
        <v>0.9506972924082856</v>
      </c>
      <c r="K25" s="4">
        <f>ROUND(G25*I25,0)</f>
        <v>1116000</v>
      </c>
    </row>
    <row r="26" spans="1:11" x14ac:dyDescent="0.2">
      <c r="A26" s="99">
        <v>4</v>
      </c>
      <c r="C26" s="1" t="s">
        <v>523</v>
      </c>
      <c r="E26" s="99">
        <v>597</v>
      </c>
      <c r="G26" s="4">
        <v>1443099</v>
      </c>
      <c r="I26" s="218">
        <v>0.9506972924082856</v>
      </c>
      <c r="K26" s="4">
        <f t="shared" ref="K26:K28" si="0">ROUND(G26*I26,0)</f>
        <v>1371950</v>
      </c>
    </row>
    <row r="27" spans="1:11" x14ac:dyDescent="0.2">
      <c r="A27" s="99">
        <v>5</v>
      </c>
      <c r="C27" s="1" t="s">
        <v>589</v>
      </c>
      <c r="E27" s="99">
        <v>903</v>
      </c>
      <c r="G27" s="4">
        <v>640773.05999999994</v>
      </c>
      <c r="I27" s="218">
        <v>0.9487830986733472</v>
      </c>
      <c r="K27" s="4">
        <f t="shared" si="0"/>
        <v>607955</v>
      </c>
    </row>
    <row r="28" spans="1:11" x14ac:dyDescent="0.2">
      <c r="A28" s="99">
        <v>6</v>
      </c>
      <c r="C28" s="1" t="s">
        <v>590</v>
      </c>
      <c r="E28" s="99">
        <v>910</v>
      </c>
      <c r="G28" s="4">
        <v>93744.960000000006</v>
      </c>
      <c r="I28" s="218">
        <v>0.99900900564987449</v>
      </c>
      <c r="K28" s="4">
        <f t="shared" si="0"/>
        <v>93652</v>
      </c>
    </row>
    <row r="29" spans="1:11" ht="13.5" thickBot="1" x14ac:dyDescent="0.25">
      <c r="A29" s="99">
        <v>7</v>
      </c>
      <c r="C29" s="1" t="s">
        <v>591</v>
      </c>
      <c r="G29" s="45">
        <f>SUM(G25:G28)</f>
        <v>3351492.02</v>
      </c>
      <c r="I29" s="26"/>
      <c r="K29" s="45">
        <f>SUM(K25:K28)</f>
        <v>3189557</v>
      </c>
    </row>
    <row r="30" spans="1:11" ht="13.5" thickTop="1" x14ac:dyDescent="0.2">
      <c r="A30" s="99"/>
      <c r="G30" s="40"/>
      <c r="I30" s="26"/>
      <c r="K30" s="40"/>
    </row>
    <row r="31" spans="1:11" x14ac:dyDescent="0.2">
      <c r="A31" s="1" t="s">
        <v>595</v>
      </c>
    </row>
    <row r="33" spans="1:11" ht="13.5" thickBot="1" x14ac:dyDescent="0.25">
      <c r="A33" s="99">
        <v>8</v>
      </c>
      <c r="C33" s="1" t="s">
        <v>596</v>
      </c>
      <c r="E33" s="99">
        <v>403</v>
      </c>
      <c r="G33" s="20">
        <v>676000</v>
      </c>
      <c r="I33" s="218">
        <v>0.88683692417455817</v>
      </c>
      <c r="K33" s="20">
        <f t="shared" ref="K33" si="1">ROUND(G33*I33,0)</f>
        <v>599502</v>
      </c>
    </row>
    <row r="34" spans="1:11" ht="13.5" thickTop="1" x14ac:dyDescent="0.2">
      <c r="G34" s="44"/>
      <c r="I34" s="4"/>
    </row>
    <row r="35" spans="1:11" x14ac:dyDescent="0.2">
      <c r="A35" s="1" t="s">
        <v>598</v>
      </c>
      <c r="G35" s="44"/>
      <c r="I35" s="4"/>
    </row>
    <row r="36" spans="1:11" x14ac:dyDescent="0.2">
      <c r="G36" s="44"/>
      <c r="I36" s="4"/>
    </row>
    <row r="37" spans="1:11" x14ac:dyDescent="0.2">
      <c r="I37" s="4"/>
    </row>
    <row r="38" spans="1:11" x14ac:dyDescent="0.2">
      <c r="I38" s="4"/>
    </row>
    <row r="39" spans="1:11" x14ac:dyDescent="0.2">
      <c r="I39" s="44"/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20"/>
  <sheetViews>
    <sheetView workbookViewId="0">
      <selection activeCell="H63" sqref="H63"/>
    </sheetView>
  </sheetViews>
  <sheetFormatPr defaultRowHeight="12.75" x14ac:dyDescent="0.2"/>
  <cols>
    <col min="1" max="1" width="4.42578125" style="1" customWidth="1"/>
    <col min="2" max="2" width="1.140625" style="1" customWidth="1"/>
    <col min="3" max="3" width="68" style="1" bestFit="1" customWidth="1"/>
    <col min="4" max="4" width="1.140625" style="1" customWidth="1"/>
    <col min="5" max="5" width="10.7109375" style="1" customWidth="1"/>
    <col min="6" max="6" width="1.140625" style="1" customWidth="1"/>
    <col min="7" max="16384" width="9.140625" style="1"/>
  </cols>
  <sheetData>
    <row r="1" spans="1:7" x14ac:dyDescent="0.2">
      <c r="A1" s="169" t="s">
        <v>274</v>
      </c>
      <c r="B1" s="169"/>
      <c r="C1" s="169"/>
      <c r="G1" s="27" t="str">
        <f>Contents!A3</f>
        <v>Exhibit RCS-1</v>
      </c>
    </row>
    <row r="2" spans="1:7" x14ac:dyDescent="0.2">
      <c r="A2" s="169" t="s">
        <v>484</v>
      </c>
      <c r="B2" s="169"/>
      <c r="C2" s="169"/>
      <c r="G2" s="27" t="s">
        <v>68</v>
      </c>
    </row>
    <row r="3" spans="1:7" x14ac:dyDescent="0.2">
      <c r="A3" s="169"/>
      <c r="B3" s="169"/>
      <c r="C3" s="169"/>
      <c r="G3" s="27" t="str">
        <f>Contents!A2</f>
        <v>Case No. 2016-00370</v>
      </c>
    </row>
    <row r="4" spans="1:7" x14ac:dyDescent="0.2">
      <c r="A4" s="169" t="s">
        <v>328</v>
      </c>
      <c r="B4" s="169"/>
      <c r="C4" s="169"/>
      <c r="G4" s="27" t="s">
        <v>37</v>
      </c>
    </row>
    <row r="7" spans="1:7" x14ac:dyDescent="0.2">
      <c r="E7" s="99" t="s">
        <v>216</v>
      </c>
      <c r="F7" s="99"/>
      <c r="G7" s="99"/>
    </row>
    <row r="8" spans="1:7" x14ac:dyDescent="0.2">
      <c r="A8" s="99" t="s">
        <v>0</v>
      </c>
      <c r="E8" s="99" t="s">
        <v>220</v>
      </c>
      <c r="F8" s="99"/>
      <c r="G8" s="99"/>
    </row>
    <row r="9" spans="1:7" x14ac:dyDescent="0.2">
      <c r="A9" s="11" t="s">
        <v>2</v>
      </c>
      <c r="C9" s="2" t="s">
        <v>3</v>
      </c>
      <c r="E9" s="11" t="s">
        <v>16</v>
      </c>
      <c r="F9" s="99"/>
      <c r="G9" s="11" t="s">
        <v>15</v>
      </c>
    </row>
    <row r="10" spans="1:7" x14ac:dyDescent="0.2">
      <c r="A10" s="99"/>
      <c r="E10" s="99" t="s">
        <v>6</v>
      </c>
    </row>
    <row r="11" spans="1:7" x14ac:dyDescent="0.2">
      <c r="A11" s="99"/>
    </row>
    <row r="12" spans="1:7" x14ac:dyDescent="0.2">
      <c r="A12" s="99">
        <v>1</v>
      </c>
      <c r="C12" s="1" t="s">
        <v>485</v>
      </c>
      <c r="E12" s="19">
        <v>9992809</v>
      </c>
      <c r="G12" s="99" t="s">
        <v>43</v>
      </c>
    </row>
    <row r="13" spans="1:7" x14ac:dyDescent="0.2">
      <c r="A13" s="99">
        <v>2</v>
      </c>
      <c r="C13" s="1" t="s">
        <v>582</v>
      </c>
      <c r="E13" s="4">
        <v>5629253</v>
      </c>
      <c r="G13" s="99" t="s">
        <v>43</v>
      </c>
    </row>
    <row r="14" spans="1:7" ht="14.25" customHeight="1" x14ac:dyDescent="0.2">
      <c r="A14" s="99">
        <v>3</v>
      </c>
      <c r="C14" s="1" t="s">
        <v>486</v>
      </c>
      <c r="E14" s="95">
        <f>E13-E12</f>
        <v>-4363556</v>
      </c>
      <c r="G14" s="99" t="s">
        <v>265</v>
      </c>
    </row>
    <row r="15" spans="1:7" x14ac:dyDescent="0.2">
      <c r="A15" s="99">
        <v>4</v>
      </c>
      <c r="C15" s="1" t="s">
        <v>224</v>
      </c>
      <c r="E15" s="30">
        <v>0.90219034131862208</v>
      </c>
    </row>
    <row r="16" spans="1:7" ht="13.5" thickBot="1" x14ac:dyDescent="0.25">
      <c r="A16" s="99">
        <v>5</v>
      </c>
      <c r="C16" s="1" t="s">
        <v>558</v>
      </c>
      <c r="E16" s="18">
        <f>ROUND(E14*E15,0)</f>
        <v>-3936758</v>
      </c>
    </row>
    <row r="17" spans="1:7" ht="13.5" thickTop="1" x14ac:dyDescent="0.2"/>
    <row r="19" spans="1:7" x14ac:dyDescent="0.2">
      <c r="A19" s="2" t="s">
        <v>9</v>
      </c>
      <c r="B19" s="2"/>
      <c r="C19" s="2"/>
      <c r="D19" s="2"/>
      <c r="E19" s="2"/>
      <c r="F19" s="2"/>
      <c r="G19" s="2"/>
    </row>
    <row r="20" spans="1:7" x14ac:dyDescent="0.2">
      <c r="A20" s="1" t="s">
        <v>487</v>
      </c>
    </row>
  </sheetData>
  <pageMargins left="1.04" right="0.75" top="1" bottom="0.61" header="0.5" footer="0.5"/>
  <pageSetup scale="105" orientation="landscape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19" workbookViewId="0">
      <selection activeCell="H63" sqref="H63"/>
    </sheetView>
  </sheetViews>
  <sheetFormatPr defaultRowHeight="12.75" x14ac:dyDescent="0.2"/>
  <cols>
    <col min="1" max="1" width="6" style="1" customWidth="1"/>
    <col min="2" max="2" width="2.28515625" style="1" customWidth="1"/>
    <col min="3" max="3" width="41.5703125" style="1" customWidth="1"/>
    <col min="4" max="4" width="2.28515625" style="1" customWidth="1"/>
    <col min="5" max="5" width="13.85546875" style="1" customWidth="1"/>
    <col min="6" max="6" width="2.28515625" style="1" customWidth="1"/>
    <col min="7" max="7" width="13.5703125" style="1" customWidth="1"/>
    <col min="8" max="8" width="3.28515625" style="1" customWidth="1"/>
    <col min="9" max="9" width="15.28515625" style="1" customWidth="1"/>
    <col min="10" max="10" width="12.5703125" style="1" customWidth="1"/>
    <col min="11" max="16384" width="9.140625" style="1"/>
  </cols>
  <sheetData>
    <row r="1" spans="1:10" x14ac:dyDescent="0.2">
      <c r="A1" s="1" t="s">
        <v>274</v>
      </c>
      <c r="I1" s="27" t="s">
        <v>185</v>
      </c>
    </row>
    <row r="2" spans="1:10" x14ac:dyDescent="0.2">
      <c r="A2" s="1" t="s">
        <v>677</v>
      </c>
      <c r="I2" s="27" t="s">
        <v>223</v>
      </c>
    </row>
    <row r="3" spans="1:10" x14ac:dyDescent="0.2">
      <c r="I3" s="27" t="s">
        <v>275</v>
      </c>
    </row>
    <row r="4" spans="1:10" x14ac:dyDescent="0.2">
      <c r="A4" s="1" t="s">
        <v>328</v>
      </c>
      <c r="I4" s="27" t="s">
        <v>37</v>
      </c>
    </row>
    <row r="5" spans="1:10" x14ac:dyDescent="0.2">
      <c r="I5" s="27"/>
    </row>
    <row r="6" spans="1:10" x14ac:dyDescent="0.2">
      <c r="A6" s="99" t="s">
        <v>0</v>
      </c>
    </row>
    <row r="7" spans="1:10" x14ac:dyDescent="0.2">
      <c r="A7" s="233" t="s">
        <v>2</v>
      </c>
      <c r="C7" s="2" t="s">
        <v>3</v>
      </c>
      <c r="E7" s="2" t="s">
        <v>47</v>
      </c>
      <c r="G7" s="233" t="s">
        <v>158</v>
      </c>
      <c r="I7" s="233" t="s">
        <v>681</v>
      </c>
    </row>
    <row r="8" spans="1:10" x14ac:dyDescent="0.2">
      <c r="A8" s="99"/>
      <c r="E8" s="99" t="s">
        <v>6</v>
      </c>
      <c r="F8" s="99"/>
      <c r="G8" s="99" t="s">
        <v>7</v>
      </c>
      <c r="H8" s="99"/>
      <c r="I8" s="99" t="s">
        <v>682</v>
      </c>
    </row>
    <row r="9" spans="1:10" x14ac:dyDescent="0.2">
      <c r="A9" s="99"/>
    </row>
    <row r="10" spans="1:10" ht="13.5" thickBot="1" x14ac:dyDescent="0.25">
      <c r="A10" s="99">
        <v>1</v>
      </c>
      <c r="C10" s="1" t="s">
        <v>677</v>
      </c>
      <c r="E10" s="240">
        <f>G39</f>
        <v>5566157</v>
      </c>
      <c r="G10" s="240">
        <f>E47</f>
        <v>4629507.5520000001</v>
      </c>
      <c r="I10" s="240">
        <f>G10-E10</f>
        <v>-936649.44799999986</v>
      </c>
      <c r="J10" s="12"/>
    </row>
    <row r="11" spans="1:10" ht="13.5" thickTop="1" x14ac:dyDescent="0.2"/>
    <row r="12" spans="1:10" x14ac:dyDescent="0.2">
      <c r="A12" s="2" t="s">
        <v>374</v>
      </c>
      <c r="B12" s="2"/>
      <c r="C12" s="2"/>
      <c r="D12" s="2"/>
      <c r="E12" s="2"/>
      <c r="F12" s="2"/>
      <c r="G12" s="2"/>
      <c r="H12" s="2"/>
      <c r="I12" s="2"/>
    </row>
    <row r="13" spans="1:10" x14ac:dyDescent="0.2">
      <c r="A13" s="1" t="s">
        <v>683</v>
      </c>
    </row>
    <row r="15" spans="1:10" x14ac:dyDescent="0.2">
      <c r="E15" s="99" t="s">
        <v>809</v>
      </c>
      <c r="G15" s="99" t="s">
        <v>809</v>
      </c>
    </row>
    <row r="16" spans="1:10" x14ac:dyDescent="0.2">
      <c r="A16" s="233" t="s">
        <v>40</v>
      </c>
      <c r="B16" s="99"/>
      <c r="C16" s="233" t="s">
        <v>684</v>
      </c>
      <c r="D16" s="99"/>
      <c r="E16" s="64" t="s">
        <v>47</v>
      </c>
      <c r="F16" s="241"/>
      <c r="G16" s="233" t="s">
        <v>158</v>
      </c>
      <c r="H16" s="12"/>
    </row>
    <row r="17" spans="1:8" x14ac:dyDescent="0.2">
      <c r="A17" s="12"/>
      <c r="B17" s="99"/>
      <c r="C17" s="12"/>
      <c r="D17" s="99"/>
      <c r="E17" s="242" t="s">
        <v>43</v>
      </c>
      <c r="F17" s="241"/>
      <c r="G17" s="12" t="s">
        <v>44</v>
      </c>
      <c r="H17" s="12"/>
    </row>
    <row r="18" spans="1:8" x14ac:dyDescent="0.2">
      <c r="A18" s="12"/>
      <c r="B18" s="99"/>
      <c r="C18" s="12"/>
      <c r="D18" s="99"/>
      <c r="E18" s="242"/>
      <c r="F18" s="241"/>
      <c r="G18" s="12"/>
      <c r="H18" s="12"/>
    </row>
    <row r="19" spans="1:8" x14ac:dyDescent="0.2">
      <c r="A19" s="99">
        <f>A10+1</f>
        <v>2</v>
      </c>
      <c r="C19" s="99">
        <v>2011</v>
      </c>
      <c r="E19" s="5">
        <v>4.3E-3</v>
      </c>
      <c r="F19" s="5"/>
      <c r="G19" s="5"/>
      <c r="H19" s="5"/>
    </row>
    <row r="20" spans="1:8" x14ac:dyDescent="0.2">
      <c r="A20" s="99">
        <f>A19+1</f>
        <v>3</v>
      </c>
      <c r="C20" s="99">
        <v>2012</v>
      </c>
      <c r="E20" s="5">
        <v>2.8999999999999998E-3</v>
      </c>
      <c r="F20" s="5"/>
      <c r="G20" s="5">
        <f>E20</f>
        <v>2.8999999999999998E-3</v>
      </c>
      <c r="H20" s="5"/>
    </row>
    <row r="21" spans="1:8" x14ac:dyDescent="0.2">
      <c r="A21" s="99">
        <f t="shared" ref="A21:A24" si="0">A20+1</f>
        <v>4</v>
      </c>
      <c r="C21" s="99">
        <v>2013</v>
      </c>
      <c r="E21" s="5">
        <v>2.3E-3</v>
      </c>
      <c r="F21" s="5"/>
      <c r="G21" s="5">
        <f t="shared" ref="G21:G22" si="1">E21</f>
        <v>2.3E-3</v>
      </c>
      <c r="H21" s="5"/>
    </row>
    <row r="22" spans="1:8" x14ac:dyDescent="0.2">
      <c r="A22" s="99">
        <f t="shared" si="0"/>
        <v>5</v>
      </c>
      <c r="C22" s="99">
        <v>2014</v>
      </c>
      <c r="E22" s="5">
        <v>4.7999999999999996E-3</v>
      </c>
      <c r="F22" s="5"/>
      <c r="G22" s="5">
        <f t="shared" si="1"/>
        <v>4.7999999999999996E-3</v>
      </c>
      <c r="H22" s="5"/>
    </row>
    <row r="23" spans="1:8" x14ac:dyDescent="0.2">
      <c r="A23" s="99">
        <f t="shared" si="0"/>
        <v>6</v>
      </c>
      <c r="C23" s="99">
        <v>2015</v>
      </c>
      <c r="E23" s="5">
        <v>3.3E-3</v>
      </c>
      <c r="F23" s="5"/>
      <c r="G23" s="5">
        <v>3.3999999999999998E-3</v>
      </c>
      <c r="H23" s="1" t="s">
        <v>157</v>
      </c>
    </row>
    <row r="24" spans="1:8" x14ac:dyDescent="0.2">
      <c r="A24" s="99">
        <f t="shared" si="0"/>
        <v>7</v>
      </c>
      <c r="C24" s="99">
        <v>2016</v>
      </c>
      <c r="E24" s="5"/>
      <c r="F24" s="5"/>
      <c r="G24" s="5">
        <v>2.5999999999999999E-3</v>
      </c>
      <c r="H24" s="5"/>
    </row>
    <row r="25" spans="1:8" x14ac:dyDescent="0.2">
      <c r="A25" s="99"/>
      <c r="E25" s="5"/>
      <c r="F25" s="5"/>
      <c r="G25" s="5"/>
      <c r="H25" s="5"/>
    </row>
    <row r="26" spans="1:8" x14ac:dyDescent="0.2">
      <c r="A26" s="99"/>
      <c r="C26" s="1" t="s">
        <v>685</v>
      </c>
      <c r="E26" s="5"/>
      <c r="F26" s="5"/>
      <c r="G26" s="5"/>
      <c r="H26" s="5"/>
    </row>
    <row r="27" spans="1:8" ht="13.5" thickBot="1" x14ac:dyDescent="0.25">
      <c r="A27" s="99">
        <f>A24+1</f>
        <v>8</v>
      </c>
      <c r="C27" s="1" t="s">
        <v>686</v>
      </c>
      <c r="E27" s="243">
        <f>ROUND(AVERAGE(E19:E23),5)</f>
        <v>3.5200000000000001E-3</v>
      </c>
      <c r="G27" s="243">
        <f>ROUND(AVERAGE(G20:G24),5)</f>
        <v>3.2000000000000002E-3</v>
      </c>
      <c r="H27" s="37"/>
    </row>
    <row r="28" spans="1:8" ht="13.5" thickTop="1" x14ac:dyDescent="0.2"/>
    <row r="29" spans="1:8" x14ac:dyDescent="0.2">
      <c r="A29" s="1" t="s">
        <v>687</v>
      </c>
    </row>
    <row r="30" spans="1:8" x14ac:dyDescent="0.2">
      <c r="A30" s="1" t="s">
        <v>688</v>
      </c>
    </row>
    <row r="32" spans="1:8" x14ac:dyDescent="0.2">
      <c r="A32" s="1" t="s">
        <v>810</v>
      </c>
    </row>
    <row r="33" spans="1:7" x14ac:dyDescent="0.2">
      <c r="A33" s="1" t="s">
        <v>689</v>
      </c>
    </row>
    <row r="35" spans="1:7" x14ac:dyDescent="0.2">
      <c r="C35" s="1" t="s">
        <v>690</v>
      </c>
    </row>
    <row r="37" spans="1:7" x14ac:dyDescent="0.2">
      <c r="C37" s="1" t="s">
        <v>691</v>
      </c>
    </row>
    <row r="38" spans="1:7" ht="25.5" x14ac:dyDescent="0.2">
      <c r="E38" s="64" t="s">
        <v>692</v>
      </c>
      <c r="G38" s="64" t="s">
        <v>693</v>
      </c>
    </row>
    <row r="39" spans="1:7" x14ac:dyDescent="0.2">
      <c r="A39" s="99">
        <f>A27+1</f>
        <v>9</v>
      </c>
      <c r="C39" s="1" t="s">
        <v>694</v>
      </c>
      <c r="E39" s="4">
        <v>5866627</v>
      </c>
      <c r="F39" s="4"/>
      <c r="G39" s="4">
        <v>5566157</v>
      </c>
    </row>
    <row r="40" spans="1:7" x14ac:dyDescent="0.2">
      <c r="A40" s="99">
        <f>A39+1</f>
        <v>10</v>
      </c>
      <c r="C40" s="1" t="s">
        <v>695</v>
      </c>
      <c r="E40" s="4">
        <v>1672099144</v>
      </c>
      <c r="F40" s="4"/>
      <c r="G40" s="4">
        <v>1446721110</v>
      </c>
    </row>
    <row r="41" spans="1:7" x14ac:dyDescent="0.2">
      <c r="A41" s="99"/>
      <c r="C41" s="1" t="s">
        <v>685</v>
      </c>
    </row>
    <row r="42" spans="1:7" ht="13.5" thickBot="1" x14ac:dyDescent="0.25">
      <c r="A42" s="99">
        <f>A40+1</f>
        <v>11</v>
      </c>
      <c r="C42" s="1" t="s">
        <v>696</v>
      </c>
      <c r="E42" s="168">
        <f>E39/E40</f>
        <v>3.5085401610611671E-3</v>
      </c>
      <c r="F42" s="167"/>
      <c r="G42" s="168">
        <f>G39/G40</f>
        <v>3.8474291703671898E-3</v>
      </c>
    </row>
    <row r="43" spans="1:7" ht="13.5" thickTop="1" x14ac:dyDescent="0.2"/>
    <row r="44" spans="1:7" x14ac:dyDescent="0.2">
      <c r="C44" s="1" t="s">
        <v>697</v>
      </c>
    </row>
    <row r="45" spans="1:7" x14ac:dyDescent="0.2">
      <c r="A45" s="99">
        <f>A42+1</f>
        <v>12</v>
      </c>
      <c r="C45" s="1" t="s">
        <v>811</v>
      </c>
      <c r="E45" s="4">
        <f>G40</f>
        <v>1446721110</v>
      </c>
      <c r="F45" s="1" t="s">
        <v>698</v>
      </c>
    </row>
    <row r="46" spans="1:7" x14ac:dyDescent="0.2">
      <c r="A46" s="99">
        <f>A45+1</f>
        <v>13</v>
      </c>
      <c r="C46" s="1" t="s">
        <v>699</v>
      </c>
      <c r="E46" s="86">
        <f>G27</f>
        <v>3.2000000000000002E-3</v>
      </c>
    </row>
    <row r="47" spans="1:7" ht="13.5" thickBot="1" x14ac:dyDescent="0.25">
      <c r="A47" s="99">
        <f>A46+1</f>
        <v>14</v>
      </c>
      <c r="C47" s="1" t="s">
        <v>677</v>
      </c>
      <c r="E47" s="18">
        <f>E45*E46</f>
        <v>4629507.5520000001</v>
      </c>
    </row>
    <row r="48" spans="1:7" ht="13.5" thickTop="1" x14ac:dyDescent="0.2"/>
    <row r="49" spans="1:1" x14ac:dyDescent="0.2">
      <c r="A49" s="1" t="s">
        <v>700</v>
      </c>
    </row>
  </sheetData>
  <pageMargins left="0.7" right="0.7" top="0.75" bottom="0.75" header="0.3" footer="0.3"/>
  <pageSetup scale="9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J29"/>
  <sheetViews>
    <sheetView workbookViewId="0">
      <selection activeCell="H63" sqref="H63"/>
    </sheetView>
  </sheetViews>
  <sheetFormatPr defaultRowHeight="12.75" x14ac:dyDescent="0.2"/>
  <cols>
    <col min="1" max="1" width="5" style="1" customWidth="1"/>
    <col min="2" max="2" width="1.42578125" style="1" customWidth="1"/>
    <col min="3" max="3" width="84.140625" style="1" bestFit="1" customWidth="1"/>
    <col min="4" max="4" width="1.140625" style="1" customWidth="1"/>
    <col min="5" max="5" width="13.85546875" style="1" bestFit="1" customWidth="1"/>
    <col min="6" max="6" width="1.140625" style="1" customWidth="1"/>
    <col min="7" max="7" width="14" style="1" customWidth="1"/>
    <col min="8" max="8" width="1.140625" style="1" customWidth="1"/>
    <col min="9" max="9" width="9.28515625" style="1" bestFit="1" customWidth="1"/>
    <col min="10" max="16384" width="9.140625" style="1"/>
  </cols>
  <sheetData>
    <row r="1" spans="1:10" x14ac:dyDescent="0.2">
      <c r="A1" s="1" t="str">
        <f>Contents!A1</f>
        <v>Kentucky Utilities Company</v>
      </c>
      <c r="G1" s="27" t="str">
        <f>Contents!A3</f>
        <v>Exhibit RCS-1</v>
      </c>
    </row>
    <row r="2" spans="1:10" x14ac:dyDescent="0.2">
      <c r="A2" s="1" t="s">
        <v>660</v>
      </c>
      <c r="G2" s="27" t="s">
        <v>232</v>
      </c>
    </row>
    <row r="3" spans="1:10" x14ac:dyDescent="0.2">
      <c r="G3" s="27" t="str">
        <f>Contents!A2</f>
        <v>Case No. 2016-00370</v>
      </c>
    </row>
    <row r="4" spans="1:10" x14ac:dyDescent="0.2">
      <c r="A4" s="1" t="s">
        <v>328</v>
      </c>
      <c r="G4" s="27" t="s">
        <v>37</v>
      </c>
    </row>
    <row r="6" spans="1:10" x14ac:dyDescent="0.2">
      <c r="A6" s="99" t="s">
        <v>0</v>
      </c>
      <c r="E6" s="99"/>
      <c r="F6" s="99"/>
      <c r="G6" s="99"/>
    </row>
    <row r="7" spans="1:10" x14ac:dyDescent="0.2">
      <c r="A7" s="233" t="s">
        <v>2</v>
      </c>
      <c r="C7" s="2" t="s">
        <v>3</v>
      </c>
      <c r="E7" s="233" t="s">
        <v>16</v>
      </c>
      <c r="F7" s="99"/>
      <c r="G7" s="233" t="s">
        <v>15</v>
      </c>
    </row>
    <row r="8" spans="1:10" x14ac:dyDescent="0.2">
      <c r="A8" s="99"/>
      <c r="E8" s="99" t="s">
        <v>6</v>
      </c>
    </row>
    <row r="9" spans="1:10" x14ac:dyDescent="0.2">
      <c r="A9" s="99"/>
      <c r="E9" s="99"/>
    </row>
    <row r="10" spans="1:10" x14ac:dyDescent="0.2">
      <c r="A10" s="99">
        <v>1</v>
      </c>
      <c r="C10" s="1" t="s">
        <v>661</v>
      </c>
      <c r="E10" s="19">
        <f>E26</f>
        <v>-188940</v>
      </c>
      <c r="G10" s="99" t="s">
        <v>43</v>
      </c>
    </row>
    <row r="11" spans="1:10" x14ac:dyDescent="0.2">
      <c r="A11" s="99">
        <v>2</v>
      </c>
      <c r="C11" s="1" t="s">
        <v>224</v>
      </c>
      <c r="E11" s="15">
        <v>0.88683692417455817</v>
      </c>
      <c r="G11" s="99"/>
    </row>
    <row r="12" spans="1:10" ht="13.5" thickBot="1" x14ac:dyDescent="0.25">
      <c r="A12" s="99">
        <v>3</v>
      </c>
      <c r="C12" s="1" t="s">
        <v>800</v>
      </c>
      <c r="E12" s="18">
        <f>ROUND(E10*E11,0)</f>
        <v>-167559</v>
      </c>
      <c r="G12" s="99"/>
    </row>
    <row r="13" spans="1:10" ht="13.5" thickTop="1" x14ac:dyDescent="0.2"/>
    <row r="15" spans="1:10" x14ac:dyDescent="0.2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1" t="s">
        <v>662</v>
      </c>
    </row>
    <row r="18" spans="1:7" x14ac:dyDescent="0.2">
      <c r="C18" s="2" t="s">
        <v>3</v>
      </c>
      <c r="E18" s="233" t="s">
        <v>16</v>
      </c>
      <c r="F18" s="99"/>
      <c r="G18" s="233" t="s">
        <v>15</v>
      </c>
    </row>
    <row r="19" spans="1:7" x14ac:dyDescent="0.2">
      <c r="C19" s="13"/>
      <c r="E19" s="12"/>
      <c r="F19" s="99"/>
      <c r="G19" s="12"/>
    </row>
    <row r="20" spans="1:7" x14ac:dyDescent="0.2">
      <c r="A20" s="99">
        <v>4</v>
      </c>
      <c r="C20" s="1" t="s">
        <v>663</v>
      </c>
      <c r="E20" s="19">
        <v>228062836.91437551</v>
      </c>
      <c r="G20" s="99" t="s">
        <v>664</v>
      </c>
    </row>
    <row r="21" spans="1:7" x14ac:dyDescent="0.2">
      <c r="A21" s="99">
        <v>5</v>
      </c>
      <c r="C21" s="1" t="s">
        <v>665</v>
      </c>
      <c r="E21" s="4">
        <v>6970368267.9741955</v>
      </c>
      <c r="G21" s="99" t="s">
        <v>666</v>
      </c>
    </row>
    <row r="22" spans="1:7" ht="13.5" thickBot="1" x14ac:dyDescent="0.25">
      <c r="A22" s="99">
        <v>6</v>
      </c>
      <c r="C22" s="1" t="s">
        <v>667</v>
      </c>
      <c r="E22" s="238">
        <f>E20/E21</f>
        <v>3.2718907831918276E-2</v>
      </c>
      <c r="G22" s="99" t="s">
        <v>668</v>
      </c>
    </row>
    <row r="23" spans="1:7" ht="13.5" thickTop="1" x14ac:dyDescent="0.2">
      <c r="A23" s="99"/>
    </row>
    <row r="24" spans="1:7" x14ac:dyDescent="0.2">
      <c r="A24" s="99">
        <v>7</v>
      </c>
      <c r="C24" s="1" t="s">
        <v>669</v>
      </c>
      <c r="E24" s="19">
        <f>'B-1'!O10</f>
        <v>-5774633.0096027553</v>
      </c>
      <c r="G24" s="99" t="s">
        <v>670</v>
      </c>
    </row>
    <row r="25" spans="1:7" x14ac:dyDescent="0.2">
      <c r="A25" s="99">
        <v>8</v>
      </c>
      <c r="C25" s="1" t="s">
        <v>671</v>
      </c>
      <c r="E25" s="5">
        <f>E22</f>
        <v>3.2718907831918276E-2</v>
      </c>
      <c r="G25" s="99" t="s">
        <v>672</v>
      </c>
    </row>
    <row r="26" spans="1:7" ht="13.5" thickBot="1" x14ac:dyDescent="0.25">
      <c r="A26" s="99">
        <v>9</v>
      </c>
      <c r="C26" s="1" t="s">
        <v>673</v>
      </c>
      <c r="E26" s="18">
        <f>ROUND(E24*E25,0)</f>
        <v>-188940</v>
      </c>
      <c r="G26" s="99" t="s">
        <v>674</v>
      </c>
    </row>
    <row r="27" spans="1:7" ht="13.5" thickTop="1" x14ac:dyDescent="0.2"/>
    <row r="28" spans="1:7" x14ac:dyDescent="0.2">
      <c r="E28" s="4"/>
    </row>
    <row r="29" spans="1:7" x14ac:dyDescent="0.2">
      <c r="E29" s="44"/>
    </row>
  </sheetData>
  <pageMargins left="0.75" right="0.75" top="1" bottom="0.64" header="0.5" footer="0.5"/>
  <pageSetup scale="87" fitToHeight="3" orientation="landscape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4"/>
  <sheetViews>
    <sheetView workbookViewId="0">
      <selection activeCell="H63" sqref="H63"/>
    </sheetView>
  </sheetViews>
  <sheetFormatPr defaultRowHeight="12.75" x14ac:dyDescent="0.2"/>
  <cols>
    <col min="1" max="1" width="4.42578125" style="1" customWidth="1"/>
    <col min="2" max="2" width="1.140625" style="1" customWidth="1"/>
    <col min="3" max="3" width="90.5703125" style="1" bestFit="1" customWidth="1"/>
    <col min="4" max="4" width="1" style="1" customWidth="1"/>
    <col min="5" max="5" width="11.5703125" style="1" bestFit="1" customWidth="1"/>
    <col min="6" max="6" width="1.140625" style="1" customWidth="1"/>
    <col min="7" max="7" width="11.140625" style="1" customWidth="1"/>
    <col min="8" max="8" width="0.85546875" style="1" customWidth="1"/>
    <col min="9" max="9" width="11.28515625" style="1" bestFit="1" customWidth="1"/>
    <col min="10" max="10" width="1.140625" style="1" customWidth="1"/>
    <col min="11" max="11" width="11.28515625" style="1" customWidth="1"/>
    <col min="12" max="16384" width="9.140625" style="1"/>
  </cols>
  <sheetData>
    <row r="1" spans="1:11" x14ac:dyDescent="0.2">
      <c r="A1" s="1" t="str">
        <f>Contents!A1</f>
        <v>Kentucky Utilities Company</v>
      </c>
      <c r="G1" s="27"/>
      <c r="K1" s="27" t="str">
        <f>Contents!A3</f>
        <v>Exhibit RCS-1</v>
      </c>
    </row>
    <row r="2" spans="1:11" x14ac:dyDescent="0.2">
      <c r="A2" s="1" t="s">
        <v>574</v>
      </c>
      <c r="G2" s="27"/>
      <c r="K2" s="27" t="s">
        <v>233</v>
      </c>
    </row>
    <row r="3" spans="1:11" x14ac:dyDescent="0.2">
      <c r="G3" s="27"/>
      <c r="K3" s="27" t="str">
        <f>Contents!A2</f>
        <v>Case No. 2016-00370</v>
      </c>
    </row>
    <row r="4" spans="1:11" x14ac:dyDescent="0.2">
      <c r="A4" s="1" t="s">
        <v>328</v>
      </c>
      <c r="G4" s="27"/>
      <c r="K4" s="27" t="s">
        <v>37</v>
      </c>
    </row>
    <row r="6" spans="1:11" x14ac:dyDescent="0.2">
      <c r="E6" s="99"/>
      <c r="F6" s="99"/>
      <c r="G6" s="99"/>
    </row>
    <row r="7" spans="1:11" x14ac:dyDescent="0.2">
      <c r="A7" s="99" t="s">
        <v>0</v>
      </c>
      <c r="E7" s="99"/>
      <c r="F7" s="99"/>
      <c r="G7" s="99"/>
    </row>
    <row r="8" spans="1:11" x14ac:dyDescent="0.2">
      <c r="A8" s="11" t="s">
        <v>2</v>
      </c>
      <c r="C8" s="2" t="s">
        <v>3</v>
      </c>
      <c r="E8" s="11" t="s">
        <v>16</v>
      </c>
      <c r="F8" s="99"/>
      <c r="G8" s="11" t="s">
        <v>15</v>
      </c>
    </row>
    <row r="9" spans="1:11" x14ac:dyDescent="0.2">
      <c r="A9" s="99"/>
      <c r="C9" s="14"/>
      <c r="E9" s="99" t="s">
        <v>6</v>
      </c>
    </row>
    <row r="10" spans="1:11" x14ac:dyDescent="0.2">
      <c r="A10" s="99"/>
      <c r="C10" s="56"/>
      <c r="E10" s="99"/>
    </row>
    <row r="11" spans="1:11" x14ac:dyDescent="0.2">
      <c r="A11" s="99">
        <v>1</v>
      </c>
      <c r="C11" s="1" t="s">
        <v>575</v>
      </c>
      <c r="E11" s="19">
        <f>-K29</f>
        <v>-76480.131999999998</v>
      </c>
      <c r="G11" s="99" t="s">
        <v>43</v>
      </c>
    </row>
    <row r="12" spans="1:11" x14ac:dyDescent="0.2">
      <c r="A12" s="99">
        <v>2</v>
      </c>
      <c r="C12" s="1" t="s">
        <v>675</v>
      </c>
      <c r="E12" s="30">
        <f>'B-1'!K10</f>
        <v>0.97204000000000002</v>
      </c>
      <c r="G12" s="99"/>
    </row>
    <row r="13" spans="1:11" x14ac:dyDescent="0.2">
      <c r="A13" s="99">
        <v>3</v>
      </c>
      <c r="C13" s="1" t="s">
        <v>676</v>
      </c>
      <c r="E13" s="95">
        <f>ROUND(E11*E12,0)</f>
        <v>-74342</v>
      </c>
      <c r="G13" s="99"/>
    </row>
    <row r="14" spans="1:11" x14ac:dyDescent="0.2">
      <c r="A14" s="99">
        <v>4</v>
      </c>
      <c r="C14" s="1" t="s">
        <v>224</v>
      </c>
      <c r="E14" s="30">
        <v>0.88683692417455817</v>
      </c>
      <c r="G14" s="99"/>
    </row>
    <row r="15" spans="1:11" ht="13.5" thickBot="1" x14ac:dyDescent="0.25">
      <c r="A15" s="99">
        <v>5</v>
      </c>
      <c r="C15" s="1" t="s">
        <v>799</v>
      </c>
      <c r="E15" s="18">
        <f>ROUND(E13*E14,0)</f>
        <v>-65929</v>
      </c>
      <c r="G15" s="99"/>
    </row>
    <row r="16" spans="1:11" ht="13.5" thickTop="1" x14ac:dyDescent="0.2">
      <c r="A16" s="99"/>
      <c r="E16" s="124"/>
      <c r="G16" s="99"/>
    </row>
    <row r="19" spans="1:11" x14ac:dyDescent="0.2">
      <c r="A19" s="2" t="s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1" t="s">
        <v>576</v>
      </c>
    </row>
    <row r="22" spans="1:11" x14ac:dyDescent="0.2">
      <c r="G22" s="99" t="s">
        <v>160</v>
      </c>
      <c r="K22" s="99"/>
    </row>
    <row r="23" spans="1:11" x14ac:dyDescent="0.2">
      <c r="G23" s="99" t="s">
        <v>220</v>
      </c>
      <c r="I23" s="99" t="s">
        <v>577</v>
      </c>
      <c r="K23" s="99" t="s">
        <v>220</v>
      </c>
    </row>
    <row r="24" spans="1:11" x14ac:dyDescent="0.2">
      <c r="E24" s="99" t="s">
        <v>565</v>
      </c>
      <c r="G24" s="99" t="s">
        <v>34</v>
      </c>
      <c r="I24" s="99" t="s">
        <v>578</v>
      </c>
      <c r="K24" s="12" t="s">
        <v>578</v>
      </c>
    </row>
    <row r="25" spans="1:11" x14ac:dyDescent="0.2">
      <c r="C25" s="2" t="s">
        <v>3</v>
      </c>
      <c r="E25" s="219" t="s">
        <v>471</v>
      </c>
      <c r="G25" s="219" t="s">
        <v>580</v>
      </c>
      <c r="I25" s="219" t="s">
        <v>579</v>
      </c>
      <c r="K25" s="219" t="s">
        <v>228</v>
      </c>
    </row>
    <row r="26" spans="1:11" x14ac:dyDescent="0.2">
      <c r="E26" s="12"/>
      <c r="G26" s="12" t="s">
        <v>7</v>
      </c>
    </row>
    <row r="27" spans="1:11" x14ac:dyDescent="0.2">
      <c r="A27" s="99">
        <v>6</v>
      </c>
      <c r="C27" s="10" t="s">
        <v>563</v>
      </c>
      <c r="E27" s="99">
        <v>365</v>
      </c>
      <c r="G27" s="4">
        <f>'B-2'!M20</f>
        <v>2879000</v>
      </c>
      <c r="I27" s="17">
        <v>2.47E-2</v>
      </c>
      <c r="K27" s="4">
        <f>I27*G27</f>
        <v>71111.3</v>
      </c>
    </row>
    <row r="28" spans="1:11" x14ac:dyDescent="0.2">
      <c r="A28" s="99">
        <v>7</v>
      </c>
      <c r="C28" s="10" t="s">
        <v>564</v>
      </c>
      <c r="E28" s="99">
        <v>397</v>
      </c>
      <c r="G28" s="4">
        <f>'B-2'!M21</f>
        <v>109568</v>
      </c>
      <c r="I28" s="17">
        <v>4.9000000000000002E-2</v>
      </c>
      <c r="K28" s="4">
        <f>I28*G28</f>
        <v>5368.8320000000003</v>
      </c>
    </row>
    <row r="29" spans="1:11" ht="13.5" thickBot="1" x14ac:dyDescent="0.25">
      <c r="A29" s="99">
        <v>8</v>
      </c>
      <c r="C29" s="1" t="s">
        <v>779</v>
      </c>
      <c r="G29" s="18">
        <f>G27+G28</f>
        <v>2988568</v>
      </c>
      <c r="K29" s="18">
        <f>K27+K28</f>
        <v>76480.131999999998</v>
      </c>
    </row>
    <row r="30" spans="1:11" ht="13.5" thickTop="1" x14ac:dyDescent="0.2"/>
    <row r="32" spans="1:11" x14ac:dyDescent="0.2">
      <c r="A32" s="1" t="s">
        <v>581</v>
      </c>
    </row>
    <row r="33" spans="11:11" x14ac:dyDescent="0.2">
      <c r="K33" s="228"/>
    </row>
    <row r="34" spans="11:11" x14ac:dyDescent="0.2">
      <c r="K34" s="228"/>
    </row>
  </sheetData>
  <pageMargins left="0.75" right="0.75" top="0.65" bottom="0.45" header="0.5" footer="0.3"/>
  <pageSetup scale="84" orientation="landscape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Q25"/>
  <sheetViews>
    <sheetView workbookViewId="0">
      <selection activeCell="H63" sqref="H63"/>
    </sheetView>
  </sheetViews>
  <sheetFormatPr defaultRowHeight="12.75" x14ac:dyDescent="0.2"/>
  <cols>
    <col min="1" max="1" width="5" style="1" customWidth="1"/>
    <col min="2" max="2" width="1.42578125" style="1" customWidth="1"/>
    <col min="3" max="3" width="57.5703125" style="1" customWidth="1"/>
    <col min="4" max="4" width="1.140625" style="1" customWidth="1"/>
    <col min="5" max="5" width="12.28515625" style="1" customWidth="1"/>
    <col min="6" max="6" width="1.28515625" style="1" customWidth="1"/>
    <col min="7" max="7" width="12.28515625" style="1" customWidth="1"/>
    <col min="8" max="8" width="1.28515625" style="1" customWidth="1"/>
    <col min="9" max="9" width="11.140625" style="1" customWidth="1"/>
    <col min="10" max="10" width="1.140625" style="1" customWidth="1"/>
    <col min="11" max="11" width="10.140625" style="1" customWidth="1"/>
    <col min="12" max="12" width="1.140625" style="1" customWidth="1"/>
    <col min="13" max="13" width="12.7109375" style="1" bestFit="1" customWidth="1"/>
    <col min="14" max="14" width="1.28515625" style="1" customWidth="1"/>
    <col min="15" max="15" width="31.140625" style="1" bestFit="1" customWidth="1"/>
    <col min="16" max="16384" width="9.140625" style="1"/>
  </cols>
  <sheetData>
    <row r="1" spans="1:11" x14ac:dyDescent="0.2">
      <c r="A1" s="1" t="str">
        <f>Contents!A1</f>
        <v>Kentucky Utilities Company</v>
      </c>
      <c r="I1" s="27" t="str">
        <f>Contents!A3</f>
        <v>Exhibit RCS-1</v>
      </c>
      <c r="K1" s="27"/>
    </row>
    <row r="2" spans="1:11" x14ac:dyDescent="0.2">
      <c r="A2" s="1" t="s">
        <v>649</v>
      </c>
      <c r="I2" s="27" t="s">
        <v>237</v>
      </c>
      <c r="K2" s="27"/>
    </row>
    <row r="3" spans="1:11" x14ac:dyDescent="0.2">
      <c r="I3" s="27" t="str">
        <f>Contents!A2</f>
        <v>Case No. 2016-00370</v>
      </c>
      <c r="K3" s="27"/>
    </row>
    <row r="4" spans="1:11" x14ac:dyDescent="0.2">
      <c r="A4" s="1" t="s">
        <v>328</v>
      </c>
      <c r="I4" s="27" t="s">
        <v>194</v>
      </c>
      <c r="K4" s="27"/>
    </row>
    <row r="5" spans="1:11" x14ac:dyDescent="0.2">
      <c r="K5" s="27"/>
    </row>
    <row r="6" spans="1:11" x14ac:dyDescent="0.2">
      <c r="K6" s="27"/>
    </row>
    <row r="7" spans="1:11" x14ac:dyDescent="0.2">
      <c r="E7" s="99" t="s">
        <v>216</v>
      </c>
      <c r="G7" s="99" t="s">
        <v>216</v>
      </c>
      <c r="H7" s="99"/>
      <c r="I7" s="99"/>
      <c r="K7" s="27"/>
    </row>
    <row r="8" spans="1:11" x14ac:dyDescent="0.2">
      <c r="E8" s="99" t="s">
        <v>220</v>
      </c>
      <c r="G8" s="99" t="s">
        <v>220</v>
      </c>
      <c r="H8" s="99"/>
      <c r="I8" s="99"/>
    </row>
    <row r="9" spans="1:11" x14ac:dyDescent="0.2">
      <c r="A9" s="99" t="s">
        <v>0</v>
      </c>
      <c r="E9" s="99" t="s">
        <v>326</v>
      </c>
      <c r="F9" s="99"/>
      <c r="G9" s="99" t="s">
        <v>610</v>
      </c>
      <c r="H9" s="99"/>
      <c r="I9" s="99" t="s">
        <v>28</v>
      </c>
      <c r="J9" s="99"/>
      <c r="K9" s="99"/>
    </row>
    <row r="10" spans="1:11" x14ac:dyDescent="0.2">
      <c r="A10" s="11" t="s">
        <v>2</v>
      </c>
      <c r="C10" s="2" t="s">
        <v>3</v>
      </c>
      <c r="E10" s="11" t="s">
        <v>16</v>
      </c>
      <c r="F10" s="12"/>
      <c r="G10" s="229" t="s">
        <v>16</v>
      </c>
      <c r="H10" s="12"/>
      <c r="I10" s="229" t="s">
        <v>34</v>
      </c>
      <c r="J10" s="99"/>
      <c r="K10" s="12"/>
    </row>
    <row r="11" spans="1:11" x14ac:dyDescent="0.2">
      <c r="A11" s="99"/>
      <c r="E11" s="99" t="s">
        <v>6</v>
      </c>
      <c r="F11" s="99"/>
      <c r="G11" s="99" t="s">
        <v>7</v>
      </c>
      <c r="H11" s="99"/>
      <c r="I11" s="99" t="s">
        <v>18</v>
      </c>
      <c r="K11" s="13"/>
    </row>
    <row r="12" spans="1:11" x14ac:dyDescent="0.2">
      <c r="A12" s="99"/>
      <c r="E12" s="99"/>
      <c r="F12" s="99"/>
      <c r="G12" s="99"/>
      <c r="H12" s="99"/>
      <c r="I12" s="99"/>
      <c r="K12" s="13"/>
    </row>
    <row r="13" spans="1:11" x14ac:dyDescent="0.2">
      <c r="A13" s="99">
        <v>1</v>
      </c>
      <c r="C13" s="1" t="s">
        <v>632</v>
      </c>
      <c r="E13" s="19">
        <f>-'C-8 P2'!I19</f>
        <v>-194442</v>
      </c>
      <c r="F13" s="19"/>
      <c r="G13" s="19">
        <f>-'C-8 P3'!I20</f>
        <v>-1254202</v>
      </c>
      <c r="H13" s="19"/>
      <c r="I13" s="19">
        <f>E13+G13</f>
        <v>-1448644</v>
      </c>
      <c r="K13" s="12"/>
    </row>
    <row r="14" spans="1:11" x14ac:dyDescent="0.2">
      <c r="A14" s="99">
        <v>2</v>
      </c>
      <c r="C14" s="1" t="s">
        <v>633</v>
      </c>
      <c r="E14" s="19">
        <f>-'C-8 P2'!I33</f>
        <v>-53386</v>
      </c>
      <c r="F14" s="19"/>
      <c r="G14" s="19">
        <f>-'C-8 P3'!I37</f>
        <v>-271750.42800000001</v>
      </c>
      <c r="H14" s="19"/>
      <c r="I14" s="19">
        <f>E14+G14</f>
        <v>-325136.42800000001</v>
      </c>
      <c r="K14" s="12"/>
    </row>
    <row r="15" spans="1:11" ht="13.5" thickBot="1" x14ac:dyDescent="0.25">
      <c r="A15" s="99">
        <v>3</v>
      </c>
      <c r="C15" s="1" t="s">
        <v>566</v>
      </c>
      <c r="E15" s="18">
        <f>E13+E14</f>
        <v>-247828</v>
      </c>
      <c r="F15" s="19"/>
      <c r="G15" s="18">
        <f>G13+G14</f>
        <v>-1525952.4280000001</v>
      </c>
      <c r="H15" s="19"/>
      <c r="I15" s="18">
        <f>I13+I14</f>
        <v>-1773780.4280000001</v>
      </c>
      <c r="K15" s="12"/>
    </row>
    <row r="16" spans="1:11" ht="13.5" thickTop="1" x14ac:dyDescent="0.2">
      <c r="A16" s="99"/>
      <c r="E16" s="19"/>
      <c r="F16" s="19"/>
      <c r="G16" s="19"/>
      <c r="H16" s="19"/>
      <c r="I16" s="19"/>
      <c r="K16" s="12"/>
    </row>
    <row r="17" spans="1:17" ht="13.5" thickBot="1" x14ac:dyDescent="0.25">
      <c r="A17" s="99">
        <v>4</v>
      </c>
      <c r="C17" s="1" t="s">
        <v>634</v>
      </c>
      <c r="E17" s="20">
        <f>-'C-8 P2'!I37</f>
        <v>-14461</v>
      </c>
      <c r="F17" s="19"/>
      <c r="G17" s="20">
        <f>-'C-8 P3'!I43</f>
        <v>-92415</v>
      </c>
      <c r="H17" s="19"/>
      <c r="I17" s="20">
        <f>E17+G17</f>
        <v>-106876</v>
      </c>
      <c r="K17" s="12"/>
    </row>
    <row r="18" spans="1:17" ht="13.5" thickTop="1" x14ac:dyDescent="0.2">
      <c r="A18" s="99"/>
      <c r="E18" s="19"/>
      <c r="F18" s="19"/>
      <c r="G18" s="19"/>
      <c r="H18" s="19"/>
      <c r="I18" s="19"/>
      <c r="K18" s="99"/>
    </row>
    <row r="20" spans="1:17" x14ac:dyDescent="0.2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13"/>
      <c r="K20" s="13"/>
      <c r="L20" s="13"/>
      <c r="M20" s="13"/>
      <c r="N20" s="13"/>
      <c r="O20" s="13"/>
      <c r="P20" s="13"/>
      <c r="Q20" s="13"/>
    </row>
    <row r="21" spans="1:17" x14ac:dyDescent="0.2">
      <c r="A21" s="1" t="s">
        <v>637</v>
      </c>
    </row>
    <row r="22" spans="1:17" x14ac:dyDescent="0.2">
      <c r="A22" s="1" t="s">
        <v>638</v>
      </c>
    </row>
    <row r="25" spans="1:17" x14ac:dyDescent="0.2">
      <c r="C25" s="234"/>
    </row>
  </sheetData>
  <pageMargins left="0.75" right="0.75" top="1" bottom="0.65" header="0.5" footer="0.5"/>
  <pageSetup fitToHeight="3" orientation="landscape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opLeftCell="A4" workbookViewId="0">
      <selection activeCell="H63" sqref="H63"/>
    </sheetView>
  </sheetViews>
  <sheetFormatPr defaultRowHeight="12.75" x14ac:dyDescent="0.2"/>
  <cols>
    <col min="1" max="1" width="5" style="1" customWidth="1"/>
    <col min="2" max="2" width="1.42578125" style="1" customWidth="1"/>
    <col min="3" max="3" width="57.5703125" style="1" customWidth="1"/>
    <col min="4" max="4" width="1.140625" style="1" customWidth="1"/>
    <col min="5" max="5" width="12.28515625" style="1" customWidth="1"/>
    <col min="6" max="6" width="1.140625" style="1" customWidth="1"/>
    <col min="7" max="7" width="10.85546875" style="1" customWidth="1"/>
    <col min="8" max="8" width="1.140625" style="1" customWidth="1"/>
    <col min="9" max="9" width="12.7109375" style="1" bestFit="1" customWidth="1"/>
    <col min="10" max="10" width="1.28515625" style="1" customWidth="1"/>
    <col min="11" max="11" width="31.140625" style="1" bestFit="1" customWidth="1"/>
    <col min="12" max="16384" width="9.140625" style="1"/>
  </cols>
  <sheetData>
    <row r="1" spans="1:9" x14ac:dyDescent="0.2">
      <c r="A1" s="1" t="str">
        <f>Contents!A1</f>
        <v>Kentucky Utilities Company</v>
      </c>
      <c r="G1" s="27"/>
      <c r="I1" s="27" t="str">
        <f>Contents!A3</f>
        <v>Exhibit RCS-1</v>
      </c>
    </row>
    <row r="2" spans="1:9" x14ac:dyDescent="0.2">
      <c r="A2" s="1" t="s">
        <v>649</v>
      </c>
      <c r="G2" s="27"/>
      <c r="I2" s="27" t="s">
        <v>237</v>
      </c>
    </row>
    <row r="3" spans="1:9" x14ac:dyDescent="0.2">
      <c r="G3" s="27"/>
      <c r="I3" s="27" t="str">
        <f>Contents!A2</f>
        <v>Case No. 2016-00370</v>
      </c>
    </row>
    <row r="4" spans="1:9" x14ac:dyDescent="0.2">
      <c r="A4" s="1" t="s">
        <v>328</v>
      </c>
      <c r="G4" s="27"/>
      <c r="I4" s="27" t="s">
        <v>192</v>
      </c>
    </row>
    <row r="5" spans="1:9" x14ac:dyDescent="0.2">
      <c r="G5" s="27"/>
      <c r="I5" s="27"/>
    </row>
    <row r="6" spans="1:9" x14ac:dyDescent="0.2">
      <c r="C6" s="14" t="s">
        <v>403</v>
      </c>
    </row>
    <row r="7" spans="1:9" x14ac:dyDescent="0.2">
      <c r="E7" s="99" t="s">
        <v>28</v>
      </c>
      <c r="I7" s="99" t="s">
        <v>216</v>
      </c>
    </row>
    <row r="8" spans="1:9" x14ac:dyDescent="0.2">
      <c r="E8" s="99" t="s">
        <v>45</v>
      </c>
      <c r="G8" s="99" t="s">
        <v>216</v>
      </c>
      <c r="I8" s="99" t="s">
        <v>220</v>
      </c>
    </row>
    <row r="9" spans="1:9" x14ac:dyDescent="0.2">
      <c r="A9" s="99" t="s">
        <v>0</v>
      </c>
      <c r="E9" s="99" t="s">
        <v>326</v>
      </c>
      <c r="F9" s="99"/>
      <c r="G9" s="99" t="s">
        <v>220</v>
      </c>
      <c r="I9" s="99" t="s">
        <v>326</v>
      </c>
    </row>
    <row r="10" spans="1:9" x14ac:dyDescent="0.2">
      <c r="A10" s="229" t="s">
        <v>2</v>
      </c>
      <c r="C10" s="2" t="s">
        <v>3</v>
      </c>
      <c r="E10" s="229" t="s">
        <v>16</v>
      </c>
      <c r="F10" s="99"/>
      <c r="G10" s="229" t="s">
        <v>475</v>
      </c>
      <c r="I10" s="229" t="s">
        <v>16</v>
      </c>
    </row>
    <row r="11" spans="1:9" x14ac:dyDescent="0.2">
      <c r="A11" s="99"/>
      <c r="E11" s="99" t="s">
        <v>6</v>
      </c>
      <c r="G11" s="99" t="s">
        <v>7</v>
      </c>
      <c r="H11" s="99"/>
      <c r="I11" s="99" t="s">
        <v>18</v>
      </c>
    </row>
    <row r="12" spans="1:9" x14ac:dyDescent="0.2">
      <c r="A12" s="99"/>
      <c r="E12" s="99"/>
    </row>
    <row r="13" spans="1:9" x14ac:dyDescent="0.2">
      <c r="A13" s="99">
        <v>1</v>
      </c>
      <c r="C13" s="1" t="s">
        <v>611</v>
      </c>
      <c r="E13" s="99">
        <v>4</v>
      </c>
      <c r="F13" s="99"/>
      <c r="G13" s="12"/>
      <c r="I13" s="99">
        <v>4</v>
      </c>
    </row>
    <row r="14" spans="1:9" x14ac:dyDescent="0.2">
      <c r="A14" s="99"/>
      <c r="E14" s="99"/>
      <c r="F14" s="99"/>
      <c r="G14" s="12"/>
    </row>
    <row r="15" spans="1:9" x14ac:dyDescent="0.2">
      <c r="A15" s="99">
        <v>2</v>
      </c>
      <c r="C15" s="1" t="s">
        <v>612</v>
      </c>
      <c r="E15" s="4">
        <v>280561</v>
      </c>
      <c r="F15" s="4"/>
      <c r="G15" s="109">
        <v>0.90371060862444885</v>
      </c>
      <c r="I15" s="4">
        <f>ROUND(E15*G15,0)</f>
        <v>253546</v>
      </c>
    </row>
    <row r="16" spans="1:9" x14ac:dyDescent="0.2">
      <c r="A16" s="99">
        <f>A15+1</f>
        <v>3</v>
      </c>
      <c r="C16" s="1" t="s">
        <v>613</v>
      </c>
      <c r="E16" s="47">
        <f>E49</f>
        <v>18937.5</v>
      </c>
      <c r="F16" s="4"/>
      <c r="G16" s="109">
        <v>0.90371060862444885</v>
      </c>
      <c r="I16" s="4">
        <f>ROUND(E16*G16,0)</f>
        <v>17114</v>
      </c>
    </row>
    <row r="17" spans="1:9" x14ac:dyDescent="0.2">
      <c r="A17" s="99">
        <f t="shared" ref="A17:A19" si="0">A16+1</f>
        <v>4</v>
      </c>
      <c r="C17" s="1" t="s">
        <v>628</v>
      </c>
      <c r="E17" s="4">
        <f>E15+E16</f>
        <v>299498.5</v>
      </c>
      <c r="F17" s="4"/>
      <c r="G17" s="109"/>
      <c r="I17" s="4">
        <f>I15+I16</f>
        <v>270660</v>
      </c>
    </row>
    <row r="18" spans="1:9" x14ac:dyDescent="0.2">
      <c r="A18" s="99">
        <f t="shared" si="0"/>
        <v>5</v>
      </c>
      <c r="C18" s="1" t="s">
        <v>627</v>
      </c>
      <c r="E18" s="105">
        <v>0.71840000000000004</v>
      </c>
      <c r="F18" s="26"/>
      <c r="G18" s="109"/>
      <c r="I18" s="105">
        <v>0.71840000000000004</v>
      </c>
    </row>
    <row r="19" spans="1:9" x14ac:dyDescent="0.2">
      <c r="A19" s="99">
        <f t="shared" si="0"/>
        <v>6</v>
      </c>
      <c r="C19" s="1" t="s">
        <v>629</v>
      </c>
      <c r="E19" s="49">
        <f>ROUND(E17*E18,0)</f>
        <v>215160</v>
      </c>
      <c r="F19" s="4"/>
      <c r="G19" s="109"/>
      <c r="I19" s="49">
        <f>ROUND(I17*I18,0)</f>
        <v>194442</v>
      </c>
    </row>
    <row r="20" spans="1:9" x14ac:dyDescent="0.2">
      <c r="A20" s="99"/>
      <c r="G20" s="109"/>
    </row>
    <row r="21" spans="1:9" x14ac:dyDescent="0.2">
      <c r="A21" s="99"/>
      <c r="C21" s="14" t="s">
        <v>614</v>
      </c>
      <c r="G21" s="109"/>
    </row>
    <row r="22" spans="1:9" x14ac:dyDescent="0.2">
      <c r="A22" s="99">
        <f>A19+1</f>
        <v>7</v>
      </c>
      <c r="C22" s="1" t="s">
        <v>615</v>
      </c>
      <c r="E22" s="4">
        <v>11784</v>
      </c>
      <c r="G22" s="109">
        <v>0.90371060862444885</v>
      </c>
      <c r="I22" s="4">
        <f t="shared" ref="I22:I26" si="1">ROUND(E22*G22,0)</f>
        <v>10649</v>
      </c>
    </row>
    <row r="23" spans="1:9" x14ac:dyDescent="0.2">
      <c r="A23" s="99">
        <f>A22+1</f>
        <v>8</v>
      </c>
      <c r="C23" s="1" t="s">
        <v>616</v>
      </c>
      <c r="E23" s="4">
        <v>8417</v>
      </c>
      <c r="G23" s="109">
        <v>0.89033159067247547</v>
      </c>
      <c r="I23" s="4">
        <f t="shared" si="1"/>
        <v>7494</v>
      </c>
    </row>
    <row r="24" spans="1:9" x14ac:dyDescent="0.2">
      <c r="A24" s="99">
        <f t="shared" ref="A24:A33" si="2">A23+1</f>
        <v>9</v>
      </c>
      <c r="C24" s="1" t="s">
        <v>617</v>
      </c>
      <c r="E24" s="4">
        <v>1367</v>
      </c>
      <c r="G24" s="109">
        <v>0.89033159067247547</v>
      </c>
      <c r="I24" s="4">
        <f t="shared" si="1"/>
        <v>1217</v>
      </c>
    </row>
    <row r="25" spans="1:9" x14ac:dyDescent="0.2">
      <c r="A25" s="99">
        <f t="shared" si="2"/>
        <v>10</v>
      </c>
      <c r="C25" s="1" t="s">
        <v>618</v>
      </c>
      <c r="E25" s="4">
        <v>1473</v>
      </c>
      <c r="G25" s="109">
        <v>0.89033159067247547</v>
      </c>
      <c r="I25" s="4">
        <f t="shared" si="1"/>
        <v>1311</v>
      </c>
    </row>
    <row r="26" spans="1:9" x14ac:dyDescent="0.2">
      <c r="A26" s="99">
        <f t="shared" si="2"/>
        <v>11</v>
      </c>
      <c r="C26" s="1" t="s">
        <v>619</v>
      </c>
      <c r="E26" s="4">
        <v>7738</v>
      </c>
      <c r="G26" s="109">
        <v>0.89033159067247547</v>
      </c>
      <c r="I26" s="4">
        <f t="shared" si="1"/>
        <v>6889</v>
      </c>
    </row>
    <row r="27" spans="1:9" x14ac:dyDescent="0.2">
      <c r="A27" s="99">
        <f t="shared" si="2"/>
        <v>12</v>
      </c>
      <c r="C27" s="1" t="s">
        <v>620</v>
      </c>
      <c r="E27" s="4">
        <v>2426</v>
      </c>
      <c r="G27" s="109">
        <v>0.90373682107633646</v>
      </c>
      <c r="I27" s="4">
        <f t="shared" ref="I27:I30" si="3">ROUND(E27*G27,0)</f>
        <v>2192</v>
      </c>
    </row>
    <row r="28" spans="1:9" x14ac:dyDescent="0.2">
      <c r="A28" s="99">
        <f t="shared" si="2"/>
        <v>13</v>
      </c>
      <c r="C28" s="1" t="s">
        <v>621</v>
      </c>
      <c r="E28" s="4">
        <v>2213</v>
      </c>
      <c r="G28" s="109">
        <v>0.89033159067247547</v>
      </c>
      <c r="I28" s="4">
        <f t="shared" si="3"/>
        <v>1970</v>
      </c>
    </row>
    <row r="29" spans="1:9" x14ac:dyDescent="0.2">
      <c r="A29" s="99">
        <f t="shared" si="2"/>
        <v>14</v>
      </c>
      <c r="C29" s="1" t="s">
        <v>622</v>
      </c>
      <c r="E29" s="4">
        <v>44388</v>
      </c>
      <c r="G29" s="109">
        <v>0.89033159067247547</v>
      </c>
      <c r="I29" s="4">
        <f t="shared" si="3"/>
        <v>39520</v>
      </c>
    </row>
    <row r="30" spans="1:9" x14ac:dyDescent="0.2">
      <c r="A30" s="99">
        <f t="shared" si="2"/>
        <v>15</v>
      </c>
      <c r="C30" s="1" t="s">
        <v>623</v>
      </c>
      <c r="E30" s="47">
        <v>1200</v>
      </c>
      <c r="G30" s="109">
        <v>0.89033159067247547</v>
      </c>
      <c r="I30" s="4">
        <f t="shared" si="3"/>
        <v>1068</v>
      </c>
    </row>
    <row r="31" spans="1:9" x14ac:dyDescent="0.2">
      <c r="A31" s="99">
        <f t="shared" si="2"/>
        <v>16</v>
      </c>
      <c r="C31" s="1" t="s">
        <v>624</v>
      </c>
      <c r="E31" s="95">
        <f>SUM(E22:E30)</f>
        <v>81006</v>
      </c>
      <c r="G31" s="109"/>
      <c r="I31" s="95">
        <f>SUM(I22:I30)</f>
        <v>72310</v>
      </c>
    </row>
    <row r="32" spans="1:9" x14ac:dyDescent="0.2">
      <c r="A32" s="99">
        <f t="shared" si="2"/>
        <v>17</v>
      </c>
      <c r="C32" s="1" t="s">
        <v>627</v>
      </c>
      <c r="E32" s="105">
        <v>0.73829999999999996</v>
      </c>
      <c r="F32" s="36"/>
      <c r="G32" s="109"/>
      <c r="I32" s="105">
        <v>0.73829999999999996</v>
      </c>
    </row>
    <row r="33" spans="1:9" x14ac:dyDescent="0.2">
      <c r="A33" s="99">
        <f t="shared" si="2"/>
        <v>18</v>
      </c>
      <c r="C33" s="1" t="s">
        <v>630</v>
      </c>
      <c r="E33" s="49">
        <f>ROUND(E31*E32,0)</f>
        <v>59807</v>
      </c>
      <c r="G33" s="109"/>
      <c r="I33" s="49">
        <f>ROUND(I31*I32,0)</f>
        <v>53386</v>
      </c>
    </row>
    <row r="34" spans="1:9" x14ac:dyDescent="0.2">
      <c r="A34" s="99"/>
      <c r="E34" s="4"/>
      <c r="G34" s="109"/>
    </row>
    <row r="35" spans="1:9" x14ac:dyDescent="0.2">
      <c r="A35" s="99">
        <f>A33+1</f>
        <v>19</v>
      </c>
      <c r="C35" s="1" t="s">
        <v>625</v>
      </c>
      <c r="E35" s="19">
        <v>22175</v>
      </c>
      <c r="G35" s="109">
        <v>0.90273177148924111</v>
      </c>
      <c r="I35" s="4">
        <f t="shared" ref="I35" si="4">ROUND(E35*G35,0)</f>
        <v>20018</v>
      </c>
    </row>
    <row r="36" spans="1:9" x14ac:dyDescent="0.2">
      <c r="A36" s="99">
        <f>A35+1</f>
        <v>20</v>
      </c>
      <c r="C36" s="1" t="s">
        <v>627</v>
      </c>
      <c r="E36" s="105">
        <v>0.72240000000000004</v>
      </c>
      <c r="F36" s="36"/>
      <c r="G36" s="109"/>
      <c r="I36" s="105">
        <v>0.72240000000000004</v>
      </c>
    </row>
    <row r="37" spans="1:9" x14ac:dyDescent="0.2">
      <c r="A37" s="99">
        <f>A36+1</f>
        <v>21</v>
      </c>
      <c r="C37" s="1" t="s">
        <v>631</v>
      </c>
      <c r="E37" s="49">
        <f>ROUND(E35*E36,0)</f>
        <v>16019</v>
      </c>
      <c r="G37" s="109"/>
      <c r="I37" s="49">
        <f>ROUND(I35*I36,0)</f>
        <v>14461</v>
      </c>
    </row>
    <row r="38" spans="1:9" x14ac:dyDescent="0.2">
      <c r="A38" s="99"/>
      <c r="E38" s="4"/>
      <c r="G38" s="109"/>
    </row>
    <row r="39" spans="1:9" ht="13.5" thickBot="1" x14ac:dyDescent="0.25">
      <c r="A39" s="99">
        <f>A37+1</f>
        <v>22</v>
      </c>
      <c r="C39" s="1" t="s">
        <v>639</v>
      </c>
      <c r="E39" s="43">
        <f>E19+E33+E37</f>
        <v>290986</v>
      </c>
      <c r="G39" s="109"/>
      <c r="I39" s="43">
        <f>I19+I33+I37</f>
        <v>262289</v>
      </c>
    </row>
    <row r="40" spans="1:9" ht="13.5" thickTop="1" x14ac:dyDescent="0.2"/>
    <row r="42" spans="1:9" x14ac:dyDescent="0.2">
      <c r="A42" s="2" t="s">
        <v>9</v>
      </c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1" t="s">
        <v>609</v>
      </c>
    </row>
    <row r="44" spans="1:9" x14ac:dyDescent="0.2">
      <c r="C44" s="234"/>
    </row>
    <row r="45" spans="1:9" x14ac:dyDescent="0.2">
      <c r="A45" s="1" t="s">
        <v>720</v>
      </c>
    </row>
    <row r="47" spans="1:9" x14ac:dyDescent="0.2">
      <c r="A47" s="99">
        <v>23</v>
      </c>
      <c r="C47" s="1" t="s">
        <v>647</v>
      </c>
      <c r="E47" s="4">
        <v>25250</v>
      </c>
    </row>
    <row r="48" spans="1:9" x14ac:dyDescent="0.2">
      <c r="A48" s="99">
        <v>24</v>
      </c>
      <c r="C48" s="1" t="s">
        <v>648</v>
      </c>
      <c r="E48" s="26">
        <v>0.75</v>
      </c>
    </row>
    <row r="49" spans="1:9" ht="13.5" thickBot="1" x14ac:dyDescent="0.25">
      <c r="A49" s="99">
        <v>25</v>
      </c>
      <c r="C49" s="1" t="s">
        <v>646</v>
      </c>
      <c r="E49" s="45">
        <f>E47*E48</f>
        <v>18937.5</v>
      </c>
      <c r="I49" s="26"/>
    </row>
    <row r="50" spans="1:9" ht="13.5" thickTop="1" x14ac:dyDescent="0.2">
      <c r="I50" s="5"/>
    </row>
    <row r="51" spans="1:9" x14ac:dyDescent="0.2">
      <c r="A51" s="1" t="s">
        <v>651</v>
      </c>
    </row>
  </sheetData>
  <pageMargins left="0.7" right="0.7" top="0.75" bottom="0.75" header="0.3" footer="0.3"/>
  <pageSetup scale="8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opLeftCell="A4" workbookViewId="0">
      <selection activeCell="H63" sqref="H63"/>
    </sheetView>
  </sheetViews>
  <sheetFormatPr defaultRowHeight="12.75" x14ac:dyDescent="0.2"/>
  <cols>
    <col min="1" max="1" width="5" style="1" customWidth="1"/>
    <col min="2" max="2" width="1.42578125" style="1" customWidth="1"/>
    <col min="3" max="3" width="62.85546875" style="1" bestFit="1" customWidth="1"/>
    <col min="4" max="4" width="1.140625" style="1" customWidth="1"/>
    <col min="5" max="5" width="10.140625" style="1" customWidth="1"/>
    <col min="6" max="6" width="1.140625" style="1" customWidth="1"/>
    <col min="7" max="7" width="11.140625" style="1" bestFit="1" customWidth="1"/>
    <col min="8" max="8" width="1.28515625" style="1" customWidth="1"/>
    <col min="9" max="9" width="14.140625" style="1" customWidth="1"/>
    <col min="10" max="16384" width="9.140625" style="1"/>
  </cols>
  <sheetData>
    <row r="1" spans="1:9" x14ac:dyDescent="0.2">
      <c r="A1" s="1" t="str">
        <f>Contents!A1</f>
        <v>Kentucky Utilities Company</v>
      </c>
      <c r="E1" s="27"/>
      <c r="I1" s="27" t="str">
        <f>Contents!A3</f>
        <v>Exhibit RCS-1</v>
      </c>
    </row>
    <row r="2" spans="1:9" x14ac:dyDescent="0.2">
      <c r="A2" s="1" t="s">
        <v>649</v>
      </c>
      <c r="E2" s="27"/>
      <c r="I2" s="27" t="s">
        <v>237</v>
      </c>
    </row>
    <row r="3" spans="1:9" x14ac:dyDescent="0.2">
      <c r="E3" s="27"/>
      <c r="I3" s="27" t="str">
        <f>Contents!A2</f>
        <v>Case No. 2016-00370</v>
      </c>
    </row>
    <row r="4" spans="1:9" x14ac:dyDescent="0.2">
      <c r="A4" s="1" t="s">
        <v>328</v>
      </c>
      <c r="E4" s="27"/>
      <c r="I4" s="27" t="s">
        <v>193</v>
      </c>
    </row>
    <row r="5" spans="1:9" x14ac:dyDescent="0.2">
      <c r="E5" s="27"/>
    </row>
    <row r="6" spans="1:9" x14ac:dyDescent="0.2">
      <c r="C6" s="14" t="s">
        <v>650</v>
      </c>
      <c r="I6" s="99" t="s">
        <v>216</v>
      </c>
    </row>
    <row r="7" spans="1:9" x14ac:dyDescent="0.2">
      <c r="G7" s="99" t="s">
        <v>216</v>
      </c>
      <c r="I7" s="99" t="s">
        <v>220</v>
      </c>
    </row>
    <row r="8" spans="1:9" x14ac:dyDescent="0.2">
      <c r="A8" s="99" t="s">
        <v>0</v>
      </c>
      <c r="D8" s="99"/>
      <c r="E8" s="99" t="s">
        <v>610</v>
      </c>
      <c r="G8" s="99" t="s">
        <v>220</v>
      </c>
      <c r="I8" s="99" t="s">
        <v>610</v>
      </c>
    </row>
    <row r="9" spans="1:9" x14ac:dyDescent="0.2">
      <c r="A9" s="229" t="s">
        <v>2</v>
      </c>
      <c r="C9" s="2" t="s">
        <v>3</v>
      </c>
      <c r="D9" s="99"/>
      <c r="E9" s="229" t="s">
        <v>16</v>
      </c>
      <c r="G9" s="229" t="s">
        <v>597</v>
      </c>
      <c r="I9" s="229" t="s">
        <v>16</v>
      </c>
    </row>
    <row r="10" spans="1:9" x14ac:dyDescent="0.2">
      <c r="A10" s="99"/>
      <c r="E10" s="99" t="s">
        <v>6</v>
      </c>
      <c r="G10" s="99" t="s">
        <v>7</v>
      </c>
      <c r="H10" s="99"/>
      <c r="I10" s="99" t="s">
        <v>18</v>
      </c>
    </row>
    <row r="12" spans="1:9" x14ac:dyDescent="0.2">
      <c r="A12" s="99">
        <v>1</v>
      </c>
      <c r="C12" s="1" t="s">
        <v>611</v>
      </c>
      <c r="D12" s="99"/>
      <c r="E12" s="99">
        <v>34</v>
      </c>
      <c r="I12" s="99">
        <v>34</v>
      </c>
    </row>
    <row r="13" spans="1:9" x14ac:dyDescent="0.2">
      <c r="A13" s="99"/>
      <c r="D13" s="99"/>
      <c r="E13" s="99"/>
    </row>
    <row r="14" spans="1:9" x14ac:dyDescent="0.2">
      <c r="A14" s="99">
        <v>2</v>
      </c>
      <c r="C14" s="1" t="s">
        <v>612</v>
      </c>
      <c r="D14" s="4"/>
      <c r="E14" s="4">
        <v>3348176</v>
      </c>
      <c r="G14" s="109">
        <v>0.90371060862444885</v>
      </c>
      <c r="I14" s="4">
        <f>ROUND(E14*G14,0)</f>
        <v>3025782</v>
      </c>
    </row>
    <row r="15" spans="1:9" x14ac:dyDescent="0.2">
      <c r="A15" s="99">
        <f>A14+1</f>
        <v>3</v>
      </c>
      <c r="C15" s="1" t="s">
        <v>613</v>
      </c>
      <c r="D15" s="4"/>
      <c r="E15" s="47">
        <f>E55</f>
        <v>226002</v>
      </c>
      <c r="G15" s="109">
        <v>0.90371060862444885</v>
      </c>
      <c r="I15" s="47">
        <f>ROUND(E15*G15,0)</f>
        <v>204240</v>
      </c>
    </row>
    <row r="16" spans="1:9" x14ac:dyDescent="0.2">
      <c r="A16" s="99">
        <f t="shared" ref="A16:A20" si="0">A15+1</f>
        <v>4</v>
      </c>
      <c r="C16" s="1" t="s">
        <v>628</v>
      </c>
      <c r="D16" s="4"/>
      <c r="E16" s="4">
        <f>E14+E15</f>
        <v>3574178</v>
      </c>
      <c r="I16" s="4">
        <f>I14+I15</f>
        <v>3230022</v>
      </c>
    </row>
    <row r="17" spans="1:9" x14ac:dyDescent="0.2">
      <c r="A17" s="99">
        <f t="shared" si="0"/>
        <v>5</v>
      </c>
      <c r="C17" s="1" t="s">
        <v>636</v>
      </c>
      <c r="D17" s="26"/>
      <c r="E17" s="105">
        <v>0.71840000000000004</v>
      </c>
      <c r="I17" s="105">
        <v>0.71840000000000004</v>
      </c>
    </row>
    <row r="18" spans="1:9" x14ac:dyDescent="0.2">
      <c r="A18" s="99">
        <f t="shared" si="0"/>
        <v>6</v>
      </c>
      <c r="C18" s="1" t="s">
        <v>629</v>
      </c>
      <c r="D18" s="4"/>
      <c r="E18" s="4">
        <f>ROUND(E16*E17,0)</f>
        <v>2567689</v>
      </c>
      <c r="I18" s="4">
        <f>ROUND(I16*I17,0)</f>
        <v>2320448</v>
      </c>
    </row>
    <row r="19" spans="1:9" x14ac:dyDescent="0.2">
      <c r="A19" s="99">
        <f t="shared" si="0"/>
        <v>7</v>
      </c>
      <c r="C19" s="1" t="s">
        <v>641</v>
      </c>
      <c r="D19" s="4"/>
      <c r="E19" s="36">
        <v>0.54049999999999998</v>
      </c>
      <c r="I19" s="36">
        <v>0.54049999999999998</v>
      </c>
    </row>
    <row r="20" spans="1:9" x14ac:dyDescent="0.2">
      <c r="A20" s="99">
        <f t="shared" si="0"/>
        <v>8</v>
      </c>
      <c r="C20" s="1" t="s">
        <v>642</v>
      </c>
      <c r="D20" s="4"/>
      <c r="E20" s="49">
        <f>ROUND(E18*E19,0)</f>
        <v>1387836</v>
      </c>
      <c r="I20" s="49">
        <f>ROUND(I18*I19,0)</f>
        <v>1254202</v>
      </c>
    </row>
    <row r="21" spans="1:9" x14ac:dyDescent="0.2">
      <c r="A21" s="99"/>
    </row>
    <row r="22" spans="1:9" x14ac:dyDescent="0.2">
      <c r="A22" s="99"/>
      <c r="C22" s="14" t="s">
        <v>614</v>
      </c>
    </row>
    <row r="23" spans="1:9" x14ac:dyDescent="0.2">
      <c r="A23" s="99">
        <f>A20+1</f>
        <v>9</v>
      </c>
      <c r="C23" s="1" t="s">
        <v>615</v>
      </c>
      <c r="E23" s="4">
        <v>140623</v>
      </c>
      <c r="G23" s="109">
        <v>0.90371060862444885</v>
      </c>
      <c r="I23" s="4">
        <f t="shared" ref="I23:I32" si="1">ROUND(E23*G23,0)</f>
        <v>127082</v>
      </c>
    </row>
    <row r="24" spans="1:9" x14ac:dyDescent="0.2">
      <c r="A24" s="99">
        <f>A23+1</f>
        <v>10</v>
      </c>
      <c r="C24" s="1" t="s">
        <v>616</v>
      </c>
      <c r="E24" s="4">
        <v>100445</v>
      </c>
      <c r="G24" s="109">
        <v>0.89033159067247547</v>
      </c>
      <c r="I24" s="4">
        <f t="shared" si="1"/>
        <v>89429</v>
      </c>
    </row>
    <row r="25" spans="1:9" x14ac:dyDescent="0.2">
      <c r="A25" s="99">
        <f t="shared" ref="A25:A37" si="2">A24+1</f>
        <v>11</v>
      </c>
      <c r="C25" s="1" t="s">
        <v>617</v>
      </c>
      <c r="E25" s="4">
        <v>16312</v>
      </c>
      <c r="G25" s="109">
        <v>0.89033159067247547</v>
      </c>
      <c r="I25" s="4">
        <f t="shared" si="1"/>
        <v>14523</v>
      </c>
    </row>
    <row r="26" spans="1:9" x14ac:dyDescent="0.2">
      <c r="A26" s="99">
        <f t="shared" si="2"/>
        <v>12</v>
      </c>
      <c r="C26" s="1" t="s">
        <v>618</v>
      </c>
      <c r="E26" s="4">
        <v>17578</v>
      </c>
      <c r="G26" s="109">
        <v>0.89033159067247547</v>
      </c>
      <c r="I26" s="4">
        <f t="shared" si="1"/>
        <v>15650</v>
      </c>
    </row>
    <row r="27" spans="1:9" x14ac:dyDescent="0.2">
      <c r="A27" s="99">
        <f t="shared" si="2"/>
        <v>13</v>
      </c>
      <c r="C27" s="1" t="s">
        <v>619</v>
      </c>
      <c r="E27" s="4">
        <v>59806</v>
      </c>
      <c r="G27" s="109">
        <v>0.89033159067247547</v>
      </c>
      <c r="I27" s="4">
        <f t="shared" si="1"/>
        <v>53247</v>
      </c>
    </row>
    <row r="28" spans="1:9" x14ac:dyDescent="0.2">
      <c r="A28" s="99">
        <f t="shared" si="2"/>
        <v>14</v>
      </c>
      <c r="C28" s="1" t="s">
        <v>626</v>
      </c>
      <c r="E28" s="4">
        <v>19075</v>
      </c>
      <c r="G28" s="109">
        <v>0.89033159067247547</v>
      </c>
      <c r="I28" s="4">
        <f t="shared" si="1"/>
        <v>16983</v>
      </c>
    </row>
    <row r="29" spans="1:9" x14ac:dyDescent="0.2">
      <c r="A29" s="99">
        <f t="shared" si="2"/>
        <v>15</v>
      </c>
      <c r="C29" s="1" t="s">
        <v>620</v>
      </c>
      <c r="E29" s="4">
        <v>2579</v>
      </c>
      <c r="G29" s="109">
        <v>0.90373682107633646</v>
      </c>
      <c r="I29" s="4">
        <f t="shared" si="1"/>
        <v>2331</v>
      </c>
    </row>
    <row r="30" spans="1:9" x14ac:dyDescent="0.2">
      <c r="A30" s="99">
        <f t="shared" si="2"/>
        <v>16</v>
      </c>
      <c r="C30" s="1" t="s">
        <v>621</v>
      </c>
      <c r="E30" s="4">
        <v>18809</v>
      </c>
      <c r="G30" s="109">
        <v>0.89033159067247547</v>
      </c>
      <c r="I30" s="4">
        <f t="shared" si="1"/>
        <v>16746</v>
      </c>
    </row>
    <row r="31" spans="1:9" x14ac:dyDescent="0.2">
      <c r="A31" s="99">
        <f t="shared" si="2"/>
        <v>17</v>
      </c>
      <c r="C31" s="1" t="s">
        <v>622</v>
      </c>
      <c r="E31" s="4">
        <v>377298</v>
      </c>
      <c r="G31" s="109">
        <v>0.89033159067247547</v>
      </c>
      <c r="I31" s="4">
        <f t="shared" si="1"/>
        <v>335920</v>
      </c>
    </row>
    <row r="32" spans="1:9" x14ac:dyDescent="0.2">
      <c r="A32" s="99">
        <f t="shared" si="2"/>
        <v>18</v>
      </c>
      <c r="C32" s="1" t="s">
        <v>623</v>
      </c>
      <c r="E32" s="4">
        <v>10200</v>
      </c>
      <c r="G32" s="109">
        <v>0.89033159067247547</v>
      </c>
      <c r="I32" s="4">
        <f t="shared" si="1"/>
        <v>9081</v>
      </c>
    </row>
    <row r="33" spans="1:9" x14ac:dyDescent="0.2">
      <c r="A33" s="99">
        <f t="shared" si="2"/>
        <v>19</v>
      </c>
      <c r="C33" s="1" t="s">
        <v>624</v>
      </c>
      <c r="E33" s="95">
        <f>SUM(E23:E32)</f>
        <v>762725</v>
      </c>
      <c r="I33" s="95">
        <f>SUM(I23:I32)</f>
        <v>680992</v>
      </c>
    </row>
    <row r="34" spans="1:9" x14ac:dyDescent="0.2">
      <c r="A34" s="99">
        <f t="shared" si="2"/>
        <v>20</v>
      </c>
      <c r="C34" s="1" t="s">
        <v>636</v>
      </c>
      <c r="D34" s="36"/>
      <c r="E34" s="105">
        <v>0.73829999999999996</v>
      </c>
      <c r="I34" s="105">
        <v>0.73829999999999996</v>
      </c>
    </row>
    <row r="35" spans="1:9" x14ac:dyDescent="0.2">
      <c r="A35" s="99">
        <f t="shared" si="2"/>
        <v>21</v>
      </c>
      <c r="C35" s="1" t="s">
        <v>630</v>
      </c>
      <c r="E35" s="19">
        <f>ROUND(E33*E34,0)</f>
        <v>563120</v>
      </c>
      <c r="I35" s="19">
        <f>ROUND(I33*I34,0)</f>
        <v>502776</v>
      </c>
    </row>
    <row r="36" spans="1:9" x14ac:dyDescent="0.2">
      <c r="A36" s="99">
        <f t="shared" si="2"/>
        <v>22</v>
      </c>
      <c r="C36" s="1" t="s">
        <v>641</v>
      </c>
      <c r="E36" s="36">
        <v>0.54049999999999998</v>
      </c>
      <c r="I36" s="36">
        <v>0.54049999999999998</v>
      </c>
    </row>
    <row r="37" spans="1:9" x14ac:dyDescent="0.2">
      <c r="A37" s="99">
        <f t="shared" si="2"/>
        <v>23</v>
      </c>
      <c r="C37" s="1" t="s">
        <v>643</v>
      </c>
      <c r="E37" s="49">
        <f>SUM(E35*E36,0)</f>
        <v>304366.36</v>
      </c>
      <c r="I37" s="49">
        <f>SUM(I35*I36,0)</f>
        <v>271750.42800000001</v>
      </c>
    </row>
    <row r="38" spans="1:9" x14ac:dyDescent="0.2">
      <c r="A38" s="99"/>
      <c r="E38" s="4"/>
    </row>
    <row r="39" spans="1:9" x14ac:dyDescent="0.2">
      <c r="A39" s="99">
        <f>A37+1</f>
        <v>24</v>
      </c>
      <c r="C39" s="1" t="s">
        <v>625</v>
      </c>
      <c r="E39" s="19">
        <v>262187</v>
      </c>
      <c r="G39" s="109">
        <v>0.90273177148924111</v>
      </c>
      <c r="I39" s="4">
        <f>ROUND(E39*G39,0)</f>
        <v>236685</v>
      </c>
    </row>
    <row r="40" spans="1:9" x14ac:dyDescent="0.2">
      <c r="A40" s="99">
        <f>A39+1</f>
        <v>25</v>
      </c>
      <c r="C40" s="1" t="s">
        <v>636</v>
      </c>
      <c r="D40" s="36"/>
      <c r="E40" s="105">
        <v>0.72240000000000004</v>
      </c>
      <c r="I40" s="105">
        <v>0.72240000000000004</v>
      </c>
    </row>
    <row r="41" spans="1:9" x14ac:dyDescent="0.2">
      <c r="A41" s="99">
        <f t="shared" ref="A41:A43" si="3">A40+1</f>
        <v>26</v>
      </c>
      <c r="C41" s="1" t="s">
        <v>631</v>
      </c>
      <c r="E41" s="19">
        <f>ROUND(E39*E40,0)</f>
        <v>189404</v>
      </c>
      <c r="I41" s="19">
        <f>ROUND(I39*I40,0)</f>
        <v>170981</v>
      </c>
    </row>
    <row r="42" spans="1:9" x14ac:dyDescent="0.2">
      <c r="A42" s="99">
        <f t="shared" si="3"/>
        <v>27</v>
      </c>
      <c r="C42" s="1" t="s">
        <v>641</v>
      </c>
      <c r="E42" s="36">
        <v>0.54049999999999998</v>
      </c>
      <c r="I42" s="36">
        <v>0.54049999999999998</v>
      </c>
    </row>
    <row r="43" spans="1:9" x14ac:dyDescent="0.2">
      <c r="A43" s="99">
        <f t="shared" si="3"/>
        <v>28</v>
      </c>
      <c r="C43" s="1" t="s">
        <v>644</v>
      </c>
      <c r="E43" s="49">
        <f>ROUND(E41*E42,0)</f>
        <v>102373</v>
      </c>
      <c r="I43" s="49">
        <f>ROUND(I41*I42,0)</f>
        <v>92415</v>
      </c>
    </row>
    <row r="44" spans="1:9" x14ac:dyDescent="0.2">
      <c r="A44" s="99"/>
      <c r="E44" s="4"/>
    </row>
    <row r="45" spans="1:9" ht="13.5" thickBot="1" x14ac:dyDescent="0.25">
      <c r="A45" s="99">
        <f>A43+1</f>
        <v>29</v>
      </c>
      <c r="C45" s="1" t="s">
        <v>640</v>
      </c>
      <c r="E45" s="43">
        <f>E20+E37+E43</f>
        <v>1794575.3599999999</v>
      </c>
      <c r="I45" s="43">
        <f>I20+I37+I43</f>
        <v>1618367.4280000001</v>
      </c>
    </row>
    <row r="46" spans="1:9" ht="13.5" thickTop="1" x14ac:dyDescent="0.2">
      <c r="E46" s="13"/>
      <c r="F46" s="13"/>
      <c r="G46" s="13"/>
      <c r="H46" s="13"/>
      <c r="I46" s="13"/>
    </row>
    <row r="48" spans="1:9" x14ac:dyDescent="0.2">
      <c r="A48" s="2" t="s">
        <v>9</v>
      </c>
      <c r="B48" s="2"/>
      <c r="C48" s="2"/>
      <c r="D48" s="2"/>
      <c r="E48" s="2"/>
      <c r="F48" s="2"/>
      <c r="G48" s="2"/>
      <c r="H48" s="2"/>
      <c r="I48" s="2"/>
    </row>
    <row r="49" spans="1:5" x14ac:dyDescent="0.2">
      <c r="A49" s="1" t="s">
        <v>635</v>
      </c>
    </row>
    <row r="50" spans="1:5" x14ac:dyDescent="0.2">
      <c r="C50" s="234"/>
    </row>
    <row r="51" spans="1:5" x14ac:dyDescent="0.2">
      <c r="A51" s="1" t="s">
        <v>721</v>
      </c>
    </row>
    <row r="53" spans="1:5" x14ac:dyDescent="0.2">
      <c r="A53" s="99">
        <v>30</v>
      </c>
      <c r="C53" s="1" t="s">
        <v>647</v>
      </c>
      <c r="E53" s="4">
        <v>301336</v>
      </c>
    </row>
    <row r="54" spans="1:5" x14ac:dyDescent="0.2">
      <c r="A54" s="99">
        <v>31</v>
      </c>
      <c r="C54" s="1" t="s">
        <v>648</v>
      </c>
      <c r="E54" s="26">
        <v>0.75</v>
      </c>
    </row>
    <row r="55" spans="1:5" ht="13.5" thickBot="1" x14ac:dyDescent="0.25">
      <c r="A55" s="99">
        <v>32</v>
      </c>
      <c r="C55" s="1" t="s">
        <v>646</v>
      </c>
      <c r="E55" s="45">
        <f>E53*E54</f>
        <v>226002</v>
      </c>
    </row>
    <row r="56" spans="1:5" ht="13.5" thickTop="1" x14ac:dyDescent="0.2"/>
    <row r="57" spans="1:5" x14ac:dyDescent="0.2">
      <c r="A57" s="1" t="s">
        <v>651</v>
      </c>
    </row>
  </sheetData>
  <pageMargins left="0.7" right="0.7" top="0.75" bottom="0.75" header="0.3" footer="0.3"/>
  <pageSetup scale="8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10" workbookViewId="0">
      <selection activeCell="C48" sqref="C48"/>
    </sheetView>
  </sheetViews>
  <sheetFormatPr defaultRowHeight="12.75" x14ac:dyDescent="0.2"/>
  <cols>
    <col min="1" max="1" width="5.28515625" style="1" customWidth="1"/>
    <col min="2" max="2" width="1.42578125" style="1" customWidth="1"/>
    <col min="3" max="3" width="68.140625" style="1" bestFit="1" customWidth="1"/>
    <col min="4" max="4" width="1.28515625" style="1" customWidth="1"/>
    <col min="5" max="5" width="11.140625" style="1" bestFit="1" customWidth="1"/>
    <col min="6" max="6" width="0.85546875" style="1" customWidth="1"/>
    <col min="7" max="7" width="12" style="1" bestFit="1" customWidth="1"/>
    <col min="8" max="8" width="1.28515625" style="1" customWidth="1"/>
    <col min="9" max="9" width="9.140625" style="1"/>
    <col min="10" max="10" width="9.85546875" style="1" bestFit="1" customWidth="1"/>
    <col min="11" max="16384" width="9.140625" style="1"/>
  </cols>
  <sheetData>
    <row r="1" spans="1:7" x14ac:dyDescent="0.2">
      <c r="A1" s="1" t="str">
        <f>Contents!A1</f>
        <v>Kentucky Utilities Company</v>
      </c>
      <c r="G1" s="27" t="str">
        <f>Contents!A3</f>
        <v>Exhibit RCS-1</v>
      </c>
    </row>
    <row r="2" spans="1:7" x14ac:dyDescent="0.2">
      <c r="A2" s="1" t="s">
        <v>702</v>
      </c>
      <c r="G2" s="27" t="s">
        <v>240</v>
      </c>
    </row>
    <row r="3" spans="1:7" x14ac:dyDescent="0.2">
      <c r="G3" s="27" t="str">
        <f>Contents!A2</f>
        <v>Case No. 2016-00370</v>
      </c>
    </row>
    <row r="4" spans="1:7" x14ac:dyDescent="0.2">
      <c r="A4" s="1" t="s">
        <v>328</v>
      </c>
      <c r="G4" s="27" t="s">
        <v>37</v>
      </c>
    </row>
    <row r="6" spans="1:7" x14ac:dyDescent="0.2">
      <c r="A6" s="99" t="s">
        <v>0</v>
      </c>
      <c r="E6" s="99"/>
      <c r="F6" s="99"/>
      <c r="G6" s="99"/>
    </row>
    <row r="7" spans="1:7" x14ac:dyDescent="0.2">
      <c r="A7" s="233" t="s">
        <v>2</v>
      </c>
      <c r="C7" s="2" t="s">
        <v>3</v>
      </c>
      <c r="E7" s="233" t="s">
        <v>16</v>
      </c>
      <c r="F7" s="99"/>
      <c r="G7" s="233" t="s">
        <v>15</v>
      </c>
    </row>
    <row r="8" spans="1:7" x14ac:dyDescent="0.2">
      <c r="A8" s="99"/>
      <c r="E8" s="99" t="s">
        <v>6</v>
      </c>
    </row>
    <row r="10" spans="1:7" ht="13.5" thickBot="1" x14ac:dyDescent="0.25">
      <c r="A10" s="99">
        <v>1</v>
      </c>
      <c r="C10" s="1" t="s">
        <v>801</v>
      </c>
      <c r="E10" s="43">
        <f>-G44</f>
        <v>-1504533</v>
      </c>
      <c r="G10" s="99" t="s">
        <v>43</v>
      </c>
    </row>
    <row r="11" spans="1:7" ht="13.5" thickTop="1" x14ac:dyDescent="0.2"/>
    <row r="13" spans="1:7" x14ac:dyDescent="0.2">
      <c r="A13" s="2" t="s">
        <v>9</v>
      </c>
      <c r="B13" s="2"/>
      <c r="C13" s="2"/>
      <c r="D13" s="2"/>
      <c r="E13" s="2"/>
      <c r="F13" s="2"/>
      <c r="G13" s="2"/>
    </row>
    <row r="14" spans="1:7" x14ac:dyDescent="0.2">
      <c r="A14" s="1" t="s">
        <v>703</v>
      </c>
    </row>
    <row r="15" spans="1:7" x14ac:dyDescent="0.2">
      <c r="E15" s="12"/>
    </row>
    <row r="16" spans="1:7" x14ac:dyDescent="0.2">
      <c r="E16" s="12" t="s">
        <v>470</v>
      </c>
    </row>
    <row r="17" spans="1:8" x14ac:dyDescent="0.2">
      <c r="A17" s="99"/>
      <c r="C17" s="2" t="s">
        <v>3</v>
      </c>
      <c r="E17" s="23" t="s">
        <v>471</v>
      </c>
      <c r="G17" s="233" t="s">
        <v>16</v>
      </c>
      <c r="H17" s="127"/>
    </row>
    <row r="18" spans="1:8" x14ac:dyDescent="0.2">
      <c r="A18" s="99"/>
      <c r="E18" s="126"/>
      <c r="G18" s="4"/>
    </row>
    <row r="19" spans="1:8" x14ac:dyDescent="0.2">
      <c r="A19" s="99">
        <v>2</v>
      </c>
      <c r="C19" s="1" t="s">
        <v>704</v>
      </c>
      <c r="E19" s="244">
        <v>920</v>
      </c>
      <c r="G19" s="95">
        <v>139317</v>
      </c>
    </row>
    <row r="20" spans="1:8" x14ac:dyDescent="0.2">
      <c r="A20" s="99">
        <v>3</v>
      </c>
      <c r="C20" s="1" t="s">
        <v>224</v>
      </c>
      <c r="E20" s="244"/>
      <c r="G20" s="30">
        <v>0.90371060862444885</v>
      </c>
    </row>
    <row r="21" spans="1:8" x14ac:dyDescent="0.2">
      <c r="A21" s="99">
        <v>4</v>
      </c>
      <c r="C21" s="1" t="s">
        <v>719</v>
      </c>
      <c r="E21" s="244"/>
      <c r="G21" s="49">
        <f>ROUND(G19*G20,0)</f>
        <v>125902</v>
      </c>
    </row>
    <row r="22" spans="1:8" x14ac:dyDescent="0.2">
      <c r="A22" s="99"/>
      <c r="E22" s="245"/>
      <c r="G22" s="4"/>
    </row>
    <row r="23" spans="1:8" x14ac:dyDescent="0.2">
      <c r="A23" s="99">
        <f>A21+1</f>
        <v>5</v>
      </c>
      <c r="C23" s="1" t="s">
        <v>705</v>
      </c>
      <c r="E23" s="246">
        <v>921</v>
      </c>
      <c r="G23" s="4">
        <v>37118</v>
      </c>
    </row>
    <row r="24" spans="1:8" x14ac:dyDescent="0.2">
      <c r="A24" s="99">
        <f>A23+1</f>
        <v>6</v>
      </c>
      <c r="C24" s="1" t="s">
        <v>706</v>
      </c>
      <c r="E24" s="246">
        <v>921</v>
      </c>
      <c r="G24" s="4">
        <v>58208</v>
      </c>
    </row>
    <row r="25" spans="1:8" x14ac:dyDescent="0.2">
      <c r="A25" s="99">
        <f t="shared" ref="A25:A36" si="0">A24+1</f>
        <v>7</v>
      </c>
      <c r="C25" s="1" t="s">
        <v>707</v>
      </c>
      <c r="E25" s="246">
        <v>921</v>
      </c>
      <c r="G25" s="4">
        <v>7891</v>
      </c>
    </row>
    <row r="26" spans="1:8" x14ac:dyDescent="0.2">
      <c r="A26" s="99">
        <f t="shared" si="0"/>
        <v>8</v>
      </c>
      <c r="C26" s="1" t="s">
        <v>708</v>
      </c>
      <c r="E26" s="246">
        <v>921</v>
      </c>
      <c r="G26" s="4">
        <v>3514</v>
      </c>
    </row>
    <row r="27" spans="1:8" x14ac:dyDescent="0.2">
      <c r="A27" s="99">
        <f t="shared" si="0"/>
        <v>9</v>
      </c>
      <c r="C27" s="1" t="s">
        <v>709</v>
      </c>
      <c r="E27" s="246">
        <v>921</v>
      </c>
      <c r="G27" s="4">
        <v>9676</v>
      </c>
    </row>
    <row r="28" spans="1:8" x14ac:dyDescent="0.2">
      <c r="A28" s="99">
        <f t="shared" si="0"/>
        <v>10</v>
      </c>
      <c r="C28" s="1" t="s">
        <v>710</v>
      </c>
      <c r="E28" s="246">
        <v>921</v>
      </c>
      <c r="G28" s="4">
        <v>77465</v>
      </c>
    </row>
    <row r="29" spans="1:8" x14ac:dyDescent="0.2">
      <c r="A29" s="99">
        <f t="shared" si="0"/>
        <v>11</v>
      </c>
      <c r="C29" s="1" t="s">
        <v>711</v>
      </c>
      <c r="E29" s="246">
        <v>921</v>
      </c>
      <c r="G29" s="4">
        <v>172549</v>
      </c>
    </row>
    <row r="30" spans="1:8" x14ac:dyDescent="0.2">
      <c r="A30" s="99">
        <f t="shared" si="0"/>
        <v>12</v>
      </c>
      <c r="C30" s="1" t="s">
        <v>712</v>
      </c>
      <c r="E30" s="246">
        <v>921</v>
      </c>
      <c r="G30" s="4">
        <v>210283</v>
      </c>
    </row>
    <row r="31" spans="1:8" x14ac:dyDescent="0.2">
      <c r="A31" s="99">
        <f t="shared" si="0"/>
        <v>13</v>
      </c>
      <c r="C31" s="1" t="s">
        <v>704</v>
      </c>
      <c r="E31" s="246">
        <v>921</v>
      </c>
      <c r="G31" s="4">
        <v>78947</v>
      </c>
    </row>
    <row r="32" spans="1:8" x14ac:dyDescent="0.2">
      <c r="A32" s="99">
        <f t="shared" si="0"/>
        <v>14</v>
      </c>
      <c r="C32" s="1" t="s">
        <v>713</v>
      </c>
      <c r="E32" s="246">
        <v>921</v>
      </c>
      <c r="G32" s="4">
        <v>470722</v>
      </c>
    </row>
    <row r="33" spans="1:10" x14ac:dyDescent="0.2">
      <c r="A33" s="99">
        <f t="shared" si="0"/>
        <v>15</v>
      </c>
      <c r="C33" s="1" t="s">
        <v>714</v>
      </c>
      <c r="E33" s="246">
        <v>921</v>
      </c>
      <c r="G33" s="4">
        <v>251821</v>
      </c>
    </row>
    <row r="34" spans="1:10" x14ac:dyDescent="0.2">
      <c r="A34" s="99">
        <f t="shared" si="0"/>
        <v>16</v>
      </c>
      <c r="C34" s="1" t="s">
        <v>715</v>
      </c>
      <c r="E34" s="246">
        <v>921</v>
      </c>
      <c r="G34" s="4">
        <v>10486</v>
      </c>
    </row>
    <row r="35" spans="1:10" x14ac:dyDescent="0.2">
      <c r="A35" s="99">
        <f t="shared" si="0"/>
        <v>17</v>
      </c>
      <c r="C35" s="1" t="s">
        <v>716</v>
      </c>
      <c r="E35" s="246">
        <v>921</v>
      </c>
      <c r="G35" s="4">
        <v>37440</v>
      </c>
    </row>
    <row r="36" spans="1:10" x14ac:dyDescent="0.2">
      <c r="A36" s="99">
        <f t="shared" si="0"/>
        <v>18</v>
      </c>
      <c r="C36" s="1" t="s">
        <v>717</v>
      </c>
      <c r="E36" s="246"/>
      <c r="G36" s="95">
        <f>SUM(G23:G35)</f>
        <v>1426120</v>
      </c>
    </row>
    <row r="37" spans="1:10" x14ac:dyDescent="0.2">
      <c r="A37" s="99">
        <f>A36+1</f>
        <v>19</v>
      </c>
      <c r="C37" s="1" t="s">
        <v>224</v>
      </c>
      <c r="E37" s="246"/>
      <c r="G37" s="30">
        <v>0.90371060862444874</v>
      </c>
    </row>
    <row r="38" spans="1:10" x14ac:dyDescent="0.2">
      <c r="A38" s="99">
        <f>A37+1</f>
        <v>20</v>
      </c>
      <c r="C38" s="1" t="s">
        <v>719</v>
      </c>
      <c r="E38" s="246"/>
      <c r="G38" s="49">
        <f>ROUND(G36*G37,0)</f>
        <v>1288800</v>
      </c>
    </row>
    <row r="39" spans="1:10" x14ac:dyDescent="0.2">
      <c r="A39" s="99"/>
      <c r="E39" s="246"/>
    </row>
    <row r="40" spans="1:10" x14ac:dyDescent="0.2">
      <c r="A40" s="99">
        <f>A38+1</f>
        <v>21</v>
      </c>
      <c r="C40" s="1" t="s">
        <v>704</v>
      </c>
      <c r="E40" s="246">
        <v>926</v>
      </c>
      <c r="G40" s="19">
        <v>100896</v>
      </c>
    </row>
    <row r="41" spans="1:10" x14ac:dyDescent="0.2">
      <c r="A41" s="99">
        <f>A40+1</f>
        <v>22</v>
      </c>
      <c r="C41" s="1" t="s">
        <v>224</v>
      </c>
      <c r="E41" s="246"/>
      <c r="G41" s="30">
        <v>0.89033159067247547</v>
      </c>
      <c r="J41" s="44"/>
    </row>
    <row r="42" spans="1:10" x14ac:dyDescent="0.2">
      <c r="A42" s="99">
        <f>A41+1</f>
        <v>23</v>
      </c>
      <c r="C42" s="1" t="s">
        <v>719</v>
      </c>
      <c r="E42" s="246"/>
      <c r="G42" s="49">
        <f>ROUND(G40*G41,0)</f>
        <v>89831</v>
      </c>
    </row>
    <row r="43" spans="1:10" x14ac:dyDescent="0.2">
      <c r="A43" s="99"/>
    </row>
    <row r="44" spans="1:10" ht="13.5" thickBot="1" x14ac:dyDescent="0.25">
      <c r="A44" s="99">
        <f>A42+1</f>
        <v>24</v>
      </c>
      <c r="C44" s="1" t="s">
        <v>718</v>
      </c>
      <c r="G44" s="45">
        <f>G21+G38+G42</f>
        <v>1504533</v>
      </c>
    </row>
    <row r="45" spans="1:10" ht="13.5" thickTop="1" x14ac:dyDescent="0.2"/>
  </sheetData>
  <pageMargins left="0.7" right="0.7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"/>
  <sheetViews>
    <sheetView topLeftCell="A16" workbookViewId="0">
      <selection activeCell="H63" sqref="H63"/>
    </sheetView>
  </sheetViews>
  <sheetFormatPr defaultRowHeight="12.75" x14ac:dyDescent="0.2"/>
  <cols>
    <col min="1" max="1" width="4.42578125" style="1" customWidth="1"/>
    <col min="2" max="2" width="1" style="1" customWidth="1"/>
    <col min="3" max="3" width="66" style="1" customWidth="1"/>
    <col min="4" max="4" width="0.7109375" style="1" customWidth="1"/>
    <col min="5" max="5" width="11" style="1" bestFit="1" customWidth="1"/>
    <col min="6" max="6" width="1.85546875" style="1" customWidth="1"/>
    <col min="7" max="7" width="14.5703125" style="1" customWidth="1"/>
    <col min="8" max="8" width="2.42578125" style="1" customWidth="1"/>
    <col min="9" max="9" width="16.140625" style="1" bestFit="1" customWidth="1"/>
    <col min="10" max="10" width="2.7109375" style="1" customWidth="1"/>
    <col min="11" max="11" width="14.7109375" style="1" customWidth="1"/>
    <col min="12" max="12" width="0.85546875" style="1" customWidth="1"/>
    <col min="13" max="13" width="14.28515625" style="1" bestFit="1" customWidth="1"/>
    <col min="14" max="14" width="0.85546875" style="1" customWidth="1"/>
    <col min="15" max="15" width="14.28515625" style="1" bestFit="1" customWidth="1"/>
    <col min="16" max="16" width="13.140625" style="1" bestFit="1" customWidth="1"/>
    <col min="17" max="17" width="13.7109375" style="1" bestFit="1" customWidth="1"/>
    <col min="18" max="18" width="11" style="1" customWidth="1"/>
    <col min="19" max="19" width="13.140625" style="1" bestFit="1" customWidth="1"/>
    <col min="20" max="20" width="11.7109375" style="1" customWidth="1"/>
    <col min="21" max="21" width="10.28515625" style="1" customWidth="1"/>
    <col min="22" max="22" width="11.85546875" style="1" customWidth="1"/>
    <col min="23" max="23" width="9.140625" style="1"/>
    <col min="24" max="24" width="9.85546875" style="1" bestFit="1" customWidth="1"/>
    <col min="25" max="25" width="10.5703125" style="1" customWidth="1"/>
    <col min="26" max="26" width="10.140625" style="1" customWidth="1"/>
    <col min="27" max="27" width="10.42578125" style="1" bestFit="1" customWidth="1"/>
    <col min="28" max="16384" width="9.140625" style="1"/>
  </cols>
  <sheetData>
    <row r="1" spans="1:32" x14ac:dyDescent="0.2">
      <c r="A1" s="1" t="str">
        <f>A!$A$1</f>
        <v>Kentucky Utilities Company</v>
      </c>
      <c r="M1" s="27" t="str">
        <f>A!$K$1</f>
        <v>Exhibit RCS-1</v>
      </c>
    </row>
    <row r="2" spans="1:32" x14ac:dyDescent="0.2">
      <c r="A2" s="1" t="s">
        <v>133</v>
      </c>
      <c r="M2" s="27" t="s">
        <v>97</v>
      </c>
    </row>
    <row r="3" spans="1:32" x14ac:dyDescent="0.2">
      <c r="A3" s="41"/>
      <c r="M3" s="27" t="str">
        <f>A!$K$3</f>
        <v>Case No. 2016-00370</v>
      </c>
    </row>
    <row r="4" spans="1:32" x14ac:dyDescent="0.2">
      <c r="A4" s="1" t="s">
        <v>328</v>
      </c>
      <c r="M4" s="27" t="s">
        <v>52</v>
      </c>
    </row>
    <row r="5" spans="1:32" x14ac:dyDescent="0.2">
      <c r="J5" s="3"/>
      <c r="K5" s="3"/>
      <c r="L5" s="3"/>
      <c r="M5" s="3" t="s">
        <v>160</v>
      </c>
    </row>
    <row r="6" spans="1:32" x14ac:dyDescent="0.2">
      <c r="E6" s="99" t="s">
        <v>185</v>
      </c>
      <c r="F6" s="3"/>
      <c r="G6" s="3"/>
      <c r="H6" s="3"/>
      <c r="I6" s="3"/>
      <c r="J6" s="3"/>
      <c r="K6" s="3"/>
      <c r="L6" s="3"/>
      <c r="M6" s="3" t="s">
        <v>66</v>
      </c>
    </row>
    <row r="7" spans="1:32" x14ac:dyDescent="0.2">
      <c r="A7" s="3" t="s">
        <v>0</v>
      </c>
      <c r="E7" s="12" t="s">
        <v>80</v>
      </c>
      <c r="F7" s="3"/>
      <c r="G7" s="3"/>
      <c r="H7" s="3"/>
      <c r="I7" s="3" t="s">
        <v>160</v>
      </c>
      <c r="J7" s="3"/>
      <c r="K7" s="3" t="s">
        <v>160</v>
      </c>
      <c r="L7" s="3"/>
      <c r="M7" s="3" t="s">
        <v>67</v>
      </c>
    </row>
    <row r="8" spans="1:32" x14ac:dyDescent="0.2">
      <c r="A8" s="11" t="s">
        <v>2</v>
      </c>
      <c r="C8" s="2" t="s">
        <v>3</v>
      </c>
      <c r="E8" s="11" t="s">
        <v>15</v>
      </c>
      <c r="F8" s="3"/>
      <c r="G8" s="11" t="s">
        <v>134</v>
      </c>
      <c r="H8" s="3"/>
      <c r="I8" s="11" t="s">
        <v>4</v>
      </c>
      <c r="J8" s="11"/>
      <c r="K8" s="11" t="s">
        <v>81</v>
      </c>
      <c r="L8" s="12"/>
      <c r="M8" s="11" t="s">
        <v>16</v>
      </c>
    </row>
    <row r="9" spans="1:32" x14ac:dyDescent="0.2">
      <c r="A9" s="12"/>
      <c r="C9" s="13"/>
      <c r="E9" s="12"/>
      <c r="F9" s="3"/>
      <c r="G9" s="3"/>
      <c r="H9" s="3"/>
      <c r="I9" s="12" t="s">
        <v>6</v>
      </c>
      <c r="J9" s="12"/>
      <c r="K9" s="12" t="s">
        <v>7</v>
      </c>
      <c r="L9" s="12"/>
      <c r="M9" s="12" t="s">
        <v>18</v>
      </c>
    </row>
    <row r="10" spans="1:32" x14ac:dyDescent="0.2">
      <c r="A10" s="12"/>
      <c r="C10" s="13"/>
      <c r="E10" s="12"/>
      <c r="F10" s="3"/>
      <c r="L10" s="12"/>
      <c r="M10" s="12"/>
    </row>
    <row r="11" spans="1:32" x14ac:dyDescent="0.2">
      <c r="A11" s="12">
        <v>1</v>
      </c>
      <c r="C11" s="13"/>
      <c r="E11" s="12" t="s">
        <v>135</v>
      </c>
      <c r="F11" s="3"/>
      <c r="G11" s="48" t="s">
        <v>188</v>
      </c>
      <c r="H11" s="3"/>
      <c r="I11" s="12"/>
      <c r="J11" s="12"/>
      <c r="K11" s="26">
        <f>'D P1'!$K$22</f>
        <v>-9.461003633202944E-3</v>
      </c>
      <c r="L11" s="12"/>
      <c r="M11" s="12"/>
    </row>
    <row r="12" spans="1:32" x14ac:dyDescent="0.2">
      <c r="A12" s="3">
        <f>A11+1</f>
        <v>2</v>
      </c>
      <c r="C12" s="14" t="s">
        <v>268</v>
      </c>
      <c r="E12" s="42" t="s">
        <v>136</v>
      </c>
      <c r="G12" s="10" t="s">
        <v>84</v>
      </c>
      <c r="H12" s="3"/>
      <c r="I12" s="12"/>
      <c r="J12" s="12" t="s">
        <v>137</v>
      </c>
      <c r="K12" s="108">
        <f>'A-1'!O22</f>
        <v>1.6416051320148557</v>
      </c>
      <c r="L12" s="3"/>
    </row>
    <row r="13" spans="1:32" x14ac:dyDescent="0.2">
      <c r="A13" s="3">
        <f>A12+1</f>
        <v>3</v>
      </c>
      <c r="C13" s="1" t="s">
        <v>657</v>
      </c>
      <c r="E13" s="16" t="s">
        <v>44</v>
      </c>
      <c r="I13" s="4">
        <f>A!$G$10</f>
        <v>3638800730.0279121</v>
      </c>
      <c r="J13" s="3"/>
      <c r="K13" s="15">
        <f>K11*K12</f>
        <v>-1.5531232118277147E-2</v>
      </c>
      <c r="L13" s="3"/>
      <c r="M13" s="4">
        <f>ROUND(I13*K13,0)</f>
        <v>-56515059</v>
      </c>
    </row>
    <row r="14" spans="1:32" x14ac:dyDescent="0.2">
      <c r="A14" s="3"/>
      <c r="E14" s="4"/>
      <c r="I14" s="4"/>
      <c r="J14" s="3"/>
      <c r="L14" s="3"/>
      <c r="M14" s="4"/>
    </row>
    <row r="15" spans="1:32" x14ac:dyDescent="0.2">
      <c r="A15" s="3">
        <f>A13+1</f>
        <v>4</v>
      </c>
      <c r="E15" s="16" t="s">
        <v>135</v>
      </c>
      <c r="G15" s="1" t="s">
        <v>189</v>
      </c>
      <c r="I15" s="4"/>
      <c r="J15" s="3"/>
      <c r="K15" s="109">
        <f>'D P1'!K20</f>
        <v>6.3445861023266659E-2</v>
      </c>
      <c r="L15" s="3"/>
      <c r="M15" s="4"/>
    </row>
    <row r="16" spans="1:32" x14ac:dyDescent="0.2">
      <c r="A16" s="3">
        <f>A15+1</f>
        <v>5</v>
      </c>
      <c r="C16" s="14" t="s">
        <v>679</v>
      </c>
      <c r="E16" s="16" t="s">
        <v>136</v>
      </c>
      <c r="G16" s="1" t="s">
        <v>84</v>
      </c>
      <c r="I16" s="4"/>
      <c r="J16" s="3" t="s">
        <v>137</v>
      </c>
      <c r="K16" s="140">
        <f>$K$12</f>
        <v>1.6416051320148557</v>
      </c>
      <c r="L16" s="3"/>
      <c r="M16" s="4"/>
      <c r="Q16" s="70" t="str">
        <f>B.1!G7</f>
        <v>B-1</v>
      </c>
      <c r="R16" s="70" t="str">
        <f>B.1!H7</f>
        <v>B-2</v>
      </c>
      <c r="S16" s="70" t="str">
        <f>B.1!I7</f>
        <v>B-3</v>
      </c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</row>
    <row r="17" spans="1:51" x14ac:dyDescent="0.2">
      <c r="A17" s="3"/>
      <c r="C17" s="14"/>
      <c r="E17" s="16"/>
      <c r="I17" s="23" t="s">
        <v>143</v>
      </c>
      <c r="J17" s="3"/>
      <c r="K17" s="21"/>
      <c r="L17" s="3"/>
      <c r="M17" s="4"/>
      <c r="Q17" s="4" t="e">
        <f>B.1!#REF!</f>
        <v>#REF!</v>
      </c>
      <c r="R17" s="4" t="e">
        <f>B.1!#REF!</f>
        <v>#REF!</v>
      </c>
      <c r="S17" s="4" t="e">
        <f>B.1!#REF!</f>
        <v>#REF!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51" x14ac:dyDescent="0.2">
      <c r="A18" s="3">
        <f>A16+1</f>
        <v>6</v>
      </c>
      <c r="C18" s="1" t="str">
        <f>Contents!B16</f>
        <v>Slippage Adjustment</v>
      </c>
      <c r="E18" s="16" t="str">
        <f>B.1!$G$7</f>
        <v>B-1</v>
      </c>
      <c r="G18" s="4"/>
      <c r="I18" s="4">
        <f>B.1!$G$39</f>
        <v>-7142892.1027194038</v>
      </c>
      <c r="J18" s="3"/>
      <c r="K18" s="17">
        <f>$K$15*$K$16</f>
        <v>0.10415305106089585</v>
      </c>
      <c r="L18" s="3"/>
      <c r="M18" s="4">
        <f t="shared" ref="M18:M21" si="0">ROUND(I18*K18,0)</f>
        <v>-743954</v>
      </c>
    </row>
    <row r="19" spans="1:51" x14ac:dyDescent="0.2">
      <c r="A19" s="3">
        <f t="shared" ref="A19:A21" si="1">A18+1</f>
        <v>7</v>
      </c>
      <c r="C19" s="1" t="str">
        <f>Contents!B17</f>
        <v>Distribution Automation</v>
      </c>
      <c r="E19" s="16" t="str">
        <f>B.1!$H$7</f>
        <v>B-2</v>
      </c>
      <c r="G19" s="4"/>
      <c r="I19" s="4">
        <f>B.1!$H$39</f>
        <v>-2905007.6387200002</v>
      </c>
      <c r="J19" s="3"/>
      <c r="K19" s="17">
        <f t="shared" ref="K19:K21" si="2">$K$15*$K$16</f>
        <v>0.10415305106089585</v>
      </c>
      <c r="L19" s="3"/>
      <c r="M19" s="4">
        <f t="shared" si="0"/>
        <v>-302565</v>
      </c>
    </row>
    <row r="20" spans="1:51" x14ac:dyDescent="0.2">
      <c r="A20" s="3">
        <f t="shared" si="1"/>
        <v>8</v>
      </c>
      <c r="C20" s="1" t="str">
        <f>Contents!B18</f>
        <v>Cash Working Capital</v>
      </c>
      <c r="E20" s="16" t="str">
        <f>B.1!$I$7</f>
        <v>B-3</v>
      </c>
      <c r="G20" s="4"/>
      <c r="I20" s="4">
        <f>B.1!I39</f>
        <v>-1774884</v>
      </c>
      <c r="J20" s="3"/>
      <c r="K20" s="17">
        <f t="shared" si="2"/>
        <v>0.10415305106089585</v>
      </c>
      <c r="L20" s="3"/>
      <c r="M20" s="4">
        <f t="shared" si="0"/>
        <v>-184860</v>
      </c>
    </row>
    <row r="21" spans="1:51" x14ac:dyDescent="0.2">
      <c r="A21" s="99">
        <f t="shared" si="1"/>
        <v>9</v>
      </c>
      <c r="C21" s="89" t="str">
        <f>Contents!B19</f>
        <v>Advanced Metering Systems</v>
      </c>
      <c r="E21" s="16" t="s">
        <v>600</v>
      </c>
      <c r="G21" s="4"/>
      <c r="I21" s="4">
        <f>B.1!J39</f>
        <v>-23673301.640000001</v>
      </c>
      <c r="J21" s="99"/>
      <c r="K21" s="17">
        <f t="shared" si="2"/>
        <v>0.10415305106089585</v>
      </c>
      <c r="L21" s="99"/>
      <c r="M21" s="4">
        <f t="shared" si="0"/>
        <v>-2465647</v>
      </c>
    </row>
    <row r="22" spans="1:51" ht="13.5" thickBot="1" x14ac:dyDescent="0.25">
      <c r="A22" s="99">
        <f>A21+1</f>
        <v>10</v>
      </c>
      <c r="C22" s="1" t="s">
        <v>680</v>
      </c>
      <c r="E22" s="16"/>
      <c r="I22" s="18">
        <f>SUM(I18:I21)</f>
        <v>-35496085.381439403</v>
      </c>
      <c r="J22" s="3"/>
      <c r="L22" s="3"/>
      <c r="M22" s="19"/>
    </row>
    <row r="23" spans="1:51" ht="13.5" thickTop="1" x14ac:dyDescent="0.2">
      <c r="A23" s="3"/>
      <c r="E23" s="4"/>
      <c r="I23" s="4"/>
      <c r="J23" s="3"/>
      <c r="L23" s="3"/>
      <c r="M23" s="4"/>
    </row>
    <row r="24" spans="1:51" ht="13.5" thickBot="1" x14ac:dyDescent="0.25">
      <c r="A24" s="3">
        <f>A22+1</f>
        <v>11</v>
      </c>
      <c r="C24" s="14" t="s">
        <v>254</v>
      </c>
      <c r="E24" s="16" t="s">
        <v>266</v>
      </c>
      <c r="I24" s="20">
        <f>ROUND(I13+I22,0)</f>
        <v>3603304645</v>
      </c>
      <c r="J24" s="12"/>
      <c r="L24" s="12"/>
      <c r="M24" s="4"/>
      <c r="O24" s="4">
        <f>'D P3'!S16</f>
        <v>3603304645</v>
      </c>
      <c r="P24" s="1" t="b">
        <f>O24=I24</f>
        <v>1</v>
      </c>
    </row>
    <row r="25" spans="1:51" ht="13.5" thickTop="1" x14ac:dyDescent="0.2">
      <c r="A25" s="3"/>
      <c r="E25" s="4"/>
      <c r="G25" s="3"/>
      <c r="I25" s="4"/>
      <c r="J25" s="3"/>
      <c r="L25" s="3"/>
      <c r="M25" s="4"/>
    </row>
    <row r="26" spans="1:51" x14ac:dyDescent="0.2">
      <c r="A26" s="3">
        <f>A24+1</f>
        <v>12</v>
      </c>
      <c r="C26" s="14" t="s">
        <v>83</v>
      </c>
      <c r="G26" s="3" t="s">
        <v>82</v>
      </c>
      <c r="I26" s="4"/>
      <c r="J26" s="3"/>
      <c r="K26" s="3" t="s">
        <v>160</v>
      </c>
      <c r="L26" s="3"/>
      <c r="M26" s="4"/>
    </row>
    <row r="27" spans="1:51" x14ac:dyDescent="0.2">
      <c r="A27" s="3"/>
      <c r="G27" s="1" t="s">
        <v>142</v>
      </c>
      <c r="I27" s="46" t="s">
        <v>138</v>
      </c>
      <c r="J27" s="3"/>
      <c r="K27" s="12" t="s">
        <v>84</v>
      </c>
      <c r="L27" s="3"/>
      <c r="M27" s="4"/>
    </row>
    <row r="28" spans="1:51" x14ac:dyDescent="0.2">
      <c r="A28" s="3"/>
      <c r="C28" s="14" t="s">
        <v>162</v>
      </c>
      <c r="G28" s="11" t="s">
        <v>16</v>
      </c>
      <c r="I28" s="23" t="s">
        <v>139</v>
      </c>
      <c r="J28" s="3"/>
      <c r="K28" s="11" t="s">
        <v>140</v>
      </c>
      <c r="L28" s="3"/>
      <c r="M28" s="4"/>
      <c r="R28" s="99" t="str">
        <f>C.1!$G$7</f>
        <v>C-1</v>
      </c>
      <c r="S28" s="99" t="str">
        <f>C.1!$H$7</f>
        <v>C-2</v>
      </c>
      <c r="T28" s="99" t="str">
        <f>C.1!$I$7</f>
        <v>C-3</v>
      </c>
      <c r="U28" s="99" t="str">
        <f>C.1!$J$7</f>
        <v>C-4</v>
      </c>
      <c r="V28" s="99" t="str">
        <f>C.1!$K$7</f>
        <v>C-5</v>
      </c>
      <c r="W28" s="99" t="str">
        <f>C.1!$L$7</f>
        <v>C-6</v>
      </c>
      <c r="X28" s="99" t="str">
        <f>C.1!$M$7</f>
        <v>C-7</v>
      </c>
      <c r="Y28" s="99" t="str">
        <f>C.1!$N$7</f>
        <v>C-8</v>
      </c>
      <c r="Z28" s="99" t="str">
        <f>C.1!$O$7</f>
        <v>C-9</v>
      </c>
      <c r="AA28" s="99" t="str">
        <f>C.1!$P$7</f>
        <v>C-10</v>
      </c>
      <c r="AB28" s="99" t="str">
        <f>C.1!$Q$7</f>
        <v>C-11</v>
      </c>
      <c r="AC28" s="99" t="e">
        <f>C.1!#REF!</f>
        <v>#REF!</v>
      </c>
      <c r="AD28" s="99" t="e">
        <f>C.1!#REF!</f>
        <v>#REF!</v>
      </c>
    </row>
    <row r="29" spans="1:51" x14ac:dyDescent="0.2">
      <c r="A29" s="3">
        <f>A26+1</f>
        <v>13</v>
      </c>
      <c r="C29" s="1" t="str">
        <f>Contents!B25</f>
        <v>Interest Synchronization</v>
      </c>
      <c r="E29" s="3" t="str">
        <f>C.1!$G$7</f>
        <v>C-1</v>
      </c>
      <c r="G29" s="4">
        <v>0</v>
      </c>
      <c r="H29" s="4"/>
      <c r="I29" s="4">
        <f>C.1!G24</f>
        <v>1550104.6463576742</v>
      </c>
      <c r="J29" s="3"/>
      <c r="K29" s="110">
        <f>$K$16</f>
        <v>1.6416051320148557</v>
      </c>
      <c r="L29" s="3"/>
      <c r="M29" s="4">
        <f t="shared" ref="M29:M39" si="3">-ROUND(I29*K29,0)</f>
        <v>-2544660</v>
      </c>
      <c r="Q29" s="1" t="s">
        <v>166</v>
      </c>
      <c r="R29" s="4">
        <f>C.1!$G$24</f>
        <v>1550104.6463576742</v>
      </c>
      <c r="S29" s="4">
        <f>C.1!$H$24</f>
        <v>1595597</v>
      </c>
      <c r="T29" s="4">
        <f>C.1!$I$24</f>
        <v>2320797</v>
      </c>
      <c r="U29" s="4">
        <f>C.1!$J$24</f>
        <v>2411262</v>
      </c>
      <c r="V29" s="4">
        <f>C.1!$K$24</f>
        <v>573697.44799999986</v>
      </c>
      <c r="W29" s="4">
        <f>C.1!$L$24</f>
        <v>102630</v>
      </c>
      <c r="X29" s="4">
        <f>C.1!$M$24</f>
        <v>40381</v>
      </c>
      <c r="Y29" s="4">
        <f>C.1!$N$24</f>
        <v>1151901.4280000001</v>
      </c>
      <c r="Z29" s="4">
        <f>C.1!$O$24</f>
        <v>921526</v>
      </c>
      <c r="AA29" s="4">
        <f>C.1!$P$24</f>
        <v>0</v>
      </c>
      <c r="AB29" s="4">
        <f>C.1!$Q$24</f>
        <v>154799</v>
      </c>
      <c r="AC29" s="4" t="e">
        <f>C.1!#REF!</f>
        <v>#REF!</v>
      </c>
      <c r="AD29" s="4" t="e">
        <f>C.1!#REF!</f>
        <v>#REF!</v>
      </c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x14ac:dyDescent="0.2">
      <c r="A30" s="3">
        <f>A29+1</f>
        <v>14</v>
      </c>
      <c r="C30" s="1" t="str">
        <f>Contents!B26</f>
        <v>Incentive Compensation Expense</v>
      </c>
      <c r="E30" s="3" t="str">
        <f>C.1!$H$7</f>
        <v>C-2</v>
      </c>
      <c r="G30" s="4">
        <f>C.1!H15</f>
        <v>-2605059</v>
      </c>
      <c r="H30" s="4"/>
      <c r="I30" s="4">
        <f>C.1!$H$24</f>
        <v>1595597</v>
      </c>
      <c r="J30" s="3"/>
      <c r="K30" s="110">
        <f t="shared" ref="K30:K39" si="4">$K$16</f>
        <v>1.6416051320148557</v>
      </c>
      <c r="L30" s="3"/>
      <c r="M30" s="4">
        <f t="shared" si="3"/>
        <v>-2619340</v>
      </c>
      <c r="Q30" s="1" t="s">
        <v>167</v>
      </c>
      <c r="R30" s="4" t="e">
        <f>C.1!#REF!</f>
        <v>#REF!</v>
      </c>
      <c r="S30" s="4" t="e">
        <f>C.1!#REF!</f>
        <v>#REF!</v>
      </c>
      <c r="T30" s="4" t="e">
        <f>C.1!#REF!</f>
        <v>#REF!</v>
      </c>
      <c r="U30" s="4" t="e">
        <f>C.1!#REF!</f>
        <v>#REF!</v>
      </c>
      <c r="V30" s="4" t="e">
        <f>C.1!#REF!</f>
        <v>#REF!</v>
      </c>
      <c r="W30" s="4" t="e">
        <f>C.1!#REF!</f>
        <v>#REF!</v>
      </c>
      <c r="X30" s="4" t="e">
        <f>C.1!#REF!</f>
        <v>#REF!</v>
      </c>
      <c r="Y30" s="4" t="e">
        <f>C.1!#REF!</f>
        <v>#REF!</v>
      </c>
      <c r="Z30" s="4" t="e">
        <f>C.1!#REF!</f>
        <v>#REF!</v>
      </c>
      <c r="AA30" s="4" t="e">
        <f>C.1!#REF!</f>
        <v>#REF!</v>
      </c>
      <c r="AB30" s="4" t="e">
        <f>C.1!#REF!</f>
        <v>#REF!</v>
      </c>
      <c r="AC30" s="4" t="e">
        <f>C.1!#REF!</f>
        <v>#REF!</v>
      </c>
      <c r="AD30" s="4" t="e">
        <f>C.1!#REF!</f>
        <v>#REF!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x14ac:dyDescent="0.2">
      <c r="A31" s="3">
        <f t="shared" ref="A31:A42" si="5">A30+1</f>
        <v>15</v>
      </c>
      <c r="C31" s="1" t="str">
        <f>Contents!B27</f>
        <v>Advanced Metering Services</v>
      </c>
      <c r="E31" s="3" t="str">
        <f>C.1!$I$7</f>
        <v>C-3</v>
      </c>
      <c r="G31" s="4">
        <f>C.1!$I$15+C.1!$I$16</f>
        <v>-3789059</v>
      </c>
      <c r="H31" s="4"/>
      <c r="I31" s="4">
        <f>C.1!I24</f>
        <v>2320797</v>
      </c>
      <c r="J31" s="3"/>
      <c r="K31" s="110">
        <f t="shared" si="4"/>
        <v>1.6416051320148557</v>
      </c>
      <c r="L31" s="3"/>
      <c r="M31" s="4">
        <f t="shared" si="3"/>
        <v>-3809832</v>
      </c>
      <c r="O31" s="44">
        <f>M18+M31</f>
        <v>-4553786</v>
      </c>
      <c r="S31"/>
      <c r="T31"/>
      <c r="U31"/>
    </row>
    <row r="32" spans="1:51" x14ac:dyDescent="0.2">
      <c r="A32" s="3">
        <f t="shared" si="5"/>
        <v>16</v>
      </c>
      <c r="C32" s="1" t="str">
        <f>Contents!B28</f>
        <v>Transmission Vegetation Management Expense</v>
      </c>
      <c r="E32" s="3" t="str">
        <f>C.1!$J$7</f>
        <v>C-4</v>
      </c>
      <c r="G32" s="4">
        <f>C.1!J15</f>
        <v>-3936758</v>
      </c>
      <c r="H32" s="4"/>
      <c r="I32" s="4">
        <f>C.1!$J$24</f>
        <v>2411262</v>
      </c>
      <c r="J32" s="3"/>
      <c r="K32" s="110">
        <f t="shared" si="4"/>
        <v>1.6416051320148557</v>
      </c>
      <c r="L32" s="3"/>
      <c r="M32" s="4">
        <f t="shared" si="3"/>
        <v>-3958340</v>
      </c>
      <c r="S32"/>
      <c r="T32"/>
      <c r="U32"/>
    </row>
    <row r="33" spans="1:21" x14ac:dyDescent="0.2">
      <c r="A33" s="3">
        <f t="shared" si="5"/>
        <v>17</v>
      </c>
      <c r="C33" s="1" t="str">
        <f>Contents!B29</f>
        <v>Uncollectibles Expense</v>
      </c>
      <c r="E33" s="3" t="str">
        <f>C.1!$K$7</f>
        <v>C-5</v>
      </c>
      <c r="G33" s="4">
        <f>C.1!K15</f>
        <v>-936649.44799999986</v>
      </c>
      <c r="H33" s="4"/>
      <c r="I33" s="4">
        <f>C.1!$K$24</f>
        <v>573697.44799999986</v>
      </c>
      <c r="J33" s="3"/>
      <c r="K33" s="110">
        <f t="shared" si="4"/>
        <v>1.6416051320148557</v>
      </c>
      <c r="L33" s="3"/>
      <c r="M33" s="4">
        <f t="shared" si="3"/>
        <v>-941785</v>
      </c>
      <c r="S33"/>
      <c r="T33"/>
      <c r="U33"/>
    </row>
    <row r="34" spans="1:21" x14ac:dyDescent="0.2">
      <c r="A34" s="3">
        <f t="shared" si="5"/>
        <v>18</v>
      </c>
      <c r="C34" s="1" t="str">
        <f>Contents!B30</f>
        <v>Depreciation Expense - Impacts of Slippage</v>
      </c>
      <c r="E34" s="3" t="str">
        <f>C.1!$L$7</f>
        <v>C-6</v>
      </c>
      <c r="G34" s="4">
        <f>C.1!L16</f>
        <v>-167559</v>
      </c>
      <c r="H34" s="4"/>
      <c r="I34" s="4">
        <f>C.1!$L$24</f>
        <v>102630</v>
      </c>
      <c r="J34" s="3"/>
      <c r="K34" s="110">
        <f t="shared" si="4"/>
        <v>1.6416051320148557</v>
      </c>
      <c r="L34" s="3"/>
      <c r="M34" s="4">
        <f t="shared" si="3"/>
        <v>-168478</v>
      </c>
      <c r="S34"/>
      <c r="T34"/>
      <c r="U34"/>
    </row>
    <row r="35" spans="1:21" x14ac:dyDescent="0.2">
      <c r="A35" s="3">
        <f t="shared" si="5"/>
        <v>19</v>
      </c>
      <c r="C35" s="1" t="str">
        <f>Contents!B31</f>
        <v>Depreciation Expense Related to Distribution Automation</v>
      </c>
      <c r="E35" s="3" t="str">
        <f>C.1!$M$7</f>
        <v>C-7</v>
      </c>
      <c r="G35" s="4">
        <f>C.1!M16</f>
        <v>-65929</v>
      </c>
      <c r="H35" s="4"/>
      <c r="I35" s="4">
        <f>C.1!$M$24</f>
        <v>40381</v>
      </c>
      <c r="J35" s="3"/>
      <c r="K35" s="110">
        <f t="shared" si="4"/>
        <v>1.6416051320148557</v>
      </c>
      <c r="L35" s="3"/>
      <c r="M35" s="4">
        <f t="shared" si="3"/>
        <v>-66290</v>
      </c>
      <c r="S35"/>
      <c r="T35"/>
      <c r="U35"/>
    </row>
    <row r="36" spans="1:21" x14ac:dyDescent="0.2">
      <c r="A36" s="3">
        <f t="shared" si="5"/>
        <v>20</v>
      </c>
      <c r="C36" s="1" t="str">
        <f>Contents!B32</f>
        <v>Payroll and Employee Benefits Expense - Remove Vacant Positions</v>
      </c>
      <c r="E36" s="3" t="str">
        <f>C.1!$N$7</f>
        <v>C-8</v>
      </c>
      <c r="G36" s="4">
        <f>C.1!$N$15+C.1!$N$18</f>
        <v>-1880656.4280000001</v>
      </c>
      <c r="H36" s="4"/>
      <c r="I36" s="4">
        <f>C.1!$N$24</f>
        <v>1151901.4280000001</v>
      </c>
      <c r="J36" s="3"/>
      <c r="K36" s="110">
        <f t="shared" si="4"/>
        <v>1.6416051320148557</v>
      </c>
      <c r="L36" s="3"/>
      <c r="M36" s="4">
        <f t="shared" si="3"/>
        <v>-1890967</v>
      </c>
      <c r="S36"/>
      <c r="T36"/>
      <c r="U36"/>
    </row>
    <row r="37" spans="1:21" x14ac:dyDescent="0.2">
      <c r="A37" s="3">
        <f t="shared" si="5"/>
        <v>21</v>
      </c>
      <c r="C37" s="1" t="str">
        <f>Contents!B33</f>
        <v>Affliliate Charges From PPL Services Corporation to LG&amp;E</v>
      </c>
      <c r="E37" s="3" t="str">
        <f>C.1!$O$7</f>
        <v>C-9</v>
      </c>
      <c r="G37" s="4">
        <f>C.1!O15</f>
        <v>-1504533</v>
      </c>
      <c r="H37" s="4"/>
      <c r="I37" s="4">
        <f>C.1!$O$24</f>
        <v>921526</v>
      </c>
      <c r="J37" s="3"/>
      <c r="K37" s="110">
        <f t="shared" si="4"/>
        <v>1.6416051320148557</v>
      </c>
      <c r="L37" s="3"/>
      <c r="M37" s="4">
        <f t="shared" si="3"/>
        <v>-1512782</v>
      </c>
      <c r="S37"/>
      <c r="T37"/>
      <c r="U37"/>
    </row>
    <row r="38" spans="1:21" x14ac:dyDescent="0.2">
      <c r="A38" s="3">
        <f t="shared" si="5"/>
        <v>22</v>
      </c>
      <c r="C38" s="1" t="str">
        <f>Contents!B34</f>
        <v>Not Used for KU</v>
      </c>
      <c r="E38" s="3" t="str">
        <f>C.1!$P$7</f>
        <v>C-10</v>
      </c>
      <c r="G38" s="4">
        <f>C.1!P15</f>
        <v>0</v>
      </c>
      <c r="H38" s="4"/>
      <c r="I38" s="4">
        <f>C.1!$P$24</f>
        <v>0</v>
      </c>
      <c r="J38" s="3"/>
      <c r="K38" s="110">
        <f t="shared" si="4"/>
        <v>1.6416051320148557</v>
      </c>
      <c r="L38" s="3"/>
      <c r="M38" s="4">
        <f t="shared" si="3"/>
        <v>0</v>
      </c>
      <c r="S38"/>
      <c r="T38"/>
      <c r="U38"/>
    </row>
    <row r="39" spans="1:21" x14ac:dyDescent="0.2">
      <c r="A39" s="3">
        <f t="shared" si="5"/>
        <v>23</v>
      </c>
      <c r="C39" s="1" t="str">
        <f>Contents!B35</f>
        <v>Rescheduling of Expiring Regulatory Asset Amortizations</v>
      </c>
      <c r="E39" s="3" t="str">
        <f>C.1!$Q$7</f>
        <v>C-11</v>
      </c>
      <c r="G39" s="4">
        <f>C.1!Q15</f>
        <v>-252734</v>
      </c>
      <c r="H39" s="4"/>
      <c r="I39" s="4">
        <f>C.1!$Q$24</f>
        <v>154799</v>
      </c>
      <c r="J39" s="3"/>
      <c r="K39" s="110">
        <f t="shared" si="4"/>
        <v>1.6416051320148557</v>
      </c>
      <c r="L39" s="3"/>
      <c r="M39" s="4">
        <f t="shared" si="3"/>
        <v>-254119</v>
      </c>
      <c r="S39"/>
      <c r="T39"/>
      <c r="U39"/>
    </row>
    <row r="40" spans="1:21" ht="13.5" thickBot="1" x14ac:dyDescent="0.25">
      <c r="A40" s="99">
        <f t="shared" si="5"/>
        <v>24</v>
      </c>
      <c r="C40" s="1" t="s">
        <v>163</v>
      </c>
      <c r="E40" s="3" t="s">
        <v>95</v>
      </c>
      <c r="G40" s="18">
        <f>SUM(G29:G39)</f>
        <v>-15138936.875999998</v>
      </c>
      <c r="I40" s="19">
        <f>SUM(I29:I39)</f>
        <v>10822695.522357672</v>
      </c>
      <c r="J40" s="3"/>
      <c r="K40" s="3"/>
      <c r="L40" s="3"/>
      <c r="O40" s="4">
        <f>'C'!G30</f>
        <v>0</v>
      </c>
      <c r="P40" s="4">
        <f>IF(O40=I40,0,O40-I40)</f>
        <v>-10822695.522357672</v>
      </c>
    </row>
    <row r="41" spans="1:21" ht="13.5" thickTop="1" x14ac:dyDescent="0.2">
      <c r="A41" s="3">
        <f t="shared" si="5"/>
        <v>25</v>
      </c>
      <c r="C41" s="1" t="s">
        <v>141</v>
      </c>
      <c r="E41" s="3" t="s">
        <v>131</v>
      </c>
      <c r="I41" s="4">
        <f>ROUND(A!$G$13,0)</f>
        <v>202510540</v>
      </c>
      <c r="J41" s="3"/>
      <c r="K41" s="3"/>
      <c r="L41" s="3"/>
      <c r="M41" s="4"/>
    </row>
    <row r="42" spans="1:21" ht="13.5" thickBot="1" x14ac:dyDescent="0.25">
      <c r="A42" s="3">
        <f t="shared" si="5"/>
        <v>26</v>
      </c>
      <c r="C42" s="14" t="s">
        <v>164</v>
      </c>
      <c r="E42" s="3" t="s">
        <v>131</v>
      </c>
      <c r="I42" s="18">
        <f>SUM(I40:I41)</f>
        <v>213333235.52235767</v>
      </c>
      <c r="J42" s="3"/>
      <c r="K42" s="3"/>
      <c r="L42" s="3"/>
      <c r="M42" s="4"/>
      <c r="O42" s="4">
        <f>ROUND(A!$I$13,0)</f>
        <v>213333236</v>
      </c>
      <c r="P42" s="4">
        <f>IF(O42=I42,0,O42-I42)</f>
        <v>0.47764232754707336</v>
      </c>
    </row>
    <row r="43" spans="1:21" ht="13.5" thickTop="1" x14ac:dyDescent="0.2">
      <c r="A43" s="3"/>
      <c r="I43" s="4"/>
      <c r="J43" s="3"/>
      <c r="K43" s="3"/>
      <c r="L43" s="3"/>
      <c r="M43" s="4"/>
    </row>
    <row r="44" spans="1:21" x14ac:dyDescent="0.2">
      <c r="A44" s="3"/>
      <c r="C44" s="14" t="s">
        <v>88</v>
      </c>
      <c r="I44" s="4"/>
      <c r="J44" s="3"/>
      <c r="K44" s="3"/>
      <c r="L44" s="3"/>
      <c r="M44" s="19"/>
    </row>
    <row r="45" spans="1:21" x14ac:dyDescent="0.2">
      <c r="A45" s="3">
        <f>A42+1</f>
        <v>27</v>
      </c>
      <c r="C45" s="1" t="s">
        <v>158</v>
      </c>
      <c r="E45" s="3" t="s">
        <v>136</v>
      </c>
      <c r="I45" s="4"/>
      <c r="J45" s="3"/>
      <c r="K45" s="110">
        <f>'A-1'!$O$22</f>
        <v>1.6416051320148557</v>
      </c>
      <c r="L45" s="3"/>
      <c r="M45" s="19"/>
    </row>
    <row r="46" spans="1:21" x14ac:dyDescent="0.2">
      <c r="A46" s="3">
        <f t="shared" ref="A46:A54" si="6">A45+1</f>
        <v>28</v>
      </c>
      <c r="C46" s="1" t="s">
        <v>47</v>
      </c>
      <c r="E46" s="3" t="s">
        <v>136</v>
      </c>
      <c r="I46" s="4"/>
      <c r="J46" s="3"/>
      <c r="K46" s="108">
        <f>'A-1'!$K$22</f>
        <v>1.6421322016625246</v>
      </c>
      <c r="L46" s="3"/>
      <c r="M46" s="19"/>
    </row>
    <row r="47" spans="1:21" x14ac:dyDescent="0.2">
      <c r="A47" s="3">
        <f t="shared" si="6"/>
        <v>29</v>
      </c>
      <c r="C47" s="1" t="s">
        <v>29</v>
      </c>
      <c r="I47" s="4"/>
      <c r="J47" s="3"/>
      <c r="K47" s="22">
        <f>K45-K46</f>
        <v>-5.2706964766890962E-4</v>
      </c>
      <c r="L47" s="3"/>
      <c r="M47" s="3"/>
    </row>
    <row r="48" spans="1:21" x14ac:dyDescent="0.2">
      <c r="A48" s="3">
        <f t="shared" si="6"/>
        <v>30</v>
      </c>
      <c r="C48" s="1" t="s">
        <v>86</v>
      </c>
      <c r="E48" s="3" t="s">
        <v>43</v>
      </c>
      <c r="I48" s="4"/>
      <c r="J48" s="3"/>
      <c r="K48" s="16">
        <f>A!$G$14</f>
        <v>62783012.336007774</v>
      </c>
      <c r="L48" s="3"/>
      <c r="M48" s="3"/>
    </row>
    <row r="49" spans="1:20" x14ac:dyDescent="0.2">
      <c r="A49" s="3">
        <f t="shared" si="6"/>
        <v>31</v>
      </c>
      <c r="C49" s="1" t="s">
        <v>87</v>
      </c>
      <c r="I49" s="4"/>
      <c r="J49" s="3"/>
      <c r="K49" s="3"/>
      <c r="L49" s="3"/>
      <c r="M49" s="23">
        <f>ROUND(K47*K48,0)</f>
        <v>-33091</v>
      </c>
      <c r="S49" s="44"/>
    </row>
    <row r="50" spans="1:20" x14ac:dyDescent="0.2">
      <c r="A50" s="3">
        <f t="shared" si="6"/>
        <v>32</v>
      </c>
      <c r="C50" s="1" t="s">
        <v>165</v>
      </c>
      <c r="I50" s="4"/>
      <c r="J50" s="3"/>
      <c r="K50" s="3"/>
      <c r="L50" s="3"/>
      <c r="M50" s="16">
        <f>SUM(M13:M49)</f>
        <v>-78011769</v>
      </c>
      <c r="O50" s="4">
        <f>A!K16</f>
        <v>-78011767.895342931</v>
      </c>
      <c r="P50" s="4">
        <f>IF(O50=M50,0,O50-M50)</f>
        <v>1.1046570688486099</v>
      </c>
      <c r="S50" s="16"/>
      <c r="T50" s="44"/>
    </row>
    <row r="51" spans="1:20" x14ac:dyDescent="0.2">
      <c r="A51" s="3">
        <f t="shared" si="6"/>
        <v>33</v>
      </c>
      <c r="C51" s="1" t="s">
        <v>267</v>
      </c>
      <c r="E51" s="3" t="s">
        <v>43</v>
      </c>
      <c r="I51" s="4"/>
      <c r="J51" s="3"/>
      <c r="K51" s="3"/>
      <c r="L51" s="3"/>
      <c r="M51" s="23">
        <f>A!G16</f>
        <v>103098006.27433389</v>
      </c>
    </row>
    <row r="52" spans="1:20" x14ac:dyDescent="0.2">
      <c r="A52" s="3">
        <f t="shared" si="6"/>
        <v>34</v>
      </c>
      <c r="C52" s="1" t="s">
        <v>767</v>
      </c>
      <c r="I52" s="4"/>
      <c r="J52" s="3"/>
      <c r="K52" s="3"/>
      <c r="L52" s="3"/>
      <c r="M52" s="16">
        <f>M50+M51</f>
        <v>25086237.274333894</v>
      </c>
    </row>
    <row r="53" spans="1:20" x14ac:dyDescent="0.2">
      <c r="A53" s="3">
        <f t="shared" si="6"/>
        <v>35</v>
      </c>
      <c r="C53" s="1" t="s">
        <v>766</v>
      </c>
      <c r="E53" s="3" t="s">
        <v>43</v>
      </c>
      <c r="I53" s="4"/>
      <c r="J53" s="3"/>
      <c r="K53" s="3"/>
      <c r="L53" s="3"/>
      <c r="M53" s="16">
        <f>A!I16</f>
        <v>25086238.378990967</v>
      </c>
    </row>
    <row r="54" spans="1:20" ht="13.5" thickBot="1" x14ac:dyDescent="0.25">
      <c r="A54" s="3">
        <f t="shared" si="6"/>
        <v>36</v>
      </c>
      <c r="C54" s="1" t="s">
        <v>179</v>
      </c>
      <c r="E54" s="93" t="s">
        <v>43</v>
      </c>
      <c r="I54" s="4"/>
      <c r="J54" s="3"/>
      <c r="K54" s="3"/>
      <c r="L54" s="3"/>
      <c r="M54" s="24">
        <f>M52-M53</f>
        <v>-1.1046570725739002</v>
      </c>
      <c r="S54" s="44"/>
    </row>
    <row r="55" spans="1:20" ht="13.5" thickTop="1" x14ac:dyDescent="0.2">
      <c r="A55" s="3"/>
      <c r="I55" s="4"/>
      <c r="J55" s="3"/>
      <c r="K55" s="3"/>
      <c r="L55" s="3"/>
      <c r="M55" s="3"/>
    </row>
    <row r="56" spans="1:20" x14ac:dyDescent="0.2">
      <c r="A56" s="25" t="s">
        <v>9</v>
      </c>
      <c r="B56" s="2"/>
      <c r="C56" s="2"/>
      <c r="D56" s="2"/>
      <c r="E56" s="2"/>
      <c r="F56" s="2"/>
      <c r="G56" s="2"/>
      <c r="H56" s="2"/>
      <c r="I56" s="11"/>
      <c r="J56" s="11"/>
      <c r="K56" s="11"/>
      <c r="L56" s="11"/>
      <c r="M56" s="11"/>
      <c r="N56" s="2"/>
      <c r="O56" s="13"/>
    </row>
    <row r="57" spans="1:20" x14ac:dyDescent="0.2">
      <c r="A57" s="10" t="s">
        <v>85</v>
      </c>
      <c r="I57" s="4"/>
      <c r="J57" s="3"/>
      <c r="K57" s="3"/>
      <c r="L57" s="3"/>
      <c r="M57" s="3"/>
    </row>
    <row r="59" spans="1:20" x14ac:dyDescent="0.2">
      <c r="A59" s="1" t="s">
        <v>255</v>
      </c>
    </row>
    <row r="77" spans="15:15" x14ac:dyDescent="0.2">
      <c r="O77" s="30"/>
    </row>
    <row r="78" spans="15:15" x14ac:dyDescent="0.2">
      <c r="O78" s="30"/>
    </row>
    <row r="79" spans="15:15" x14ac:dyDescent="0.2">
      <c r="O79" s="30"/>
    </row>
    <row r="80" spans="15:15" x14ac:dyDescent="0.2">
      <c r="O80" s="13"/>
    </row>
    <row r="81" spans="1:15" x14ac:dyDescent="0.2">
      <c r="O81" s="30"/>
    </row>
    <row r="82" spans="1:15" x14ac:dyDescent="0.2">
      <c r="O82" s="30"/>
    </row>
    <row r="83" spans="1:15" x14ac:dyDescent="0.2">
      <c r="O83" s="30"/>
    </row>
    <row r="84" spans="1:15" x14ac:dyDescent="0.2">
      <c r="O84" s="30"/>
    </row>
    <row r="85" spans="1:15" x14ac:dyDescent="0.2">
      <c r="O85" s="13"/>
    </row>
    <row r="86" spans="1:15" x14ac:dyDescent="0.2">
      <c r="M86" s="37"/>
      <c r="N86" s="13"/>
      <c r="O86" s="38"/>
    </row>
    <row r="87" spans="1:15" x14ac:dyDescent="0.2">
      <c r="C87" s="13"/>
      <c r="M87" s="37"/>
      <c r="O87" s="38"/>
    </row>
    <row r="88" spans="1:15" x14ac:dyDescent="0.2">
      <c r="A88" s="39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">
      <c r="A89" s="13"/>
      <c r="B89" s="13"/>
      <c r="C89" s="13"/>
      <c r="D89" s="13"/>
      <c r="E89" s="40"/>
      <c r="F89" s="13"/>
      <c r="G89" s="13"/>
      <c r="H89" s="13"/>
      <c r="I89" s="30"/>
      <c r="J89" s="13"/>
      <c r="K89" s="37"/>
      <c r="L89" s="13"/>
      <c r="M89" s="30"/>
      <c r="N89" s="13"/>
      <c r="O89" s="13"/>
    </row>
    <row r="90" spans="1:15" x14ac:dyDescent="0.2">
      <c r="A90" s="13"/>
      <c r="B90" s="13"/>
      <c r="C90" s="13"/>
      <c r="D90" s="13"/>
      <c r="E90" s="40"/>
      <c r="F90" s="13"/>
      <c r="G90" s="13"/>
      <c r="H90" s="13"/>
      <c r="I90" s="30"/>
      <c r="J90" s="13"/>
      <c r="K90" s="37"/>
      <c r="L90" s="13"/>
      <c r="M90" s="30"/>
      <c r="N90" s="13"/>
      <c r="O90" s="13"/>
    </row>
    <row r="91" spans="1:15" x14ac:dyDescent="0.2">
      <c r="A91" s="13"/>
      <c r="B91" s="13"/>
      <c r="C91" s="13"/>
      <c r="D91" s="13"/>
      <c r="E91" s="40"/>
      <c r="F91" s="13"/>
      <c r="G91" s="13"/>
      <c r="H91" s="13"/>
      <c r="I91" s="30"/>
      <c r="J91" s="13"/>
      <c r="K91" s="33"/>
      <c r="L91" s="13"/>
      <c r="M91" s="30"/>
      <c r="N91" s="13"/>
      <c r="O91" s="13"/>
    </row>
    <row r="92" spans="1:15" x14ac:dyDescent="0.2">
      <c r="A92" s="13"/>
      <c r="B92" s="13"/>
      <c r="C92" s="13"/>
      <c r="D92" s="13"/>
      <c r="E92" s="40"/>
      <c r="F92" s="13"/>
      <c r="G92" s="13"/>
      <c r="H92" s="13"/>
      <c r="I92" s="37"/>
      <c r="J92" s="13"/>
      <c r="K92" s="13"/>
      <c r="L92" s="13"/>
      <c r="M92" s="37"/>
      <c r="N92" s="13"/>
      <c r="O92" s="13"/>
    </row>
    <row r="93" spans="1:15" x14ac:dyDescent="0.2">
      <c r="C93" s="13"/>
    </row>
    <row r="94" spans="1:15" x14ac:dyDescent="0.2">
      <c r="C94" s="13"/>
    </row>
    <row r="95" spans="1:15" x14ac:dyDescent="0.2">
      <c r="C95" s="13"/>
    </row>
    <row r="96" spans="1:15" x14ac:dyDescent="0.2">
      <c r="D96" s="13"/>
      <c r="E96" s="13"/>
      <c r="F96" s="13"/>
      <c r="G96" s="13"/>
      <c r="H96" s="13"/>
      <c r="I96" s="13"/>
      <c r="J96" s="13"/>
      <c r="K96" s="33"/>
      <c r="L96" s="13"/>
      <c r="M96" s="38"/>
    </row>
    <row r="97" spans="3:13" x14ac:dyDescent="0.2">
      <c r="J97" s="3"/>
      <c r="K97" s="3"/>
      <c r="L97" s="3"/>
      <c r="M97" s="3"/>
    </row>
    <row r="98" spans="3:13" x14ac:dyDescent="0.2">
      <c r="C98" s="13"/>
    </row>
  </sheetData>
  <pageMargins left="0.7" right="0.7" top="0.75" bottom="0.75" header="0.3" footer="0.3"/>
  <pageSetup scale="6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SheetLayoutView="90" workbookViewId="0">
      <selection activeCell="E41" sqref="E41"/>
    </sheetView>
  </sheetViews>
  <sheetFormatPr defaultRowHeight="12.75" x14ac:dyDescent="0.2"/>
  <cols>
    <col min="1" max="1" width="4.28515625" style="1" customWidth="1"/>
    <col min="2" max="2" width="1" style="1" customWidth="1"/>
    <col min="3" max="3" width="73.140625" style="1" bestFit="1" customWidth="1"/>
    <col min="4" max="4" width="1.140625" style="1" customWidth="1"/>
    <col min="5" max="5" width="10.42578125" style="1" customWidth="1"/>
    <col min="6" max="6" width="1" style="1" customWidth="1"/>
    <col min="7" max="7" width="11.140625" style="1" bestFit="1" customWidth="1"/>
    <col min="8" max="8" width="1" style="1" customWidth="1"/>
    <col min="9" max="10" width="11.140625" style="1" customWidth="1"/>
    <col min="11" max="16384" width="9.140625" style="1"/>
  </cols>
  <sheetData>
    <row r="1" spans="1:13" x14ac:dyDescent="0.2">
      <c r="A1" s="1" t="str">
        <f>Contents!A1</f>
        <v>Kentucky Utilities Company</v>
      </c>
      <c r="G1" s="27"/>
      <c r="I1" s="27" t="str">
        <f>Contents!A3</f>
        <v>Exhibit RCS-1</v>
      </c>
      <c r="J1" s="27"/>
    </row>
    <row r="2" spans="1:13" x14ac:dyDescent="0.2">
      <c r="A2" s="1" t="s">
        <v>701</v>
      </c>
      <c r="G2" s="27"/>
      <c r="I2" s="27" t="s">
        <v>243</v>
      </c>
      <c r="J2" s="27"/>
    </row>
    <row r="3" spans="1:13" x14ac:dyDescent="0.2">
      <c r="G3" s="27"/>
      <c r="I3" s="27" t="str">
        <f>Contents!A2</f>
        <v>Case No. 2016-00370</v>
      </c>
      <c r="J3" s="27"/>
    </row>
    <row r="4" spans="1:13" x14ac:dyDescent="0.2">
      <c r="A4" s="1" t="s">
        <v>328</v>
      </c>
      <c r="G4" s="27"/>
      <c r="I4" s="27" t="s">
        <v>37</v>
      </c>
      <c r="J4" s="27"/>
    </row>
    <row r="6" spans="1:13" x14ac:dyDescent="0.2">
      <c r="A6" s="99" t="s">
        <v>0</v>
      </c>
      <c r="E6" s="99"/>
      <c r="F6" s="99"/>
      <c r="G6" s="99"/>
    </row>
    <row r="7" spans="1:13" x14ac:dyDescent="0.2">
      <c r="A7" s="236" t="s">
        <v>2</v>
      </c>
      <c r="C7" s="2" t="s">
        <v>3</v>
      </c>
      <c r="E7" s="236" t="s">
        <v>16</v>
      </c>
      <c r="F7" s="99"/>
      <c r="G7" s="236" t="s">
        <v>15</v>
      </c>
    </row>
    <row r="8" spans="1:13" x14ac:dyDescent="0.2">
      <c r="E8" s="99" t="s">
        <v>6</v>
      </c>
    </row>
    <row r="10" spans="1:13" ht="13.5" thickBot="1" x14ac:dyDescent="0.25">
      <c r="A10" s="99">
        <v>1</v>
      </c>
      <c r="C10" s="1" t="s">
        <v>798</v>
      </c>
      <c r="E10" s="20">
        <f>I36</f>
        <v>-252734</v>
      </c>
      <c r="G10" s="99" t="s">
        <v>43</v>
      </c>
    </row>
    <row r="11" spans="1:13" ht="13.5" thickTop="1" x14ac:dyDescent="0.2"/>
    <row r="13" spans="1:13" x14ac:dyDescent="0.2">
      <c r="A13" s="2" t="s">
        <v>9</v>
      </c>
      <c r="B13" s="2"/>
      <c r="C13" s="2"/>
      <c r="D13" s="2"/>
      <c r="E13" s="2"/>
      <c r="F13" s="2"/>
      <c r="G13" s="2"/>
    </row>
    <row r="14" spans="1:13" x14ac:dyDescent="0.2">
      <c r="A14" s="1" t="s">
        <v>723</v>
      </c>
    </row>
    <row r="15" spans="1:13" x14ac:dyDescent="0.2">
      <c r="G15" s="99" t="s">
        <v>216</v>
      </c>
      <c r="I15" s="99" t="s">
        <v>216</v>
      </c>
      <c r="J15" s="99"/>
    </row>
    <row r="16" spans="1:13" x14ac:dyDescent="0.2">
      <c r="G16" s="99" t="s">
        <v>220</v>
      </c>
      <c r="I16" s="99" t="s">
        <v>220</v>
      </c>
      <c r="J16" s="99"/>
      <c r="K16" s="13" t="s">
        <v>802</v>
      </c>
      <c r="L16" s="13"/>
      <c r="M16" s="13"/>
    </row>
    <row r="17" spans="1:13" x14ac:dyDescent="0.2">
      <c r="C17" s="2" t="s">
        <v>3</v>
      </c>
      <c r="E17" s="236" t="s">
        <v>16</v>
      </c>
      <c r="G17" s="249" t="s">
        <v>475</v>
      </c>
      <c r="I17" s="249" t="s">
        <v>16</v>
      </c>
      <c r="J17" s="12"/>
      <c r="K17" s="2" t="s">
        <v>803</v>
      </c>
      <c r="L17" s="2"/>
      <c r="M17" s="2"/>
    </row>
    <row r="18" spans="1:13" x14ac:dyDescent="0.2">
      <c r="A18" s="99">
        <v>2</v>
      </c>
      <c r="C18" s="1" t="s">
        <v>780</v>
      </c>
      <c r="E18" s="46">
        <v>236413.22</v>
      </c>
      <c r="K18" s="99">
        <v>500</v>
      </c>
      <c r="L18" s="15">
        <v>0.87605771044000835</v>
      </c>
    </row>
    <row r="19" spans="1:13" x14ac:dyDescent="0.2">
      <c r="A19" s="99">
        <v>3</v>
      </c>
      <c r="C19" s="1" t="s">
        <v>725</v>
      </c>
      <c r="E19" s="268">
        <v>2</v>
      </c>
      <c r="K19" s="99">
        <v>501</v>
      </c>
      <c r="L19" s="15">
        <v>0.87939546103194821</v>
      </c>
    </row>
    <row r="20" spans="1:13" x14ac:dyDescent="0.2">
      <c r="A20" s="99">
        <v>4</v>
      </c>
      <c r="C20" s="1" t="s">
        <v>782</v>
      </c>
      <c r="E20" s="231">
        <f>E18/E19</f>
        <v>118206.61</v>
      </c>
      <c r="K20" s="99">
        <v>502</v>
      </c>
      <c r="L20" s="15">
        <v>0.8696666250553623</v>
      </c>
    </row>
    <row r="21" spans="1:13" x14ac:dyDescent="0.2">
      <c r="A21" s="99">
        <v>5</v>
      </c>
      <c r="C21" s="1" t="s">
        <v>783</v>
      </c>
      <c r="E21" s="46">
        <v>236413.22</v>
      </c>
      <c r="K21" s="99">
        <v>504</v>
      </c>
      <c r="L21" s="15">
        <v>0.8696666250553623</v>
      </c>
    </row>
    <row r="22" spans="1:13" x14ac:dyDescent="0.2">
      <c r="A22" s="99">
        <v>6</v>
      </c>
      <c r="C22" s="1" t="s">
        <v>784</v>
      </c>
      <c r="E22" s="269">
        <f>E20-E21</f>
        <v>-118206.61</v>
      </c>
      <c r="G22" s="218">
        <v>0.93358569042325634</v>
      </c>
      <c r="I22" s="4">
        <f>ROUND(E22*G22,0)</f>
        <v>-110356</v>
      </c>
      <c r="J22" s="4"/>
      <c r="K22" s="99">
        <v>505</v>
      </c>
      <c r="L22" s="15">
        <v>0.8699637568315417</v>
      </c>
    </row>
    <row r="23" spans="1:13" x14ac:dyDescent="0.2">
      <c r="C23" s="13"/>
      <c r="E23" s="12"/>
      <c r="G23" s="99"/>
      <c r="I23" s="4"/>
      <c r="J23" s="4"/>
      <c r="K23" s="99">
        <v>506</v>
      </c>
      <c r="L23" s="15">
        <v>0.8696122824509559</v>
      </c>
    </row>
    <row r="24" spans="1:13" x14ac:dyDescent="0.2">
      <c r="A24" s="99">
        <v>7</v>
      </c>
      <c r="C24" s="1" t="s">
        <v>724</v>
      </c>
      <c r="E24" s="4">
        <v>2463413.9700000002</v>
      </c>
      <c r="G24" s="99"/>
      <c r="I24" s="4"/>
      <c r="J24" s="4"/>
      <c r="K24" s="99">
        <v>509</v>
      </c>
      <c r="L24" s="15">
        <v>0.86934134052864609</v>
      </c>
    </row>
    <row r="25" spans="1:13" x14ac:dyDescent="0.2">
      <c r="A25" s="99">
        <v>8</v>
      </c>
      <c r="C25" s="1" t="s">
        <v>725</v>
      </c>
      <c r="E25" s="270">
        <v>2</v>
      </c>
      <c r="G25" s="99"/>
      <c r="I25" s="4"/>
      <c r="J25" s="4"/>
      <c r="K25" s="99">
        <v>510</v>
      </c>
      <c r="L25" s="15">
        <v>0.86979013091847834</v>
      </c>
    </row>
    <row r="26" spans="1:13" x14ac:dyDescent="0.2">
      <c r="A26" s="99">
        <v>9</v>
      </c>
      <c r="C26" s="1" t="s">
        <v>726</v>
      </c>
      <c r="E26" s="4">
        <f>E24/E25</f>
        <v>1231706.9850000001</v>
      </c>
      <c r="G26" s="99"/>
      <c r="I26" s="4"/>
      <c r="J26" s="4"/>
      <c r="K26" s="99">
        <v>511</v>
      </c>
      <c r="L26" s="15">
        <v>0.87027923286551612</v>
      </c>
    </row>
    <row r="27" spans="1:13" x14ac:dyDescent="0.2">
      <c r="A27" s="99">
        <v>10</v>
      </c>
      <c r="C27" s="1" t="s">
        <v>727</v>
      </c>
      <c r="E27" s="4">
        <v>1272255.8400000001</v>
      </c>
      <c r="G27" s="99"/>
      <c r="I27" s="4"/>
      <c r="J27" s="4"/>
      <c r="K27" s="99">
        <v>512</v>
      </c>
      <c r="L27" s="15">
        <v>0.87948971423496269</v>
      </c>
    </row>
    <row r="28" spans="1:13" ht="13.5" thickBot="1" x14ac:dyDescent="0.25">
      <c r="A28" s="99">
        <v>11</v>
      </c>
      <c r="C28" s="1" t="s">
        <v>722</v>
      </c>
      <c r="E28" s="18">
        <f>E26-E27</f>
        <v>-40548.854999999981</v>
      </c>
      <c r="G28" s="218">
        <v>0.97146362384438456</v>
      </c>
      <c r="I28" s="4">
        <f>ROUND(E28*G28,0)</f>
        <v>-39392</v>
      </c>
      <c r="J28" s="4"/>
      <c r="K28" s="99">
        <v>513</v>
      </c>
      <c r="L28" s="15">
        <v>0.87951296194687512</v>
      </c>
    </row>
    <row r="29" spans="1:13" ht="13.5" thickTop="1" x14ac:dyDescent="0.2">
      <c r="G29" s="99"/>
      <c r="I29" s="4"/>
      <c r="J29" s="4"/>
      <c r="K29" s="99">
        <v>514</v>
      </c>
      <c r="L29" s="15">
        <v>0.88359608630980213</v>
      </c>
    </row>
    <row r="30" spans="1:13" x14ac:dyDescent="0.2">
      <c r="A30" s="99">
        <v>12</v>
      </c>
      <c r="C30" s="1" t="s">
        <v>781</v>
      </c>
      <c r="E30" s="4">
        <v>2583039.3699999899</v>
      </c>
      <c r="G30" s="99"/>
      <c r="I30" s="4"/>
      <c r="J30" s="4"/>
      <c r="K30" s="99">
        <v>925</v>
      </c>
      <c r="L30" s="15">
        <v>0.90373682107633646</v>
      </c>
    </row>
    <row r="31" spans="1:13" x14ac:dyDescent="0.2">
      <c r="A31" s="99">
        <v>13</v>
      </c>
      <c r="C31" s="1" t="s">
        <v>725</v>
      </c>
      <c r="E31" s="270">
        <v>2</v>
      </c>
      <c r="G31" s="99"/>
      <c r="I31" s="4"/>
      <c r="J31" s="4"/>
      <c r="K31" s="99">
        <v>926</v>
      </c>
      <c r="L31" s="15">
        <v>0.89033159067247547</v>
      </c>
    </row>
    <row r="32" spans="1:13" ht="13.5" thickBot="1" x14ac:dyDescent="0.25">
      <c r="A32" s="99">
        <v>14</v>
      </c>
      <c r="C32" s="1" t="s">
        <v>785</v>
      </c>
      <c r="E32" s="4">
        <f>E30/E31</f>
        <v>1291519.6849999949</v>
      </c>
      <c r="G32" s="99"/>
      <c r="I32" s="4"/>
      <c r="J32" s="4"/>
      <c r="K32" s="99" t="s">
        <v>301</v>
      </c>
      <c r="L32" s="243">
        <f>AVERAGE(L18:L31)</f>
        <v>0.87717430995844814</v>
      </c>
    </row>
    <row r="33" spans="1:12" ht="13.5" thickTop="1" x14ac:dyDescent="0.2">
      <c r="A33" s="99">
        <v>15</v>
      </c>
      <c r="C33" s="1" t="s">
        <v>786</v>
      </c>
      <c r="E33" s="4">
        <v>1408926</v>
      </c>
      <c r="G33" s="99"/>
      <c r="I33" s="4"/>
      <c r="J33" s="4"/>
      <c r="K33" s="99"/>
      <c r="L33" s="15"/>
    </row>
    <row r="34" spans="1:12" ht="13.5" thickBot="1" x14ac:dyDescent="0.25">
      <c r="A34" s="99">
        <v>16</v>
      </c>
      <c r="C34" s="1" t="s">
        <v>787</v>
      </c>
      <c r="E34" s="18">
        <f>E32-E33</f>
        <v>-117406.31500000507</v>
      </c>
      <c r="G34" s="218">
        <v>0.87717430995844814</v>
      </c>
      <c r="I34" s="4">
        <f>ROUND(E34*G34,0)</f>
        <v>-102986</v>
      </c>
      <c r="J34" s="4"/>
      <c r="K34" s="99"/>
      <c r="L34" s="15"/>
    </row>
    <row r="35" spans="1:12" ht="13.5" thickTop="1" x14ac:dyDescent="0.2">
      <c r="I35" s="4"/>
      <c r="J35" s="4"/>
      <c r="K35" s="99"/>
      <c r="L35" s="15"/>
    </row>
    <row r="36" spans="1:12" ht="13.5" thickBot="1" x14ac:dyDescent="0.25">
      <c r="A36" s="99">
        <v>17</v>
      </c>
      <c r="C36" s="1" t="s">
        <v>788</v>
      </c>
      <c r="E36" s="43">
        <f>E22+E28+E34</f>
        <v>-276161.78000000503</v>
      </c>
      <c r="I36" s="43">
        <f>I22+I28+I34</f>
        <v>-252734</v>
      </c>
      <c r="J36" s="40"/>
      <c r="K36" s="99"/>
      <c r="L36" s="15"/>
    </row>
    <row r="37" spans="1:12" ht="13.5" thickTop="1" x14ac:dyDescent="0.2">
      <c r="K37" s="99"/>
      <c r="L37" s="15"/>
    </row>
    <row r="38" spans="1:12" x14ac:dyDescent="0.2">
      <c r="K38" s="99"/>
      <c r="L38" s="15"/>
    </row>
    <row r="39" spans="1:12" x14ac:dyDescent="0.2">
      <c r="K39" s="99"/>
      <c r="L39" s="15"/>
    </row>
    <row r="40" spans="1:12" x14ac:dyDescent="0.2">
      <c r="L40" s="86"/>
    </row>
  </sheetData>
  <pageMargins left="0.7" right="0.7" top="0.75" bottom="0.75" header="0.3" footer="0.3"/>
  <pageSetup orientation="landscape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H63" sqref="H63"/>
    </sheetView>
  </sheetViews>
  <sheetFormatPr defaultRowHeight="12.75" x14ac:dyDescent="0.2"/>
  <cols>
    <col min="1" max="16384" width="9.140625" style="1"/>
  </cols>
  <sheetData/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H63" sqref="H63"/>
    </sheetView>
  </sheetViews>
  <sheetFormatPr defaultRowHeight="12.75" x14ac:dyDescent="0.2"/>
  <cols>
    <col min="1" max="16384" width="9.140625" style="1"/>
  </cols>
  <sheetData/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workbookViewId="0">
      <selection activeCell="H63" sqref="H63"/>
    </sheetView>
  </sheetViews>
  <sheetFormatPr defaultRowHeight="15.75" x14ac:dyDescent="0.25"/>
  <cols>
    <col min="1" max="1" width="4.42578125" style="187" customWidth="1"/>
    <col min="2" max="2" width="3.28515625" style="187" customWidth="1"/>
    <col min="3" max="3" width="21" style="187" customWidth="1"/>
    <col min="4" max="4" width="3.28515625" style="187" customWidth="1"/>
    <col min="5" max="5" width="14.5703125" style="187" bestFit="1" customWidth="1"/>
    <col min="6" max="6" width="3.42578125" style="187" customWidth="1"/>
    <col min="7" max="7" width="12" style="187" customWidth="1"/>
    <col min="8" max="8" width="2.85546875" style="187" customWidth="1"/>
    <col min="9" max="9" width="14.28515625" style="187" bestFit="1" customWidth="1"/>
    <col min="10" max="10" width="1.28515625" style="187" customWidth="1"/>
    <col min="11" max="11" width="16.5703125" style="187" customWidth="1"/>
    <col min="12" max="12" width="1.28515625" style="187" customWidth="1"/>
    <col min="13" max="13" width="15" style="187" customWidth="1"/>
    <col min="14" max="14" width="1.28515625" style="187" customWidth="1"/>
    <col min="15" max="15" width="9.140625" style="187"/>
    <col min="16" max="16" width="3" style="187" customWidth="1"/>
    <col min="17" max="17" width="11.5703125" style="187" bestFit="1" customWidth="1"/>
    <col min="18" max="19" width="9.140625" style="187"/>
    <col min="20" max="20" width="15" style="187" customWidth="1"/>
    <col min="21" max="21" width="14.140625" style="187" customWidth="1"/>
    <col min="22" max="16384" width="9.140625" style="187"/>
  </cols>
  <sheetData>
    <row r="1" spans="1:15" x14ac:dyDescent="0.25">
      <c r="A1" s="187" t="s">
        <v>403</v>
      </c>
      <c r="O1" s="188" t="s">
        <v>185</v>
      </c>
    </row>
    <row r="2" spans="1:15" x14ac:dyDescent="0.25">
      <c r="A2" s="187" t="s">
        <v>404</v>
      </c>
      <c r="O2" s="188" t="s">
        <v>56</v>
      </c>
    </row>
    <row r="3" spans="1:15" x14ac:dyDescent="0.25">
      <c r="O3" s="188" t="s">
        <v>380</v>
      </c>
    </row>
    <row r="4" spans="1:15" x14ac:dyDescent="0.25">
      <c r="A4" s="187" t="s">
        <v>328</v>
      </c>
      <c r="O4" s="188" t="s">
        <v>52</v>
      </c>
    </row>
    <row r="6" spans="1:15" x14ac:dyDescent="0.25">
      <c r="I6" s="189"/>
      <c r="J6" s="189"/>
      <c r="K6" s="189"/>
      <c r="L6" s="189"/>
      <c r="M6" s="189"/>
      <c r="N6" s="189"/>
      <c r="O6" s="189"/>
    </row>
    <row r="7" spans="1:15" x14ac:dyDescent="0.25">
      <c r="A7" s="189" t="s">
        <v>0</v>
      </c>
      <c r="I7" s="189" t="s">
        <v>5</v>
      </c>
      <c r="J7" s="189"/>
      <c r="K7" s="189" t="s">
        <v>5</v>
      </c>
      <c r="L7" s="189"/>
      <c r="M7" s="189" t="s">
        <v>160</v>
      </c>
      <c r="N7" s="189"/>
      <c r="O7" s="189"/>
    </row>
    <row r="8" spans="1:15" x14ac:dyDescent="0.25">
      <c r="A8" s="190" t="s">
        <v>2</v>
      </c>
      <c r="C8" s="191" t="s">
        <v>3</v>
      </c>
      <c r="D8" s="191"/>
      <c r="E8" s="191"/>
      <c r="F8" s="191"/>
      <c r="G8" s="191"/>
      <c r="I8" s="190" t="s">
        <v>45</v>
      </c>
      <c r="J8" s="189"/>
      <c r="K8" s="190" t="s">
        <v>160</v>
      </c>
      <c r="L8" s="189"/>
      <c r="M8" s="190" t="s">
        <v>34</v>
      </c>
      <c r="N8" s="189"/>
      <c r="O8"/>
    </row>
    <row r="9" spans="1:15" x14ac:dyDescent="0.25">
      <c r="A9" s="189"/>
      <c r="I9" s="189" t="s">
        <v>6</v>
      </c>
      <c r="K9" s="189" t="s">
        <v>7</v>
      </c>
      <c r="L9" s="189"/>
      <c r="M9" s="189" t="s">
        <v>8</v>
      </c>
      <c r="O9"/>
    </row>
    <row r="10" spans="1:15" x14ac:dyDescent="0.25">
      <c r="A10" s="189"/>
      <c r="C10" s="187" t="s">
        <v>405</v>
      </c>
      <c r="I10" s="189"/>
      <c r="K10" s="189"/>
      <c r="L10" s="189"/>
      <c r="M10" s="189"/>
    </row>
    <row r="11" spans="1:15" x14ac:dyDescent="0.25">
      <c r="A11" s="189">
        <v>1</v>
      </c>
      <c r="C11" s="187" t="s">
        <v>406</v>
      </c>
      <c r="I11" s="192">
        <v>6.8499999999999991E-2</v>
      </c>
      <c r="J11" s="194"/>
      <c r="K11" s="237">
        <f>1/20</f>
        <v>0.05</v>
      </c>
      <c r="L11" s="193"/>
      <c r="M11" s="189"/>
    </row>
    <row r="12" spans="1:15" x14ac:dyDescent="0.25">
      <c r="A12" s="189"/>
      <c r="I12" s="189"/>
      <c r="J12" s="194"/>
      <c r="K12" s="193"/>
      <c r="L12" s="193"/>
      <c r="M12" s="189"/>
    </row>
    <row r="13" spans="1:15" x14ac:dyDescent="0.25">
      <c r="A13" s="189">
        <f>A11+1</f>
        <v>2</v>
      </c>
      <c r="C13" s="187" t="s">
        <v>407</v>
      </c>
      <c r="I13" s="193">
        <v>15</v>
      </c>
      <c r="J13" s="194"/>
      <c r="K13" s="193">
        <v>20</v>
      </c>
      <c r="L13" s="193"/>
      <c r="M13" s="189"/>
    </row>
    <row r="14" spans="1:15" x14ac:dyDescent="0.25">
      <c r="A14" s="189">
        <f>A13+1</f>
        <v>3</v>
      </c>
      <c r="C14" s="187" t="s">
        <v>408</v>
      </c>
      <c r="I14" s="193" t="s">
        <v>409</v>
      </c>
      <c r="J14" s="194"/>
      <c r="K14" s="193" t="s">
        <v>659</v>
      </c>
      <c r="L14" s="193"/>
      <c r="M14" s="189"/>
    </row>
    <row r="15" spans="1:15" x14ac:dyDescent="0.25">
      <c r="A15" s="189"/>
      <c r="I15" s="189"/>
      <c r="K15" s="189"/>
      <c r="L15" s="189"/>
      <c r="M15" s="189"/>
    </row>
    <row r="16" spans="1:15" x14ac:dyDescent="0.25">
      <c r="A16" s="189"/>
      <c r="C16" s="187" t="s">
        <v>410</v>
      </c>
    </row>
    <row r="17" spans="1:21" x14ac:dyDescent="0.25">
      <c r="A17" s="189">
        <f>A14+1</f>
        <v>4</v>
      </c>
      <c r="C17" s="194" t="s">
        <v>411</v>
      </c>
      <c r="I17" s="195">
        <f>E47+G47</f>
        <v>59879.039999999986</v>
      </c>
      <c r="K17" s="196">
        <f>I17/$I$11*$K$11</f>
        <v>43707.328467153282</v>
      </c>
      <c r="M17" s="197">
        <f>K17-I17</f>
        <v>-16171.711532846704</v>
      </c>
      <c r="O17" s="189"/>
    </row>
    <row r="18" spans="1:21" x14ac:dyDescent="0.25">
      <c r="A18" s="189">
        <f>A17+1</f>
        <v>5</v>
      </c>
      <c r="C18" s="194" t="s">
        <v>412</v>
      </c>
      <c r="I18" s="195">
        <f>I47+K47</f>
        <v>795135.15</v>
      </c>
      <c r="K18" s="196">
        <f>I18/$I$11*$K$11</f>
        <v>580390.6204379563</v>
      </c>
      <c r="M18" s="197">
        <f>K18-I18</f>
        <v>-214744.52956204372</v>
      </c>
    </row>
    <row r="19" spans="1:21" x14ac:dyDescent="0.25">
      <c r="A19" s="189">
        <f>A18+1</f>
        <v>6</v>
      </c>
      <c r="C19" s="194" t="s">
        <v>428</v>
      </c>
      <c r="I19" s="209">
        <f>SUM(I17:I18)</f>
        <v>855014.19000000006</v>
      </c>
      <c r="K19" s="208">
        <f>K17+K18</f>
        <v>624097.94890510954</v>
      </c>
      <c r="M19" s="197"/>
    </row>
    <row r="20" spans="1:21" x14ac:dyDescent="0.25">
      <c r="A20" s="189">
        <f>A19+1</f>
        <v>7</v>
      </c>
      <c r="C20" s="194" t="s">
        <v>427</v>
      </c>
      <c r="I20" s="195"/>
      <c r="K20" s="210">
        <v>0.88792000000000004</v>
      </c>
    </row>
    <row r="21" spans="1:21" ht="16.5" thickBot="1" x14ac:dyDescent="0.3">
      <c r="A21" s="189">
        <f>A20+1</f>
        <v>8</v>
      </c>
      <c r="C21" s="187" t="s">
        <v>28</v>
      </c>
      <c r="I21" s="198">
        <f>I19</f>
        <v>855014.19000000006</v>
      </c>
      <c r="K21" s="198">
        <f>K19*K20</f>
        <v>554149.05079182494</v>
      </c>
      <c r="M21" s="198">
        <f>K21-I21</f>
        <v>-300865.13920817513</v>
      </c>
    </row>
    <row r="22" spans="1:21" ht="16.5" thickTop="1" x14ac:dyDescent="0.25"/>
    <row r="24" spans="1:21" x14ac:dyDescent="0.25">
      <c r="A24" s="191" t="s">
        <v>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21" x14ac:dyDescent="0.25">
      <c r="A25" s="201" t="s">
        <v>429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</row>
    <row r="26" spans="1:21" x14ac:dyDescent="0.2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</row>
    <row r="27" spans="1:21" x14ac:dyDescent="0.25">
      <c r="A27" s="187" t="s">
        <v>10</v>
      </c>
      <c r="C27" s="187" t="s">
        <v>413</v>
      </c>
    </row>
    <row r="28" spans="1:21" x14ac:dyDescent="0.25">
      <c r="C28" s="194" t="s">
        <v>414</v>
      </c>
    </row>
    <row r="29" spans="1:21" x14ac:dyDescent="0.25">
      <c r="C29" s="187" t="s">
        <v>415</v>
      </c>
    </row>
    <row r="30" spans="1:21" x14ac:dyDescent="0.25">
      <c r="D30" s="199"/>
      <c r="E30" s="280" t="s">
        <v>411</v>
      </c>
      <c r="F30" s="280"/>
      <c r="G30" s="280"/>
      <c r="I30" s="280" t="s">
        <v>412</v>
      </c>
      <c r="J30" s="280"/>
      <c r="K30" s="280"/>
      <c r="Q30" s="187" t="s">
        <v>257</v>
      </c>
    </row>
    <row r="31" spans="1:21" ht="94.5" x14ac:dyDescent="0.25">
      <c r="C31" s="190" t="s">
        <v>416</v>
      </c>
      <c r="D31" s="199"/>
      <c r="E31" s="200" t="s">
        <v>417</v>
      </c>
      <c r="F31" s="201"/>
      <c r="G31" s="200" t="s">
        <v>418</v>
      </c>
      <c r="I31" s="200" t="s">
        <v>417</v>
      </c>
      <c r="J31" s="201"/>
      <c r="K31" s="200" t="s">
        <v>418</v>
      </c>
      <c r="M31" s="202" t="s">
        <v>419</v>
      </c>
      <c r="Q31" s="187" t="s">
        <v>420</v>
      </c>
    </row>
    <row r="32" spans="1:21" x14ac:dyDescent="0.25">
      <c r="C32" s="199"/>
      <c r="D32" s="199"/>
      <c r="E32" s="199" t="s">
        <v>38</v>
      </c>
      <c r="F32" s="199"/>
      <c r="G32" s="199" t="s">
        <v>50</v>
      </c>
      <c r="I32" s="199" t="s">
        <v>51</v>
      </c>
      <c r="J32" s="201"/>
      <c r="K32" s="199" t="s">
        <v>421</v>
      </c>
      <c r="M32" s="199" t="s">
        <v>70</v>
      </c>
      <c r="Q32" s="187" t="s">
        <v>422</v>
      </c>
      <c r="R32" s="187" t="s">
        <v>126</v>
      </c>
      <c r="T32" s="187" t="s">
        <v>423</v>
      </c>
      <c r="U32" s="187" t="s">
        <v>126</v>
      </c>
    </row>
    <row r="33" spans="1:21" ht="16.5" thickBot="1" x14ac:dyDescent="0.3">
      <c r="A33" s="189">
        <f>A21+1</f>
        <v>9</v>
      </c>
      <c r="C33" s="199" t="s">
        <v>424</v>
      </c>
      <c r="D33" s="199"/>
      <c r="E33" s="199"/>
      <c r="F33" s="199"/>
      <c r="G33" s="203">
        <f>$I$11</f>
        <v>6.8499999999999991E-2</v>
      </c>
      <c r="H33" s="201"/>
      <c r="I33" s="199"/>
      <c r="K33" s="203">
        <f>G33</f>
        <v>6.8499999999999991E-2</v>
      </c>
      <c r="M33" s="199"/>
    </row>
    <row r="34" spans="1:21" ht="16.5" thickTop="1" x14ac:dyDescent="0.25">
      <c r="C34" s="199"/>
      <c r="D34" s="199"/>
      <c r="E34" s="199"/>
      <c r="F34" s="199"/>
      <c r="G34" s="199"/>
      <c r="H34" s="201"/>
      <c r="I34" s="199"/>
      <c r="K34" s="199"/>
      <c r="M34" s="199"/>
    </row>
    <row r="35" spans="1:21" x14ac:dyDescent="0.25">
      <c r="A35" s="189">
        <f>A33+1</f>
        <v>10</v>
      </c>
      <c r="C35" s="204">
        <v>42917</v>
      </c>
      <c r="D35" s="204"/>
      <c r="E35" s="196">
        <v>874147.34</v>
      </c>
      <c r="G35" s="196">
        <v>4989.92</v>
      </c>
      <c r="I35" s="196">
        <v>0</v>
      </c>
      <c r="K35" s="196">
        <v>0</v>
      </c>
      <c r="M35" s="197">
        <f>G35+K35</f>
        <v>4989.92</v>
      </c>
      <c r="Q35" s="205">
        <f>E35*$G$33/12</f>
        <v>4989.9243991666654</v>
      </c>
      <c r="R35" s="197">
        <f>G35-Q35</f>
        <v>-4.3991666652800632E-3</v>
      </c>
      <c r="T35" s="205">
        <f>K35*$K$33/12</f>
        <v>0</v>
      </c>
      <c r="U35" s="205">
        <f>T35-K35</f>
        <v>0</v>
      </c>
    </row>
    <row r="36" spans="1:21" x14ac:dyDescent="0.25">
      <c r="A36" s="189">
        <f t="shared" ref="A36:A47" si="0">A35+1</f>
        <v>11</v>
      </c>
      <c r="C36" s="204">
        <v>42948</v>
      </c>
      <c r="D36" s="204"/>
      <c r="E36" s="196">
        <v>874147.34</v>
      </c>
      <c r="G36" s="196">
        <v>4989.92</v>
      </c>
      <c r="I36" s="196">
        <v>0</v>
      </c>
      <c r="K36" s="196">
        <v>0</v>
      </c>
      <c r="M36" s="197">
        <f t="shared" ref="M36:M46" si="1">G36+K36</f>
        <v>4989.92</v>
      </c>
      <c r="Q36" s="205">
        <f t="shared" ref="Q36:Q46" si="2">E36*$G$33/12</f>
        <v>4989.9243991666654</v>
      </c>
      <c r="R36" s="197">
        <f t="shared" ref="R36:R47" si="3">G36-Q36</f>
        <v>-4.3991666652800632E-3</v>
      </c>
      <c r="T36" s="205">
        <f t="shared" ref="T36:T37" si="4">K36*$K$33/12</f>
        <v>0</v>
      </c>
      <c r="U36" s="205">
        <f t="shared" ref="U36:U46" si="5">T36-K36</f>
        <v>0</v>
      </c>
    </row>
    <row r="37" spans="1:21" x14ac:dyDescent="0.25">
      <c r="A37" s="189">
        <f t="shared" si="0"/>
        <v>12</v>
      </c>
      <c r="C37" s="204">
        <v>42979</v>
      </c>
      <c r="D37" s="204"/>
      <c r="E37" s="196">
        <v>874147.34</v>
      </c>
      <c r="G37" s="196">
        <v>4989.92</v>
      </c>
      <c r="I37" s="196">
        <v>0</v>
      </c>
      <c r="K37" s="196">
        <v>0</v>
      </c>
      <c r="M37" s="197">
        <f t="shared" si="1"/>
        <v>4989.92</v>
      </c>
      <c r="Q37" s="205">
        <f t="shared" si="2"/>
        <v>4989.9243991666654</v>
      </c>
      <c r="R37" s="197">
        <f t="shared" si="3"/>
        <v>-4.3991666652800632E-3</v>
      </c>
      <c r="T37" s="205">
        <f t="shared" si="4"/>
        <v>0</v>
      </c>
      <c r="U37" s="205">
        <f t="shared" si="5"/>
        <v>0</v>
      </c>
    </row>
    <row r="38" spans="1:21" x14ac:dyDescent="0.25">
      <c r="A38" s="189">
        <f t="shared" si="0"/>
        <v>13</v>
      </c>
      <c r="C38" s="204">
        <v>43009</v>
      </c>
      <c r="D38" s="204"/>
      <c r="E38" s="196">
        <v>874147.34</v>
      </c>
      <c r="G38" s="196">
        <v>4989.92</v>
      </c>
      <c r="I38" s="196">
        <v>1620000</v>
      </c>
      <c r="K38" s="196">
        <v>9247.5</v>
      </c>
      <c r="M38" s="197">
        <f t="shared" si="1"/>
        <v>14237.42</v>
      </c>
      <c r="Q38" s="205">
        <f t="shared" si="2"/>
        <v>4989.9243991666654</v>
      </c>
      <c r="R38" s="197">
        <f t="shared" si="3"/>
        <v>-4.3991666652800632E-3</v>
      </c>
      <c r="T38" s="205">
        <f>I38*$K$33/12</f>
        <v>9247.4999999999982</v>
      </c>
      <c r="U38" s="205">
        <f t="shared" si="5"/>
        <v>0</v>
      </c>
    </row>
    <row r="39" spans="1:21" x14ac:dyDescent="0.25">
      <c r="A39" s="189">
        <f t="shared" si="0"/>
        <v>14</v>
      </c>
      <c r="C39" s="204">
        <v>43040</v>
      </c>
      <c r="D39" s="204"/>
      <c r="E39" s="196">
        <v>874147.34</v>
      </c>
      <c r="G39" s="196">
        <v>4989.92</v>
      </c>
      <c r="I39" s="196">
        <v>4860000</v>
      </c>
      <c r="K39" s="196">
        <v>27742.5</v>
      </c>
      <c r="M39" s="197">
        <f t="shared" si="1"/>
        <v>32732.42</v>
      </c>
      <c r="Q39" s="205">
        <f t="shared" si="2"/>
        <v>4989.9243991666654</v>
      </c>
      <c r="R39" s="197">
        <f t="shared" si="3"/>
        <v>-4.3991666652800632E-3</v>
      </c>
      <c r="T39" s="205">
        <f t="shared" ref="T39:T46" si="6">I39*$K$33/12</f>
        <v>27742.499999999996</v>
      </c>
      <c r="U39" s="205">
        <f t="shared" si="5"/>
        <v>0</v>
      </c>
    </row>
    <row r="40" spans="1:21" x14ac:dyDescent="0.25">
      <c r="A40" s="189">
        <f t="shared" si="0"/>
        <v>15</v>
      </c>
      <c r="C40" s="204">
        <v>43070</v>
      </c>
      <c r="D40" s="204"/>
      <c r="E40" s="196">
        <v>874147.34</v>
      </c>
      <c r="G40" s="196">
        <v>4989.92</v>
      </c>
      <c r="I40" s="196">
        <v>8100000</v>
      </c>
      <c r="K40" s="196">
        <v>46237.5</v>
      </c>
      <c r="M40" s="197">
        <f t="shared" si="1"/>
        <v>51227.42</v>
      </c>
      <c r="Q40" s="205">
        <f t="shared" si="2"/>
        <v>4989.9243991666654</v>
      </c>
      <c r="R40" s="197">
        <f t="shared" si="3"/>
        <v>-4.3991666652800632E-3</v>
      </c>
      <c r="T40" s="205">
        <f t="shared" si="6"/>
        <v>46237.499999999993</v>
      </c>
      <c r="U40" s="205">
        <f t="shared" si="5"/>
        <v>0</v>
      </c>
    </row>
    <row r="41" spans="1:21" x14ac:dyDescent="0.25">
      <c r="A41" s="189">
        <f t="shared" si="0"/>
        <v>16</v>
      </c>
      <c r="C41" s="204">
        <v>43101</v>
      </c>
      <c r="D41" s="204"/>
      <c r="E41" s="196">
        <v>874147.34</v>
      </c>
      <c r="G41" s="196">
        <v>4989.92</v>
      </c>
      <c r="I41" s="196">
        <v>11564270.814999999</v>
      </c>
      <c r="K41" s="196">
        <v>66012.710000000006</v>
      </c>
      <c r="M41" s="197">
        <f t="shared" si="1"/>
        <v>71002.63</v>
      </c>
      <c r="Q41" s="205">
        <f t="shared" si="2"/>
        <v>4989.9243991666654</v>
      </c>
      <c r="R41" s="197">
        <f t="shared" si="3"/>
        <v>-4.3991666652800632E-3</v>
      </c>
      <c r="T41" s="205">
        <f t="shared" si="6"/>
        <v>66012.712568958319</v>
      </c>
      <c r="U41" s="205">
        <f t="shared" si="5"/>
        <v>2.5689583126222715E-3</v>
      </c>
    </row>
    <row r="42" spans="1:21" x14ac:dyDescent="0.25">
      <c r="A42" s="189">
        <f t="shared" si="0"/>
        <v>17</v>
      </c>
      <c r="C42" s="204">
        <v>43132</v>
      </c>
      <c r="D42" s="204"/>
      <c r="E42" s="196">
        <v>874147.34</v>
      </c>
      <c r="G42" s="196">
        <v>4989.92</v>
      </c>
      <c r="I42" s="196">
        <v>15252812.465</v>
      </c>
      <c r="K42" s="196">
        <v>87068.14</v>
      </c>
      <c r="M42" s="197">
        <f t="shared" si="1"/>
        <v>92058.06</v>
      </c>
      <c r="Q42" s="205">
        <f t="shared" si="2"/>
        <v>4989.9243991666654</v>
      </c>
      <c r="R42" s="197">
        <f t="shared" si="3"/>
        <v>-4.3991666652800632E-3</v>
      </c>
      <c r="T42" s="205">
        <f t="shared" si="6"/>
        <v>87068.137821041659</v>
      </c>
      <c r="U42" s="205">
        <f t="shared" si="5"/>
        <v>-2.1789583406643942E-3</v>
      </c>
    </row>
    <row r="43" spans="1:21" x14ac:dyDescent="0.25">
      <c r="A43" s="189">
        <f t="shared" si="0"/>
        <v>18</v>
      </c>
      <c r="C43" s="204">
        <v>43160</v>
      </c>
      <c r="D43" s="204"/>
      <c r="E43" s="196">
        <v>874147.34</v>
      </c>
      <c r="G43" s="196">
        <v>4989.92</v>
      </c>
      <c r="I43" s="196">
        <v>18941354.134999998</v>
      </c>
      <c r="K43" s="196">
        <v>108123.56</v>
      </c>
      <c r="M43" s="197">
        <f t="shared" si="1"/>
        <v>113113.48</v>
      </c>
      <c r="Q43" s="205">
        <f t="shared" si="2"/>
        <v>4989.9243991666654</v>
      </c>
      <c r="R43" s="197">
        <f t="shared" si="3"/>
        <v>-4.3991666652800632E-3</v>
      </c>
      <c r="T43" s="205">
        <f t="shared" si="6"/>
        <v>108123.56318729163</v>
      </c>
      <c r="U43" s="205">
        <f t="shared" si="5"/>
        <v>3.1872916297288612E-3</v>
      </c>
    </row>
    <row r="44" spans="1:21" x14ac:dyDescent="0.25">
      <c r="A44" s="189">
        <f t="shared" si="0"/>
        <v>19</v>
      </c>
      <c r="C44" s="204">
        <v>43191</v>
      </c>
      <c r="D44" s="204"/>
      <c r="E44" s="196">
        <v>874147.34</v>
      </c>
      <c r="G44" s="196">
        <v>4989.92</v>
      </c>
      <c r="I44" s="196">
        <v>22629895.805</v>
      </c>
      <c r="K44" s="196">
        <v>129178.99</v>
      </c>
      <c r="M44" s="197">
        <f t="shared" si="1"/>
        <v>134168.91</v>
      </c>
      <c r="Q44" s="205">
        <f t="shared" si="2"/>
        <v>4989.9243991666654</v>
      </c>
      <c r="R44" s="197">
        <f t="shared" si="3"/>
        <v>-4.3991666652800632E-3</v>
      </c>
      <c r="T44" s="205">
        <f t="shared" si="6"/>
        <v>129178.98855354165</v>
      </c>
      <c r="U44" s="205">
        <f t="shared" si="5"/>
        <v>-1.4464583509834483E-3</v>
      </c>
    </row>
    <row r="45" spans="1:21" x14ac:dyDescent="0.25">
      <c r="A45" s="189">
        <f t="shared" si="0"/>
        <v>20</v>
      </c>
      <c r="C45" s="204">
        <v>43221</v>
      </c>
      <c r="D45" s="204"/>
      <c r="E45" s="196">
        <v>874147.34</v>
      </c>
      <c r="G45" s="196">
        <v>4989.92</v>
      </c>
      <c r="I45" s="196">
        <v>26318437.475000001</v>
      </c>
      <c r="K45" s="196">
        <v>150234.41</v>
      </c>
      <c r="M45" s="197">
        <f t="shared" si="1"/>
        <v>155224.33000000002</v>
      </c>
      <c r="Q45" s="205">
        <f t="shared" si="2"/>
        <v>4989.9243991666654</v>
      </c>
      <c r="R45" s="197">
        <f t="shared" si="3"/>
        <v>-4.3991666652800632E-3</v>
      </c>
      <c r="T45" s="205">
        <f t="shared" si="6"/>
        <v>150234.41391979167</v>
      </c>
      <c r="U45" s="205">
        <f t="shared" si="5"/>
        <v>3.9197916630655527E-3</v>
      </c>
    </row>
    <row r="46" spans="1:21" x14ac:dyDescent="0.25">
      <c r="A46" s="189">
        <f t="shared" si="0"/>
        <v>21</v>
      </c>
      <c r="C46" s="204">
        <v>43252</v>
      </c>
      <c r="D46" s="204"/>
      <c r="E46" s="196">
        <v>874147.34</v>
      </c>
      <c r="G46" s="196">
        <v>4989.92</v>
      </c>
      <c r="I46" s="196">
        <v>30006979.145000003</v>
      </c>
      <c r="K46" s="196">
        <v>171289.84</v>
      </c>
      <c r="M46" s="197">
        <f t="shared" si="1"/>
        <v>176279.76</v>
      </c>
      <c r="Q46" s="205">
        <f t="shared" si="2"/>
        <v>4989.9243991666654</v>
      </c>
      <c r="R46" s="197">
        <f t="shared" si="3"/>
        <v>-4.3991666652800632E-3</v>
      </c>
      <c r="T46" s="205">
        <f t="shared" si="6"/>
        <v>171289.83928604165</v>
      </c>
      <c r="U46" s="205">
        <f t="shared" si="5"/>
        <v>-7.1395834675058722E-4</v>
      </c>
    </row>
    <row r="47" spans="1:21" ht="16.5" thickBot="1" x14ac:dyDescent="0.3">
      <c r="A47" s="189">
        <f t="shared" si="0"/>
        <v>22</v>
      </c>
      <c r="C47" s="204" t="s">
        <v>425</v>
      </c>
      <c r="D47" s="204"/>
      <c r="E47"/>
      <c r="G47" s="206">
        <f>SUM(G35:G46)</f>
        <v>59879.039999999986</v>
      </c>
      <c r="I47"/>
      <c r="K47" s="206">
        <f>SUM(K35:K46)</f>
        <v>795135.15</v>
      </c>
      <c r="M47" s="206">
        <f>SUM(M35:M46)</f>
        <v>855014.19</v>
      </c>
      <c r="Q47" s="206">
        <f>SUM(Q35:Q46)</f>
        <v>59879.092789999988</v>
      </c>
      <c r="R47" s="197">
        <f t="shared" si="3"/>
        <v>-5.2790000001550652E-2</v>
      </c>
      <c r="T47" s="206">
        <f>SUM(T35:T46)</f>
        <v>795135.15533666662</v>
      </c>
    </row>
    <row r="48" spans="1:21" ht="16.5" thickTop="1" x14ac:dyDescent="0.25"/>
    <row r="49" spans="1:13" x14ac:dyDescent="0.25">
      <c r="A49" s="187" t="s">
        <v>30</v>
      </c>
      <c r="C49" s="187" t="s">
        <v>426</v>
      </c>
    </row>
    <row r="50" spans="1:13" ht="16.5" thickBot="1" x14ac:dyDescent="0.3">
      <c r="A50" s="187">
        <f>A47+1</f>
        <v>23</v>
      </c>
      <c r="C50" s="199" t="s">
        <v>424</v>
      </c>
      <c r="G50" s="207">
        <f>$K$11</f>
        <v>0.05</v>
      </c>
      <c r="K50" s="207">
        <f>G50</f>
        <v>0.05</v>
      </c>
    </row>
    <row r="51" spans="1:13" ht="16.5" thickTop="1" x14ac:dyDescent="0.25"/>
    <row r="52" spans="1:13" x14ac:dyDescent="0.25">
      <c r="A52" s="187">
        <f>A50+1</f>
        <v>24</v>
      </c>
      <c r="C52" s="204">
        <v>42917</v>
      </c>
      <c r="E52" s="197">
        <f>E35</f>
        <v>874147.34</v>
      </c>
      <c r="G52" s="196">
        <f>E52*$G$50/12</f>
        <v>3642.2805833333332</v>
      </c>
      <c r="I52" s="197">
        <f>I35</f>
        <v>0</v>
      </c>
      <c r="K52" s="196">
        <f>I52*$K$50/12</f>
        <v>0</v>
      </c>
      <c r="M52" s="197">
        <f>G52+K52</f>
        <v>3642.2805833333332</v>
      </c>
    </row>
    <row r="53" spans="1:13" x14ac:dyDescent="0.25">
      <c r="A53" s="187">
        <f>A52+1</f>
        <v>25</v>
      </c>
      <c r="C53" s="204">
        <v>42948</v>
      </c>
      <c r="E53" s="197">
        <f t="shared" ref="E53:E63" si="7">E36</f>
        <v>874147.34</v>
      </c>
      <c r="G53" s="196">
        <f t="shared" ref="G53:G63" si="8">E53*$G$50/12</f>
        <v>3642.2805833333332</v>
      </c>
      <c r="I53" s="197">
        <f t="shared" ref="I53:I63" si="9">I36</f>
        <v>0</v>
      </c>
      <c r="K53" s="196">
        <f t="shared" ref="K53:K63" si="10">I53*$K$50/12</f>
        <v>0</v>
      </c>
      <c r="M53" s="197">
        <f t="shared" ref="M53:M63" si="11">G53+K53</f>
        <v>3642.2805833333332</v>
      </c>
    </row>
    <row r="54" spans="1:13" x14ac:dyDescent="0.25">
      <c r="A54" s="187">
        <f t="shared" ref="A54:A64" si="12">A53+1</f>
        <v>26</v>
      </c>
      <c r="C54" s="204">
        <v>42979</v>
      </c>
      <c r="E54" s="197">
        <f t="shared" si="7"/>
        <v>874147.34</v>
      </c>
      <c r="G54" s="196">
        <f t="shared" si="8"/>
        <v>3642.2805833333332</v>
      </c>
      <c r="I54" s="197">
        <f t="shared" si="9"/>
        <v>0</v>
      </c>
      <c r="K54" s="196">
        <f t="shared" si="10"/>
        <v>0</v>
      </c>
      <c r="M54" s="197">
        <f t="shared" si="11"/>
        <v>3642.2805833333332</v>
      </c>
    </row>
    <row r="55" spans="1:13" x14ac:dyDescent="0.25">
      <c r="A55" s="187">
        <f t="shared" si="12"/>
        <v>27</v>
      </c>
      <c r="C55" s="204">
        <v>43009</v>
      </c>
      <c r="E55" s="197">
        <f t="shared" si="7"/>
        <v>874147.34</v>
      </c>
      <c r="G55" s="196">
        <f t="shared" si="8"/>
        <v>3642.2805833333332</v>
      </c>
      <c r="I55" s="197">
        <f t="shared" si="9"/>
        <v>1620000</v>
      </c>
      <c r="K55" s="196">
        <f t="shared" si="10"/>
        <v>6750</v>
      </c>
      <c r="M55" s="197">
        <f t="shared" si="11"/>
        <v>10392.280583333333</v>
      </c>
    </row>
    <row r="56" spans="1:13" x14ac:dyDescent="0.25">
      <c r="A56" s="187">
        <f t="shared" si="12"/>
        <v>28</v>
      </c>
      <c r="C56" s="204">
        <v>43040</v>
      </c>
      <c r="E56" s="197">
        <f t="shared" si="7"/>
        <v>874147.34</v>
      </c>
      <c r="G56" s="196">
        <f t="shared" si="8"/>
        <v>3642.2805833333332</v>
      </c>
      <c r="I56" s="197">
        <f t="shared" si="9"/>
        <v>4860000</v>
      </c>
      <c r="K56" s="196">
        <f t="shared" si="10"/>
        <v>20250</v>
      </c>
      <c r="M56" s="197">
        <f t="shared" si="11"/>
        <v>23892.280583333333</v>
      </c>
    </row>
    <row r="57" spans="1:13" x14ac:dyDescent="0.25">
      <c r="A57" s="187">
        <f t="shared" si="12"/>
        <v>29</v>
      </c>
      <c r="C57" s="204">
        <v>43070</v>
      </c>
      <c r="E57" s="197">
        <f t="shared" si="7"/>
        <v>874147.34</v>
      </c>
      <c r="G57" s="196">
        <f t="shared" si="8"/>
        <v>3642.2805833333332</v>
      </c>
      <c r="I57" s="197">
        <f t="shared" si="9"/>
        <v>8100000</v>
      </c>
      <c r="K57" s="196">
        <f t="shared" si="10"/>
        <v>33750</v>
      </c>
      <c r="M57" s="197">
        <f t="shared" si="11"/>
        <v>37392.280583333333</v>
      </c>
    </row>
    <row r="58" spans="1:13" x14ac:dyDescent="0.25">
      <c r="A58" s="187">
        <f t="shared" si="12"/>
        <v>30</v>
      </c>
      <c r="C58" s="204">
        <v>43101</v>
      </c>
      <c r="E58" s="197">
        <f t="shared" si="7"/>
        <v>874147.34</v>
      </c>
      <c r="G58" s="196">
        <f t="shared" si="8"/>
        <v>3642.2805833333332</v>
      </c>
      <c r="I58" s="197">
        <f t="shared" si="9"/>
        <v>11564270.814999999</v>
      </c>
      <c r="K58" s="196">
        <f t="shared" si="10"/>
        <v>48184.461729166673</v>
      </c>
      <c r="M58" s="197">
        <f t="shared" si="11"/>
        <v>51826.742312500006</v>
      </c>
    </row>
    <row r="59" spans="1:13" x14ac:dyDescent="0.25">
      <c r="A59" s="187">
        <f t="shared" si="12"/>
        <v>31</v>
      </c>
      <c r="C59" s="204">
        <v>43132</v>
      </c>
      <c r="E59" s="197">
        <f t="shared" si="7"/>
        <v>874147.34</v>
      </c>
      <c r="G59" s="196">
        <f t="shared" si="8"/>
        <v>3642.2805833333332</v>
      </c>
      <c r="I59" s="197">
        <f t="shared" si="9"/>
        <v>15252812.465</v>
      </c>
      <c r="K59" s="196">
        <f t="shared" si="10"/>
        <v>63553.385270833336</v>
      </c>
      <c r="M59" s="197">
        <f t="shared" si="11"/>
        <v>67195.665854166669</v>
      </c>
    </row>
    <row r="60" spans="1:13" x14ac:dyDescent="0.25">
      <c r="A60" s="187">
        <f t="shared" si="12"/>
        <v>32</v>
      </c>
      <c r="C60" s="204">
        <v>43160</v>
      </c>
      <c r="E60" s="197">
        <f t="shared" si="7"/>
        <v>874147.34</v>
      </c>
      <c r="G60" s="196">
        <f t="shared" si="8"/>
        <v>3642.2805833333332</v>
      </c>
      <c r="I60" s="197">
        <f t="shared" si="9"/>
        <v>18941354.134999998</v>
      </c>
      <c r="K60" s="196">
        <f t="shared" si="10"/>
        <v>78922.308895833325</v>
      </c>
      <c r="M60" s="197">
        <f t="shared" si="11"/>
        <v>82564.589479166665</v>
      </c>
    </row>
    <row r="61" spans="1:13" x14ac:dyDescent="0.25">
      <c r="A61" s="187">
        <f t="shared" si="12"/>
        <v>33</v>
      </c>
      <c r="C61" s="204">
        <v>43191</v>
      </c>
      <c r="E61" s="197">
        <f t="shared" si="7"/>
        <v>874147.34</v>
      </c>
      <c r="G61" s="196">
        <f t="shared" si="8"/>
        <v>3642.2805833333332</v>
      </c>
      <c r="I61" s="197">
        <f t="shared" si="9"/>
        <v>22629895.805</v>
      </c>
      <c r="K61" s="196">
        <f t="shared" si="10"/>
        <v>94291.232520833335</v>
      </c>
      <c r="M61" s="197">
        <f t="shared" si="11"/>
        <v>97933.513104166661</v>
      </c>
    </row>
    <row r="62" spans="1:13" x14ac:dyDescent="0.25">
      <c r="A62" s="187">
        <f t="shared" si="12"/>
        <v>34</v>
      </c>
      <c r="C62" s="204">
        <v>43221</v>
      </c>
      <c r="E62" s="197">
        <f t="shared" si="7"/>
        <v>874147.34</v>
      </c>
      <c r="G62" s="196">
        <f t="shared" si="8"/>
        <v>3642.2805833333332</v>
      </c>
      <c r="I62" s="197">
        <f t="shared" si="9"/>
        <v>26318437.475000001</v>
      </c>
      <c r="K62" s="196">
        <f t="shared" si="10"/>
        <v>109660.15614583336</v>
      </c>
      <c r="M62" s="197">
        <f t="shared" si="11"/>
        <v>113302.43672916669</v>
      </c>
    </row>
    <row r="63" spans="1:13" x14ac:dyDescent="0.25">
      <c r="A63" s="187">
        <f t="shared" si="12"/>
        <v>35</v>
      </c>
      <c r="C63" s="204">
        <v>43252</v>
      </c>
      <c r="E63" s="197">
        <f t="shared" si="7"/>
        <v>874147.34</v>
      </c>
      <c r="G63" s="196">
        <f t="shared" si="8"/>
        <v>3642.2805833333332</v>
      </c>
      <c r="I63" s="197">
        <f t="shared" si="9"/>
        <v>30006979.145000003</v>
      </c>
      <c r="K63" s="196">
        <f t="shared" si="10"/>
        <v>125029.07977083336</v>
      </c>
      <c r="M63" s="197">
        <f t="shared" si="11"/>
        <v>128671.36035416668</v>
      </c>
    </row>
    <row r="64" spans="1:13" ht="16.5" thickBot="1" x14ac:dyDescent="0.3">
      <c r="A64" s="187">
        <f t="shared" si="12"/>
        <v>36</v>
      </c>
      <c r="C64" s="204" t="s">
        <v>425</v>
      </c>
      <c r="G64" s="206">
        <f>SUM(G52:G63)</f>
        <v>43707.366999999998</v>
      </c>
      <c r="K64" s="206">
        <f>SUM(K52:K63)</f>
        <v>580390.62433333334</v>
      </c>
      <c r="M64" s="206">
        <f>SUM(M52:M63)</f>
        <v>624097.99133333343</v>
      </c>
    </row>
    <row r="65" ht="16.5" thickTop="1" x14ac:dyDescent="0.25"/>
  </sheetData>
  <mergeCells count="2">
    <mergeCell ref="E30:G30"/>
    <mergeCell ref="I30:K30"/>
  </mergeCells>
  <pageMargins left="0.7" right="0.7" top="0.75" bottom="0.75" header="0.3" footer="0.3"/>
  <pageSetup scale="47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L23"/>
  <sheetViews>
    <sheetView zoomScaleSheetLayoutView="90" workbookViewId="0">
      <selection activeCell="H63" sqref="H63"/>
    </sheetView>
  </sheetViews>
  <sheetFormatPr defaultRowHeight="12.75" x14ac:dyDescent="0.2"/>
  <cols>
    <col min="1" max="1" width="4.42578125" style="1" customWidth="1"/>
    <col min="2" max="2" width="0.85546875" style="1" customWidth="1"/>
    <col min="3" max="3" width="7.7109375" style="1" bestFit="1" customWidth="1"/>
    <col min="4" max="4" width="1.140625" style="1" customWidth="1"/>
    <col min="5" max="5" width="53.140625" style="1" bestFit="1" customWidth="1"/>
    <col min="6" max="6" width="1.140625" style="1" customWidth="1"/>
    <col min="7" max="7" width="13.5703125" style="1" bestFit="1" customWidth="1"/>
    <col min="8" max="8" width="1.28515625" style="1" customWidth="1"/>
    <col min="9" max="9" width="11.28515625" style="1" customWidth="1"/>
    <col min="10" max="10" width="1.28515625" style="1" customWidth="1"/>
    <col min="11" max="11" width="11.7109375" style="1" customWidth="1"/>
    <col min="12" max="12" width="1.28515625" style="1" customWidth="1"/>
    <col min="13" max="16384" width="9.140625" style="1"/>
  </cols>
  <sheetData>
    <row r="1" spans="1:12" x14ac:dyDescent="0.2">
      <c r="A1" s="1" t="str">
        <f>Contents!A1</f>
        <v>Kentucky Utilities Company</v>
      </c>
      <c r="K1" s="27" t="str">
        <f>Contents!A3</f>
        <v>Exhibit RCS-1</v>
      </c>
    </row>
    <row r="2" spans="1:12" x14ac:dyDescent="0.2">
      <c r="A2" s="1" t="s">
        <v>488</v>
      </c>
      <c r="K2" s="27" t="s">
        <v>223</v>
      </c>
    </row>
    <row r="3" spans="1:12" x14ac:dyDescent="0.2">
      <c r="K3" s="27" t="str">
        <f>Contents!A2</f>
        <v>Case No. 2016-00370</v>
      </c>
    </row>
    <row r="4" spans="1:12" x14ac:dyDescent="0.2">
      <c r="A4" s="1" t="s">
        <v>328</v>
      </c>
      <c r="K4" s="27" t="s">
        <v>194</v>
      </c>
    </row>
    <row r="6" spans="1:12" x14ac:dyDescent="0.2">
      <c r="G6" s="99" t="s">
        <v>28</v>
      </c>
      <c r="H6" s="99"/>
      <c r="I6" s="99" t="s">
        <v>216</v>
      </c>
      <c r="J6" s="99"/>
      <c r="K6" s="99" t="s">
        <v>216</v>
      </c>
      <c r="L6" s="99"/>
    </row>
    <row r="7" spans="1:12" x14ac:dyDescent="0.2">
      <c r="A7" s="99" t="s">
        <v>0</v>
      </c>
      <c r="B7" s="99"/>
      <c r="C7" s="99" t="s">
        <v>470</v>
      </c>
      <c r="G7" s="99" t="s">
        <v>45</v>
      </c>
      <c r="H7" s="99"/>
      <c r="I7" s="99" t="s">
        <v>220</v>
      </c>
      <c r="J7" s="99"/>
      <c r="K7" s="99" t="s">
        <v>220</v>
      </c>
      <c r="L7" s="99"/>
    </row>
    <row r="8" spans="1:12" x14ac:dyDescent="0.2">
      <c r="A8" s="11" t="s">
        <v>2</v>
      </c>
      <c r="B8" s="12"/>
      <c r="C8" s="217" t="s">
        <v>471</v>
      </c>
      <c r="E8" s="2" t="s">
        <v>3</v>
      </c>
      <c r="G8" s="11" t="s">
        <v>16</v>
      </c>
      <c r="H8" s="99"/>
      <c r="I8" s="217" t="s">
        <v>475</v>
      </c>
      <c r="J8" s="12"/>
      <c r="K8" s="217" t="s">
        <v>16</v>
      </c>
      <c r="L8" s="99"/>
    </row>
    <row r="9" spans="1:12" x14ac:dyDescent="0.2">
      <c r="A9" s="99"/>
      <c r="B9" s="99"/>
      <c r="C9" s="99"/>
      <c r="G9" s="99" t="s">
        <v>6</v>
      </c>
      <c r="I9" s="99" t="s">
        <v>7</v>
      </c>
      <c r="J9" s="99"/>
      <c r="K9" s="99" t="s">
        <v>18</v>
      </c>
    </row>
    <row r="10" spans="1:12" x14ac:dyDescent="0.2">
      <c r="A10" s="99"/>
      <c r="B10" s="99"/>
      <c r="C10" s="99"/>
      <c r="G10" s="99"/>
      <c r="I10" s="99"/>
      <c r="J10" s="99"/>
      <c r="K10" s="99"/>
    </row>
    <row r="11" spans="1:12" x14ac:dyDescent="0.2">
      <c r="A11" s="99">
        <v>1</v>
      </c>
      <c r="B11" s="99"/>
      <c r="C11" s="99">
        <v>571</v>
      </c>
      <c r="E11" s="1" t="s">
        <v>517</v>
      </c>
      <c r="G11" s="4">
        <f>'Affiliate P2'!M39</f>
        <v>-11399094.6</v>
      </c>
      <c r="I11" s="218">
        <v>0.90219034131862208</v>
      </c>
      <c r="K11" s="4">
        <f>ROUND(G11*I11,0)</f>
        <v>-10284153</v>
      </c>
    </row>
    <row r="12" spans="1:12" x14ac:dyDescent="0.2">
      <c r="A12" s="99">
        <v>2</v>
      </c>
      <c r="B12" s="99"/>
      <c r="C12" s="99">
        <v>586</v>
      </c>
      <c r="E12" s="1" t="s">
        <v>520</v>
      </c>
      <c r="G12" s="4">
        <f>'Affiliate P2'!M44</f>
        <v>-1289051.6000000001</v>
      </c>
      <c r="I12" s="218">
        <v>0.9506972924082856</v>
      </c>
      <c r="K12" s="4">
        <f t="shared" ref="K12:K15" si="0">ROUND(G12*I12,0)</f>
        <v>-1225498</v>
      </c>
    </row>
    <row r="13" spans="1:12" x14ac:dyDescent="0.2">
      <c r="A13" s="99">
        <v>3</v>
      </c>
      <c r="B13" s="99"/>
      <c r="C13" s="99">
        <v>597</v>
      </c>
      <c r="E13" s="1" t="s">
        <v>523</v>
      </c>
      <c r="G13" s="4">
        <f>'Affiliate P2'!M48</f>
        <v>-1443098</v>
      </c>
      <c r="I13" s="218">
        <v>0.9506972924082856</v>
      </c>
      <c r="K13" s="4">
        <f t="shared" si="0"/>
        <v>-1371949</v>
      </c>
    </row>
    <row r="14" spans="1:12" x14ac:dyDescent="0.2">
      <c r="A14" s="99">
        <v>4</v>
      </c>
      <c r="B14" s="99"/>
      <c r="C14" s="99">
        <v>924</v>
      </c>
      <c r="E14" s="1" t="s">
        <v>534</v>
      </c>
      <c r="G14" s="4">
        <f>'Affiliate P2'!M61</f>
        <v>-5995407</v>
      </c>
      <c r="I14" s="218">
        <v>0.88836722214228614</v>
      </c>
      <c r="K14" s="4">
        <f t="shared" si="0"/>
        <v>-5326123</v>
      </c>
    </row>
    <row r="15" spans="1:12" x14ac:dyDescent="0.2">
      <c r="A15" s="99">
        <v>5</v>
      </c>
      <c r="B15" s="99"/>
      <c r="C15" s="99">
        <v>925</v>
      </c>
      <c r="E15" s="1" t="s">
        <v>535</v>
      </c>
      <c r="G15" s="47">
        <f>'Affiliate P2'!M62</f>
        <v>-3190894</v>
      </c>
      <c r="I15" s="218">
        <v>0.90373682107633646</v>
      </c>
      <c r="K15" s="47">
        <f t="shared" si="0"/>
        <v>-2883728</v>
      </c>
    </row>
    <row r="16" spans="1:12" ht="13.5" thickBot="1" x14ac:dyDescent="0.25">
      <c r="A16" s="99">
        <v>6</v>
      </c>
      <c r="B16" s="99"/>
      <c r="C16" s="99"/>
      <c r="E16" s="1" t="s">
        <v>544</v>
      </c>
      <c r="G16" s="20">
        <f>SUM(G11:G15)</f>
        <v>-23317545.199999999</v>
      </c>
      <c r="K16" s="20">
        <f>SUM(K11:K15)</f>
        <v>-21091451</v>
      </c>
    </row>
    <row r="17" spans="1:12" ht="13.5" thickTop="1" x14ac:dyDescent="0.2">
      <c r="A17" s="99"/>
      <c r="B17" s="99"/>
      <c r="C17" s="99"/>
    </row>
    <row r="21" spans="1:12" x14ac:dyDescent="0.2">
      <c r="A21" s="2" t="s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1" t="s">
        <v>556</v>
      </c>
    </row>
    <row r="23" spans="1:12" x14ac:dyDescent="0.2">
      <c r="A23" s="1" t="s">
        <v>557</v>
      </c>
    </row>
  </sheetData>
  <pageMargins left="0.75" right="0.75" top="0.62" bottom="0.39" header="0.5" footer="0.28000000000000003"/>
  <pageSetup fitToHeight="3" orientation="landscape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workbookViewId="0">
      <pane ySplit="8" topLeftCell="A9" activePane="bottomLeft" state="frozen"/>
      <selection activeCell="H63" sqref="H63"/>
      <selection pane="bottomLeft" activeCell="R39" sqref="R39"/>
    </sheetView>
  </sheetViews>
  <sheetFormatPr defaultRowHeight="12.75" x14ac:dyDescent="0.2"/>
  <cols>
    <col min="1" max="1" width="5" style="1" customWidth="1"/>
    <col min="2" max="2" width="1.28515625" style="1" customWidth="1"/>
    <col min="3" max="3" width="7.7109375" style="99" bestFit="1" customWidth="1"/>
    <col min="4" max="4" width="1.28515625" style="1" customWidth="1"/>
    <col min="5" max="5" width="46.7109375" style="1" bestFit="1" customWidth="1"/>
    <col min="6" max="6" width="1.28515625" style="1" customWidth="1"/>
    <col min="7" max="7" width="11.28515625" style="1" customWidth="1"/>
    <col min="8" max="8" width="1.28515625" style="1" customWidth="1"/>
    <col min="9" max="9" width="13.28515625" style="1" customWidth="1"/>
    <col min="10" max="10" width="1.42578125" style="1" customWidth="1"/>
    <col min="11" max="11" width="12.5703125" style="1" customWidth="1"/>
    <col min="12" max="12" width="1.5703125" style="1" customWidth="1"/>
    <col min="13" max="13" width="12" style="1" customWidth="1"/>
    <col min="14" max="14" width="1.28515625" style="1" customWidth="1"/>
    <col min="15" max="15" width="12.140625" style="1" customWidth="1"/>
    <col min="16" max="16" width="1.28515625" style="1" customWidth="1"/>
    <col min="17" max="17" width="11.140625" style="1" bestFit="1" customWidth="1"/>
    <col min="18" max="16384" width="9.140625" style="1"/>
  </cols>
  <sheetData>
    <row r="1" spans="1:17" x14ac:dyDescent="0.2">
      <c r="A1" s="1" t="str">
        <f>Contents!A1</f>
        <v>Kentucky Utilities Company</v>
      </c>
      <c r="O1" s="27" t="str">
        <f>Contents!A3</f>
        <v>Exhibit RCS-1</v>
      </c>
      <c r="Q1" s="27"/>
    </row>
    <row r="2" spans="1:17" x14ac:dyDescent="0.2">
      <c r="A2" s="1" t="s">
        <v>488</v>
      </c>
      <c r="O2" s="27" t="s">
        <v>223</v>
      </c>
      <c r="Q2" s="27"/>
    </row>
    <row r="3" spans="1:17" x14ac:dyDescent="0.2">
      <c r="O3" s="27" t="str">
        <f>Contents!A2</f>
        <v>Case No. 2016-00370</v>
      </c>
      <c r="Q3" s="27"/>
    </row>
    <row r="4" spans="1:17" x14ac:dyDescent="0.2">
      <c r="A4" s="1" t="s">
        <v>328</v>
      </c>
      <c r="O4" s="27" t="s">
        <v>192</v>
      </c>
      <c r="Q4" s="27"/>
    </row>
    <row r="7" spans="1:17" x14ac:dyDescent="0.2">
      <c r="A7" s="99" t="s">
        <v>0</v>
      </c>
      <c r="C7" s="99" t="s">
        <v>470</v>
      </c>
      <c r="G7" s="99" t="s">
        <v>489</v>
      </c>
      <c r="H7" s="99"/>
      <c r="I7" s="99" t="s">
        <v>491</v>
      </c>
      <c r="J7" s="99"/>
      <c r="K7" s="99"/>
      <c r="L7" s="99"/>
      <c r="M7" s="99" t="s">
        <v>160</v>
      </c>
      <c r="N7" s="99"/>
      <c r="O7" s="99" t="s">
        <v>160</v>
      </c>
    </row>
    <row r="8" spans="1:17" x14ac:dyDescent="0.2">
      <c r="A8" s="217" t="s">
        <v>2</v>
      </c>
      <c r="C8" s="217" t="s">
        <v>471</v>
      </c>
      <c r="E8" s="2" t="s">
        <v>3</v>
      </c>
      <c r="G8" s="217" t="s">
        <v>490</v>
      </c>
      <c r="H8" s="99"/>
      <c r="I8" s="217" t="s">
        <v>492</v>
      </c>
      <c r="J8" s="99"/>
      <c r="K8" s="217" t="s">
        <v>28</v>
      </c>
      <c r="L8" s="12"/>
      <c r="M8" s="217" t="s">
        <v>34</v>
      </c>
      <c r="N8" s="12"/>
      <c r="O8" s="217" t="s">
        <v>191</v>
      </c>
    </row>
    <row r="9" spans="1:17" x14ac:dyDescent="0.2">
      <c r="A9" s="99"/>
      <c r="E9" s="14" t="s">
        <v>49</v>
      </c>
      <c r="G9" s="16" t="s">
        <v>6</v>
      </c>
      <c r="H9" s="16"/>
      <c r="I9" s="16" t="s">
        <v>7</v>
      </c>
      <c r="J9" s="16"/>
      <c r="K9" s="16" t="s">
        <v>18</v>
      </c>
      <c r="L9" s="16"/>
      <c r="M9" s="16" t="s">
        <v>38</v>
      </c>
      <c r="N9" s="16"/>
      <c r="O9" s="16" t="s">
        <v>50</v>
      </c>
      <c r="P9" s="99"/>
    </row>
    <row r="10" spans="1:17" x14ac:dyDescent="0.2">
      <c r="A10" s="99">
        <v>1</v>
      </c>
      <c r="C10" s="99">
        <v>107</v>
      </c>
      <c r="E10" s="1" t="s">
        <v>346</v>
      </c>
      <c r="G10" s="4">
        <v>0</v>
      </c>
      <c r="H10" s="4"/>
      <c r="I10" s="4">
        <v>108409339</v>
      </c>
      <c r="J10" s="4"/>
      <c r="K10" s="4">
        <f>G10+I10</f>
        <v>108409339</v>
      </c>
      <c r="L10" s="4"/>
      <c r="M10" s="4"/>
      <c r="N10" s="4"/>
      <c r="O10" s="4">
        <f>K10+M10</f>
        <v>108409339</v>
      </c>
    </row>
    <row r="11" spans="1:17" x14ac:dyDescent="0.2">
      <c r="A11" s="99">
        <f>A10+1</f>
        <v>2</v>
      </c>
      <c r="C11" s="99">
        <v>108</v>
      </c>
      <c r="E11" s="1" t="s">
        <v>493</v>
      </c>
      <c r="G11" s="4">
        <v>0</v>
      </c>
      <c r="H11" s="4"/>
      <c r="I11" s="4">
        <v>-338117</v>
      </c>
      <c r="J11" s="4"/>
      <c r="K11" s="4">
        <f t="shared" ref="K11:K68" si="0">G11+I11</f>
        <v>-338117</v>
      </c>
      <c r="L11" s="4"/>
      <c r="M11" s="4"/>
      <c r="N11" s="4"/>
      <c r="O11" s="4">
        <f t="shared" ref="O11:O68" si="1">K11+M11</f>
        <v>-338117</v>
      </c>
    </row>
    <row r="12" spans="1:17" x14ac:dyDescent="0.2">
      <c r="A12" s="99">
        <f t="shared" ref="A12:A69" si="2">A11+1</f>
        <v>3</v>
      </c>
      <c r="C12" s="99">
        <v>163</v>
      </c>
      <c r="E12" s="1" t="s">
        <v>494</v>
      </c>
      <c r="G12" s="4">
        <v>0</v>
      </c>
      <c r="H12" s="4"/>
      <c r="I12" s="4">
        <v>1975310</v>
      </c>
      <c r="J12" s="4"/>
      <c r="K12" s="4">
        <f t="shared" si="0"/>
        <v>1975310</v>
      </c>
      <c r="L12" s="4"/>
      <c r="M12" s="4"/>
      <c r="N12" s="4"/>
      <c r="O12" s="4">
        <f t="shared" si="1"/>
        <v>1975310</v>
      </c>
    </row>
    <row r="13" spans="1:17" x14ac:dyDescent="0.2">
      <c r="A13" s="99">
        <f t="shared" si="2"/>
        <v>4</v>
      </c>
      <c r="C13" s="99">
        <v>182.3</v>
      </c>
      <c r="E13" s="1" t="s">
        <v>495</v>
      </c>
      <c r="G13" s="4">
        <v>0</v>
      </c>
      <c r="H13" s="4"/>
      <c r="I13" s="4">
        <v>660032</v>
      </c>
      <c r="J13" s="4"/>
      <c r="K13" s="4">
        <f t="shared" si="0"/>
        <v>660032</v>
      </c>
      <c r="L13" s="4"/>
      <c r="M13" s="4"/>
      <c r="N13" s="4"/>
      <c r="O13" s="4">
        <f t="shared" si="1"/>
        <v>660032</v>
      </c>
    </row>
    <row r="14" spans="1:17" x14ac:dyDescent="0.2">
      <c r="A14" s="99">
        <f t="shared" si="2"/>
        <v>5</v>
      </c>
      <c r="C14" s="99">
        <v>184</v>
      </c>
      <c r="E14" s="1" t="s">
        <v>496</v>
      </c>
      <c r="G14" s="4">
        <v>258244</v>
      </c>
      <c r="H14" s="4"/>
      <c r="I14" s="4">
        <v>12013007</v>
      </c>
      <c r="J14" s="4"/>
      <c r="K14" s="4">
        <f t="shared" si="0"/>
        <v>12271251</v>
      </c>
      <c r="L14" s="4"/>
      <c r="M14" s="4"/>
      <c r="N14" s="4"/>
      <c r="O14" s="4">
        <f t="shared" si="1"/>
        <v>12271251</v>
      </c>
    </row>
    <row r="15" spans="1:17" ht="13.5" thickBot="1" x14ac:dyDescent="0.25">
      <c r="A15" s="99">
        <f t="shared" si="2"/>
        <v>6</v>
      </c>
      <c r="G15" s="18">
        <f>SUM(G10:G14)</f>
        <v>258244</v>
      </c>
      <c r="H15" s="4"/>
      <c r="I15" s="18">
        <f>SUM(I10:I14)</f>
        <v>122719571</v>
      </c>
      <c r="J15" s="4"/>
      <c r="K15" s="18">
        <f>SUM(K10:K14)</f>
        <v>122977815</v>
      </c>
      <c r="L15" s="4"/>
      <c r="M15" s="18">
        <f>SUM(M10:M14)</f>
        <v>0</v>
      </c>
      <c r="N15" s="4"/>
      <c r="O15" s="18">
        <f>SUM(O10:O14)</f>
        <v>122977815</v>
      </c>
    </row>
    <row r="16" spans="1:17" ht="13.5" thickTop="1" x14ac:dyDescent="0.2">
      <c r="A16" s="99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">
      <c r="A17" s="99"/>
      <c r="E17" s="14" t="s">
        <v>152</v>
      </c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">
      <c r="A18" s="99">
        <f>A15+1</f>
        <v>7</v>
      </c>
      <c r="C18" s="99">
        <v>408.1</v>
      </c>
      <c r="E18" s="1" t="s">
        <v>497</v>
      </c>
      <c r="G18" s="4">
        <v>66947</v>
      </c>
      <c r="H18" s="4"/>
      <c r="I18" s="4">
        <v>5199757</v>
      </c>
      <c r="J18" s="4"/>
      <c r="K18" s="4">
        <f t="shared" si="0"/>
        <v>5266704</v>
      </c>
      <c r="L18" s="4"/>
      <c r="M18" s="4"/>
      <c r="N18" s="4"/>
      <c r="O18" s="4">
        <f t="shared" si="1"/>
        <v>5266704</v>
      </c>
    </row>
    <row r="19" spans="1:15" x14ac:dyDescent="0.2">
      <c r="A19" s="99">
        <f t="shared" si="2"/>
        <v>8</v>
      </c>
      <c r="C19" s="99">
        <v>500</v>
      </c>
      <c r="E19" s="1" t="s">
        <v>498</v>
      </c>
      <c r="G19" s="4">
        <v>0</v>
      </c>
      <c r="H19" s="4"/>
      <c r="I19" s="4">
        <v>6323479</v>
      </c>
      <c r="J19" s="4"/>
      <c r="K19" s="4">
        <f t="shared" si="0"/>
        <v>6323479</v>
      </c>
      <c r="L19" s="4"/>
      <c r="M19" s="4"/>
      <c r="N19" s="4"/>
      <c r="O19" s="4">
        <f t="shared" si="1"/>
        <v>6323479</v>
      </c>
    </row>
    <row r="20" spans="1:15" x14ac:dyDescent="0.2">
      <c r="A20" s="99">
        <f t="shared" si="2"/>
        <v>9</v>
      </c>
      <c r="C20" s="99">
        <v>501</v>
      </c>
      <c r="E20" s="1" t="s">
        <v>499</v>
      </c>
      <c r="G20" s="4">
        <v>0</v>
      </c>
      <c r="H20" s="4"/>
      <c r="I20" s="4">
        <v>1393257</v>
      </c>
      <c r="J20" s="4"/>
      <c r="K20" s="4">
        <f t="shared" si="0"/>
        <v>1393257</v>
      </c>
      <c r="L20" s="4"/>
      <c r="M20" s="4"/>
      <c r="N20" s="4"/>
      <c r="O20" s="4">
        <f t="shared" si="1"/>
        <v>1393257</v>
      </c>
    </row>
    <row r="21" spans="1:15" x14ac:dyDescent="0.2">
      <c r="A21" s="99">
        <f t="shared" si="2"/>
        <v>10</v>
      </c>
      <c r="C21" s="99">
        <v>502</v>
      </c>
      <c r="E21" s="1" t="s">
        <v>500</v>
      </c>
      <c r="G21" s="4">
        <v>0</v>
      </c>
      <c r="H21" s="4"/>
      <c r="I21" s="4">
        <v>76583</v>
      </c>
      <c r="J21" s="4"/>
      <c r="K21" s="4">
        <f t="shared" si="0"/>
        <v>76583</v>
      </c>
      <c r="L21" s="4"/>
      <c r="M21" s="4"/>
      <c r="N21" s="4"/>
      <c r="O21" s="4">
        <f t="shared" si="1"/>
        <v>76583</v>
      </c>
    </row>
    <row r="22" spans="1:15" x14ac:dyDescent="0.2">
      <c r="A22" s="99">
        <f t="shared" si="2"/>
        <v>11</v>
      </c>
      <c r="C22" s="99">
        <v>505</v>
      </c>
      <c r="E22" s="1" t="s">
        <v>501</v>
      </c>
      <c r="G22" s="4">
        <v>0</v>
      </c>
      <c r="H22" s="4"/>
      <c r="I22" s="4">
        <v>24147</v>
      </c>
      <c r="J22" s="4"/>
      <c r="K22" s="4">
        <f t="shared" si="0"/>
        <v>24147</v>
      </c>
      <c r="L22" s="4"/>
      <c r="M22" s="4"/>
      <c r="N22" s="4"/>
      <c r="O22" s="4">
        <f t="shared" si="1"/>
        <v>24147</v>
      </c>
    </row>
    <row r="23" spans="1:15" x14ac:dyDescent="0.2">
      <c r="A23" s="99">
        <f t="shared" si="2"/>
        <v>12</v>
      </c>
      <c r="C23" s="99">
        <v>506</v>
      </c>
      <c r="E23" s="1" t="s">
        <v>502</v>
      </c>
      <c r="G23" s="4">
        <v>0</v>
      </c>
      <c r="H23" s="4"/>
      <c r="I23" s="4">
        <v>2825109</v>
      </c>
      <c r="J23" s="4"/>
      <c r="K23" s="4">
        <f t="shared" si="0"/>
        <v>2825109</v>
      </c>
      <c r="L23" s="4"/>
      <c r="M23" s="4"/>
      <c r="N23" s="4"/>
      <c r="O23" s="4">
        <f t="shared" si="1"/>
        <v>2825109</v>
      </c>
    </row>
    <row r="24" spans="1:15" x14ac:dyDescent="0.2">
      <c r="A24" s="99">
        <f t="shared" si="2"/>
        <v>13</v>
      </c>
      <c r="C24" s="99">
        <v>510</v>
      </c>
      <c r="E24" s="1" t="s">
        <v>503</v>
      </c>
      <c r="G24" s="4">
        <v>0</v>
      </c>
      <c r="H24" s="4"/>
      <c r="I24" s="4">
        <v>3012539</v>
      </c>
      <c r="J24" s="4"/>
      <c r="K24" s="4">
        <f t="shared" si="0"/>
        <v>3012539</v>
      </c>
      <c r="L24" s="4"/>
      <c r="M24" s="4"/>
      <c r="N24" s="4"/>
      <c r="O24" s="4">
        <f t="shared" si="1"/>
        <v>3012539</v>
      </c>
    </row>
    <row r="25" spans="1:15" x14ac:dyDescent="0.2">
      <c r="A25" s="99">
        <f t="shared" si="2"/>
        <v>14</v>
      </c>
      <c r="C25" s="99">
        <v>511</v>
      </c>
      <c r="E25" s="1" t="s">
        <v>504</v>
      </c>
      <c r="G25" s="4">
        <v>97282</v>
      </c>
      <c r="H25" s="4"/>
      <c r="I25" s="4">
        <v>7932</v>
      </c>
      <c r="J25" s="4"/>
      <c r="K25" s="4">
        <f t="shared" si="0"/>
        <v>105214</v>
      </c>
      <c r="L25" s="4"/>
      <c r="M25" s="4"/>
      <c r="N25" s="4"/>
      <c r="O25" s="4">
        <f t="shared" si="1"/>
        <v>105214</v>
      </c>
    </row>
    <row r="26" spans="1:15" x14ac:dyDescent="0.2">
      <c r="A26" s="99">
        <f t="shared" si="2"/>
        <v>15</v>
      </c>
      <c r="C26" s="99">
        <v>514</v>
      </c>
      <c r="E26" s="1" t="s">
        <v>505</v>
      </c>
      <c r="G26" s="4">
        <v>0</v>
      </c>
      <c r="H26" s="4"/>
      <c r="I26" s="4">
        <v>21348</v>
      </c>
      <c r="J26" s="4"/>
      <c r="K26" s="4">
        <f t="shared" si="0"/>
        <v>21348</v>
      </c>
      <c r="L26" s="4"/>
      <c r="M26" s="4"/>
      <c r="N26" s="4"/>
      <c r="O26" s="4">
        <f t="shared" si="1"/>
        <v>21348</v>
      </c>
    </row>
    <row r="27" spans="1:15" x14ac:dyDescent="0.2">
      <c r="A27" s="99">
        <f t="shared" si="2"/>
        <v>16</v>
      </c>
      <c r="C27" s="99">
        <v>554</v>
      </c>
      <c r="E27" s="1" t="s">
        <v>506</v>
      </c>
      <c r="G27" s="4">
        <v>0</v>
      </c>
      <c r="H27" s="4"/>
      <c r="I27" s="4">
        <v>65935</v>
      </c>
      <c r="J27" s="4"/>
      <c r="K27" s="4">
        <f t="shared" si="0"/>
        <v>65935</v>
      </c>
      <c r="L27" s="4"/>
      <c r="M27" s="4"/>
      <c r="N27" s="4"/>
      <c r="O27" s="4">
        <f t="shared" si="1"/>
        <v>65935</v>
      </c>
    </row>
    <row r="28" spans="1:15" x14ac:dyDescent="0.2">
      <c r="A28" s="99">
        <f t="shared" si="2"/>
        <v>17</v>
      </c>
      <c r="C28" s="99">
        <v>556</v>
      </c>
      <c r="E28" s="1" t="s">
        <v>507</v>
      </c>
      <c r="G28" s="4">
        <v>0</v>
      </c>
      <c r="H28" s="4"/>
      <c r="I28" s="4">
        <v>2129212</v>
      </c>
      <c r="J28" s="4"/>
      <c r="K28" s="4">
        <f t="shared" si="0"/>
        <v>2129212</v>
      </c>
      <c r="L28" s="4"/>
      <c r="M28" s="4"/>
      <c r="N28" s="4"/>
      <c r="O28" s="4">
        <f t="shared" si="1"/>
        <v>2129212</v>
      </c>
    </row>
    <row r="29" spans="1:15" x14ac:dyDescent="0.2">
      <c r="A29" s="99">
        <f t="shared" si="2"/>
        <v>18</v>
      </c>
      <c r="C29" s="99">
        <v>560</v>
      </c>
      <c r="E29" s="1" t="s">
        <v>498</v>
      </c>
      <c r="G29" s="4">
        <v>0</v>
      </c>
      <c r="H29" s="4"/>
      <c r="I29" s="4">
        <v>2001338</v>
      </c>
      <c r="J29" s="4"/>
      <c r="K29" s="4">
        <f t="shared" si="0"/>
        <v>2001338</v>
      </c>
      <c r="L29" s="4"/>
      <c r="M29" s="4"/>
      <c r="N29" s="4"/>
      <c r="O29" s="4">
        <f t="shared" si="1"/>
        <v>2001338</v>
      </c>
    </row>
    <row r="30" spans="1:15" x14ac:dyDescent="0.2">
      <c r="A30" s="99">
        <f t="shared" si="2"/>
        <v>19</v>
      </c>
      <c r="C30" s="99">
        <v>561.1</v>
      </c>
      <c r="E30" s="1" t="s">
        <v>508</v>
      </c>
      <c r="G30" s="4">
        <v>0</v>
      </c>
      <c r="H30" s="4"/>
      <c r="I30" s="4">
        <v>491027</v>
      </c>
      <c r="J30" s="4"/>
      <c r="K30" s="4">
        <f t="shared" si="0"/>
        <v>491027</v>
      </c>
      <c r="L30" s="4"/>
      <c r="M30" s="4"/>
      <c r="N30" s="4"/>
      <c r="O30" s="4">
        <f t="shared" si="1"/>
        <v>491027</v>
      </c>
    </row>
    <row r="31" spans="1:15" x14ac:dyDescent="0.2">
      <c r="A31" s="99">
        <f t="shared" si="2"/>
        <v>20</v>
      </c>
      <c r="C31" s="99">
        <v>562.20000000000005</v>
      </c>
      <c r="E31" s="1" t="s">
        <v>509</v>
      </c>
      <c r="G31" s="4">
        <v>0</v>
      </c>
      <c r="H31" s="4"/>
      <c r="I31" s="4">
        <v>1938653</v>
      </c>
      <c r="J31" s="4"/>
      <c r="K31" s="4">
        <f t="shared" si="0"/>
        <v>1938653</v>
      </c>
      <c r="L31" s="4"/>
      <c r="M31" s="4"/>
      <c r="N31" s="4"/>
      <c r="O31" s="4">
        <f t="shared" si="1"/>
        <v>1938653</v>
      </c>
    </row>
    <row r="32" spans="1:15" x14ac:dyDescent="0.2">
      <c r="A32" s="99">
        <f t="shared" si="2"/>
        <v>21</v>
      </c>
      <c r="C32" s="99">
        <v>561.29999999999995</v>
      </c>
      <c r="E32" s="1" t="s">
        <v>510</v>
      </c>
      <c r="G32" s="4">
        <v>0</v>
      </c>
      <c r="H32" s="4"/>
      <c r="I32" s="4">
        <v>848604</v>
      </c>
      <c r="J32" s="4"/>
      <c r="K32" s="4">
        <f t="shared" si="0"/>
        <v>848604</v>
      </c>
      <c r="L32" s="4"/>
      <c r="M32" s="4"/>
      <c r="N32" s="4"/>
      <c r="O32" s="4">
        <f t="shared" si="1"/>
        <v>848604</v>
      </c>
    </row>
    <row r="33" spans="1:15" x14ac:dyDescent="0.2">
      <c r="A33" s="99">
        <f t="shared" si="2"/>
        <v>22</v>
      </c>
      <c r="C33" s="99">
        <v>561.5</v>
      </c>
      <c r="E33" s="1" t="s">
        <v>511</v>
      </c>
      <c r="G33" s="4">
        <v>0</v>
      </c>
      <c r="H33" s="4"/>
      <c r="I33" s="4">
        <v>763705</v>
      </c>
      <c r="J33" s="4"/>
      <c r="K33" s="4">
        <f t="shared" si="0"/>
        <v>763705</v>
      </c>
      <c r="L33" s="4"/>
      <c r="M33" s="4"/>
      <c r="N33" s="4"/>
      <c r="O33" s="4">
        <f t="shared" si="1"/>
        <v>763705</v>
      </c>
    </row>
    <row r="34" spans="1:15" x14ac:dyDescent="0.2">
      <c r="A34" s="99">
        <f t="shared" si="2"/>
        <v>23</v>
      </c>
      <c r="C34" s="99">
        <v>562</v>
      </c>
      <c r="E34" s="1" t="s">
        <v>512</v>
      </c>
      <c r="G34" s="4">
        <v>0</v>
      </c>
      <c r="H34" s="4"/>
      <c r="I34" s="4">
        <v>741990</v>
      </c>
      <c r="J34" s="4"/>
      <c r="K34" s="4">
        <f t="shared" si="0"/>
        <v>741990</v>
      </c>
      <c r="L34" s="4"/>
      <c r="M34" s="4"/>
      <c r="N34" s="4"/>
      <c r="O34" s="4">
        <f t="shared" si="1"/>
        <v>741990</v>
      </c>
    </row>
    <row r="35" spans="1:15" x14ac:dyDescent="0.2">
      <c r="A35" s="99">
        <f t="shared" si="2"/>
        <v>24</v>
      </c>
      <c r="C35" s="99">
        <v>563</v>
      </c>
      <c r="E35" s="1" t="s">
        <v>514</v>
      </c>
      <c r="G35" s="4">
        <v>0</v>
      </c>
      <c r="H35" s="4"/>
      <c r="I35" s="4">
        <v>1174640</v>
      </c>
      <c r="J35" s="4"/>
      <c r="K35" s="4">
        <f t="shared" si="0"/>
        <v>1174640</v>
      </c>
      <c r="L35" s="4"/>
      <c r="M35" s="4"/>
      <c r="N35" s="4"/>
      <c r="O35" s="4">
        <f t="shared" si="1"/>
        <v>1174640</v>
      </c>
    </row>
    <row r="36" spans="1:15" x14ac:dyDescent="0.2">
      <c r="A36" s="99">
        <f t="shared" si="2"/>
        <v>25</v>
      </c>
      <c r="C36" s="99">
        <v>566</v>
      </c>
      <c r="E36" s="1" t="s">
        <v>513</v>
      </c>
      <c r="G36" s="4">
        <v>0</v>
      </c>
      <c r="H36" s="4"/>
      <c r="I36" s="4">
        <v>2594999</v>
      </c>
      <c r="J36" s="4"/>
      <c r="K36" s="4">
        <f t="shared" si="0"/>
        <v>2594999</v>
      </c>
      <c r="L36" s="4"/>
      <c r="M36" s="4"/>
      <c r="N36" s="4"/>
      <c r="O36" s="4">
        <f t="shared" si="1"/>
        <v>2594999</v>
      </c>
    </row>
    <row r="37" spans="1:15" x14ac:dyDescent="0.2">
      <c r="A37" s="99">
        <f t="shared" si="2"/>
        <v>26</v>
      </c>
      <c r="C37" s="99">
        <v>567</v>
      </c>
      <c r="E37" s="1" t="s">
        <v>515</v>
      </c>
      <c r="G37" s="4">
        <v>0</v>
      </c>
      <c r="H37" s="4"/>
      <c r="I37" s="4">
        <v>124236</v>
      </c>
      <c r="J37" s="4"/>
      <c r="K37" s="4">
        <f t="shared" si="0"/>
        <v>124236</v>
      </c>
      <c r="L37" s="4"/>
      <c r="M37" s="4"/>
      <c r="N37" s="4"/>
      <c r="O37" s="4">
        <f t="shared" si="1"/>
        <v>124236</v>
      </c>
    </row>
    <row r="38" spans="1:15" x14ac:dyDescent="0.2">
      <c r="A38" s="99">
        <f t="shared" si="2"/>
        <v>27</v>
      </c>
      <c r="C38" s="99">
        <v>570</v>
      </c>
      <c r="E38" s="1" t="s">
        <v>516</v>
      </c>
      <c r="G38" s="4">
        <v>0</v>
      </c>
      <c r="H38" s="4"/>
      <c r="I38" s="4">
        <v>1651824</v>
      </c>
      <c r="J38" s="4"/>
      <c r="K38" s="4">
        <f t="shared" si="0"/>
        <v>1651824</v>
      </c>
      <c r="L38" s="4"/>
      <c r="M38" s="4"/>
      <c r="N38" s="4"/>
      <c r="O38" s="4">
        <f t="shared" si="1"/>
        <v>1651824</v>
      </c>
    </row>
    <row r="39" spans="1:15" x14ac:dyDescent="0.2">
      <c r="A39" s="99">
        <f t="shared" si="2"/>
        <v>28</v>
      </c>
      <c r="C39" s="99">
        <v>571</v>
      </c>
      <c r="E39" s="1" t="s">
        <v>517</v>
      </c>
      <c r="G39" s="4">
        <v>0</v>
      </c>
      <c r="H39" s="4"/>
      <c r="I39" s="4">
        <v>11532263</v>
      </c>
      <c r="J39" s="4"/>
      <c r="K39" s="4">
        <f t="shared" si="0"/>
        <v>11532263</v>
      </c>
      <c r="L39" s="4"/>
      <c r="M39" s="4">
        <f>O39-K39</f>
        <v>-11399094.6</v>
      </c>
      <c r="N39" s="4"/>
      <c r="O39" s="4">
        <f>'Affiliate P3'!Q10</f>
        <v>133168.4</v>
      </c>
    </row>
    <row r="40" spans="1:15" x14ac:dyDescent="0.2">
      <c r="A40" s="99">
        <f t="shared" si="2"/>
        <v>29</v>
      </c>
      <c r="C40" s="99">
        <v>573</v>
      </c>
      <c r="E40" s="1" t="s">
        <v>518</v>
      </c>
      <c r="G40" s="4">
        <v>0</v>
      </c>
      <c r="H40" s="4"/>
      <c r="I40" s="4">
        <v>345925</v>
      </c>
      <c r="J40" s="4"/>
      <c r="K40" s="4">
        <f t="shared" si="0"/>
        <v>345925</v>
      </c>
      <c r="L40" s="4"/>
      <c r="M40" s="4"/>
      <c r="N40" s="4"/>
      <c r="O40" s="4">
        <f t="shared" si="1"/>
        <v>345925</v>
      </c>
    </row>
    <row r="41" spans="1:15" x14ac:dyDescent="0.2">
      <c r="A41" s="99">
        <f t="shared" si="2"/>
        <v>30</v>
      </c>
      <c r="C41" s="99">
        <v>580</v>
      </c>
      <c r="E41" s="1" t="s">
        <v>498</v>
      </c>
      <c r="G41" s="4">
        <v>107032</v>
      </c>
      <c r="H41" s="4"/>
      <c r="I41" s="4">
        <v>1377287</v>
      </c>
      <c r="J41" s="4"/>
      <c r="K41" s="4">
        <f t="shared" si="0"/>
        <v>1484319</v>
      </c>
      <c r="L41" s="4"/>
      <c r="M41" s="4"/>
      <c r="N41" s="4"/>
      <c r="O41" s="4">
        <f t="shared" si="1"/>
        <v>1484319</v>
      </c>
    </row>
    <row r="42" spans="1:15" x14ac:dyDescent="0.2">
      <c r="A42" s="99">
        <f t="shared" si="2"/>
        <v>31</v>
      </c>
      <c r="C42" s="99">
        <v>581</v>
      </c>
      <c r="E42" s="1" t="s">
        <v>519</v>
      </c>
      <c r="G42" s="4">
        <v>0</v>
      </c>
      <c r="H42" s="4"/>
      <c r="I42" s="4">
        <v>362687</v>
      </c>
      <c r="J42" s="4"/>
      <c r="K42" s="4">
        <f t="shared" si="0"/>
        <v>362687</v>
      </c>
      <c r="L42" s="4"/>
      <c r="M42" s="4"/>
      <c r="N42" s="4"/>
      <c r="O42" s="4">
        <f t="shared" si="1"/>
        <v>362687</v>
      </c>
    </row>
    <row r="43" spans="1:15" x14ac:dyDescent="0.2">
      <c r="A43" s="99">
        <f t="shared" si="2"/>
        <v>32</v>
      </c>
      <c r="C43" s="99">
        <v>583</v>
      </c>
      <c r="E43" s="1" t="s">
        <v>514</v>
      </c>
      <c r="G43" s="4">
        <v>0</v>
      </c>
      <c r="H43" s="4"/>
      <c r="I43" s="4">
        <v>1296656</v>
      </c>
      <c r="J43" s="4"/>
      <c r="K43" s="4">
        <f t="shared" si="0"/>
        <v>1296656</v>
      </c>
      <c r="L43" s="4"/>
      <c r="M43" s="4"/>
      <c r="N43" s="4"/>
      <c r="O43" s="4">
        <f t="shared" si="1"/>
        <v>1296656</v>
      </c>
    </row>
    <row r="44" spans="1:15" x14ac:dyDescent="0.2">
      <c r="A44" s="99">
        <f t="shared" si="2"/>
        <v>33</v>
      </c>
      <c r="C44" s="99">
        <v>586</v>
      </c>
      <c r="E44" s="1" t="s">
        <v>520</v>
      </c>
      <c r="G44" s="4">
        <v>0</v>
      </c>
      <c r="H44" s="4"/>
      <c r="I44" s="4">
        <v>1863519</v>
      </c>
      <c r="J44" s="4"/>
      <c r="K44" s="4">
        <f t="shared" si="0"/>
        <v>1863519</v>
      </c>
      <c r="L44" s="4"/>
      <c r="M44" s="4">
        <f>O44-K44</f>
        <v>-1289051.6000000001</v>
      </c>
      <c r="N44" s="4"/>
      <c r="O44" s="4">
        <f>'Affiliate P3'!Q11</f>
        <v>574467.4</v>
      </c>
    </row>
    <row r="45" spans="1:15" x14ac:dyDescent="0.2">
      <c r="A45" s="99">
        <f t="shared" si="2"/>
        <v>34</v>
      </c>
      <c r="C45" s="99">
        <v>587</v>
      </c>
      <c r="E45" s="1" t="s">
        <v>521</v>
      </c>
      <c r="G45" s="4">
        <v>0</v>
      </c>
      <c r="H45" s="4"/>
      <c r="I45" s="4">
        <v>-100800</v>
      </c>
      <c r="J45" s="4"/>
      <c r="K45" s="4">
        <f t="shared" si="0"/>
        <v>-100800</v>
      </c>
      <c r="L45" s="4"/>
      <c r="M45" s="4"/>
      <c r="N45" s="4"/>
      <c r="O45" s="4">
        <f t="shared" si="1"/>
        <v>-100800</v>
      </c>
    </row>
    <row r="46" spans="1:15" x14ac:dyDescent="0.2">
      <c r="A46" s="99">
        <f t="shared" si="2"/>
        <v>35</v>
      </c>
      <c r="C46" s="99">
        <v>588</v>
      </c>
      <c r="E46" s="1" t="s">
        <v>522</v>
      </c>
      <c r="G46" s="4">
        <v>9500</v>
      </c>
      <c r="H46" s="4"/>
      <c r="I46" s="4">
        <v>2449184</v>
      </c>
      <c r="J46" s="4"/>
      <c r="K46" s="4">
        <f t="shared" si="0"/>
        <v>2458684</v>
      </c>
      <c r="L46" s="4"/>
      <c r="M46" s="4"/>
      <c r="N46" s="4"/>
      <c r="O46" s="4">
        <f t="shared" si="1"/>
        <v>2458684</v>
      </c>
    </row>
    <row r="47" spans="1:15" x14ac:dyDescent="0.2">
      <c r="A47" s="99">
        <f t="shared" si="2"/>
        <v>36</v>
      </c>
      <c r="C47" s="99">
        <v>593</v>
      </c>
      <c r="E47" s="1" t="s">
        <v>517</v>
      </c>
      <c r="G47" s="4">
        <v>0</v>
      </c>
      <c r="H47" s="4"/>
      <c r="I47" s="4">
        <v>113712</v>
      </c>
      <c r="J47" s="4"/>
      <c r="K47" s="4">
        <f t="shared" si="0"/>
        <v>113712</v>
      </c>
      <c r="L47" s="4"/>
      <c r="M47" s="4"/>
      <c r="N47" s="4"/>
      <c r="O47" s="4">
        <f t="shared" si="1"/>
        <v>113712</v>
      </c>
    </row>
    <row r="48" spans="1:15" x14ac:dyDescent="0.2">
      <c r="A48" s="99">
        <f t="shared" si="2"/>
        <v>37</v>
      </c>
      <c r="C48" s="99">
        <v>597</v>
      </c>
      <c r="E48" s="1" t="s">
        <v>523</v>
      </c>
      <c r="G48" s="4">
        <v>0</v>
      </c>
      <c r="H48" s="4"/>
      <c r="I48" s="4">
        <v>1443098</v>
      </c>
      <c r="J48" s="4"/>
      <c r="K48" s="4">
        <f t="shared" si="0"/>
        <v>1443098</v>
      </c>
      <c r="L48" s="4"/>
      <c r="M48" s="4">
        <f>O48-K48</f>
        <v>-1443098</v>
      </c>
      <c r="N48" s="4"/>
      <c r="O48" s="4">
        <f>'Affiliate P3'!Q12</f>
        <v>0</v>
      </c>
    </row>
    <row r="49" spans="1:15" x14ac:dyDescent="0.2">
      <c r="A49" s="99">
        <f t="shared" si="2"/>
        <v>38</v>
      </c>
      <c r="C49" s="99">
        <v>598</v>
      </c>
      <c r="E49" s="1" t="s">
        <v>524</v>
      </c>
      <c r="G49" s="4">
        <v>0</v>
      </c>
      <c r="H49" s="4"/>
      <c r="I49" s="4">
        <v>56945</v>
      </c>
      <c r="J49" s="4"/>
      <c r="K49" s="4">
        <f t="shared" si="0"/>
        <v>56945</v>
      </c>
      <c r="L49" s="4"/>
      <c r="M49" s="4"/>
      <c r="N49" s="4"/>
      <c r="O49" s="4">
        <f t="shared" si="1"/>
        <v>56945</v>
      </c>
    </row>
    <row r="50" spans="1:15" x14ac:dyDescent="0.2">
      <c r="A50" s="99">
        <f t="shared" si="2"/>
        <v>39</v>
      </c>
      <c r="C50" s="99">
        <v>901</v>
      </c>
      <c r="E50" s="1" t="s">
        <v>525</v>
      </c>
      <c r="G50" s="4">
        <v>0</v>
      </c>
      <c r="H50" s="4"/>
      <c r="I50" s="4">
        <v>3140212</v>
      </c>
      <c r="J50" s="4"/>
      <c r="K50" s="4">
        <f t="shared" si="0"/>
        <v>3140212</v>
      </c>
      <c r="L50" s="4"/>
      <c r="M50" s="4"/>
      <c r="N50" s="4"/>
      <c r="O50" s="4">
        <f t="shared" si="1"/>
        <v>3140212</v>
      </c>
    </row>
    <row r="51" spans="1:15" x14ac:dyDescent="0.2">
      <c r="A51" s="99">
        <f t="shared" si="2"/>
        <v>40</v>
      </c>
      <c r="C51" s="99">
        <v>902</v>
      </c>
      <c r="E51" s="1" t="s">
        <v>526</v>
      </c>
      <c r="G51" s="4">
        <v>0</v>
      </c>
      <c r="H51" s="4"/>
      <c r="I51" s="4">
        <v>224438</v>
      </c>
      <c r="J51" s="4"/>
      <c r="K51" s="4">
        <f t="shared" si="0"/>
        <v>224438</v>
      </c>
      <c r="L51" s="4"/>
      <c r="M51" s="4"/>
      <c r="N51" s="4"/>
      <c r="O51" s="4">
        <f t="shared" si="1"/>
        <v>224438</v>
      </c>
    </row>
    <row r="52" spans="1:15" x14ac:dyDescent="0.2">
      <c r="A52" s="99">
        <f t="shared" si="2"/>
        <v>41</v>
      </c>
      <c r="C52" s="99">
        <v>903</v>
      </c>
      <c r="E52" s="1" t="s">
        <v>527</v>
      </c>
      <c r="G52" s="4">
        <v>0</v>
      </c>
      <c r="H52" s="4"/>
      <c r="I52" s="4">
        <v>13944707</v>
      </c>
      <c r="J52" s="4"/>
      <c r="K52" s="4">
        <f t="shared" si="0"/>
        <v>13944707</v>
      </c>
      <c r="L52" s="4"/>
      <c r="M52" s="4"/>
      <c r="N52" s="4"/>
      <c r="O52" s="4">
        <f t="shared" si="1"/>
        <v>13944707</v>
      </c>
    </row>
    <row r="53" spans="1:15" x14ac:dyDescent="0.2">
      <c r="A53" s="99">
        <f t="shared" si="2"/>
        <v>42</v>
      </c>
      <c r="C53" s="99">
        <v>907</v>
      </c>
      <c r="E53" s="1" t="s">
        <v>525</v>
      </c>
      <c r="G53" s="4">
        <v>0</v>
      </c>
      <c r="H53" s="4"/>
      <c r="I53" s="4">
        <v>640059</v>
      </c>
      <c r="J53" s="4"/>
      <c r="K53" s="4">
        <f t="shared" si="0"/>
        <v>640059</v>
      </c>
      <c r="L53" s="4"/>
      <c r="M53" s="4"/>
      <c r="N53" s="4"/>
      <c r="O53" s="4">
        <f t="shared" si="1"/>
        <v>640059</v>
      </c>
    </row>
    <row r="54" spans="1:15" x14ac:dyDescent="0.2">
      <c r="A54" s="99">
        <f t="shared" si="2"/>
        <v>43</v>
      </c>
      <c r="C54" s="99">
        <v>908</v>
      </c>
      <c r="E54" s="1" t="s">
        <v>543</v>
      </c>
      <c r="G54" s="4">
        <v>20649645</v>
      </c>
      <c r="H54" s="4"/>
      <c r="I54" s="4">
        <v>450051</v>
      </c>
      <c r="J54" s="4"/>
      <c r="K54" s="4">
        <f t="shared" si="0"/>
        <v>21099696</v>
      </c>
      <c r="L54" s="4"/>
      <c r="M54" s="4"/>
      <c r="N54" s="4"/>
      <c r="O54" s="4">
        <f t="shared" si="1"/>
        <v>21099696</v>
      </c>
    </row>
    <row r="55" spans="1:15" x14ac:dyDescent="0.2">
      <c r="A55" s="99">
        <f t="shared" si="2"/>
        <v>44</v>
      </c>
      <c r="C55" s="99">
        <v>909</v>
      </c>
      <c r="E55" s="1" t="s">
        <v>528</v>
      </c>
      <c r="G55" s="4">
        <v>0</v>
      </c>
      <c r="H55" s="4"/>
      <c r="I55" s="4">
        <v>411460</v>
      </c>
      <c r="J55" s="4"/>
      <c r="K55" s="4">
        <f t="shared" si="0"/>
        <v>411460</v>
      </c>
      <c r="L55" s="4"/>
      <c r="M55" s="4"/>
      <c r="N55" s="4"/>
      <c r="O55" s="4">
        <f t="shared" si="1"/>
        <v>411460</v>
      </c>
    </row>
    <row r="56" spans="1:15" x14ac:dyDescent="0.2">
      <c r="A56" s="99">
        <f t="shared" si="2"/>
        <v>45</v>
      </c>
      <c r="C56" s="99">
        <v>910</v>
      </c>
      <c r="E56" s="1" t="s">
        <v>529</v>
      </c>
      <c r="G56" s="4">
        <v>0</v>
      </c>
      <c r="H56" s="4"/>
      <c r="I56" s="4">
        <v>1833990</v>
      </c>
      <c r="J56" s="4"/>
      <c r="K56" s="4">
        <f t="shared" si="0"/>
        <v>1833990</v>
      </c>
      <c r="L56" s="4"/>
      <c r="M56" s="4"/>
      <c r="N56" s="4"/>
      <c r="O56" s="4">
        <f t="shared" si="1"/>
        <v>1833990</v>
      </c>
    </row>
    <row r="57" spans="1:15" x14ac:dyDescent="0.2">
      <c r="A57" s="99">
        <f t="shared" si="2"/>
        <v>46</v>
      </c>
      <c r="C57" s="99">
        <v>913</v>
      </c>
      <c r="E57" s="1" t="s">
        <v>530</v>
      </c>
      <c r="G57" s="4">
        <v>0</v>
      </c>
      <c r="H57" s="4"/>
      <c r="I57" s="4">
        <v>837645</v>
      </c>
      <c r="J57" s="4"/>
      <c r="K57" s="4">
        <f t="shared" si="0"/>
        <v>837645</v>
      </c>
      <c r="L57" s="4"/>
      <c r="M57" s="4"/>
      <c r="N57" s="4"/>
      <c r="O57" s="4">
        <f t="shared" si="1"/>
        <v>837645</v>
      </c>
    </row>
    <row r="58" spans="1:15" x14ac:dyDescent="0.2">
      <c r="A58" s="99">
        <f t="shared" si="2"/>
        <v>47</v>
      </c>
      <c r="C58" s="99">
        <v>920</v>
      </c>
      <c r="E58" s="1" t="s">
        <v>531</v>
      </c>
      <c r="G58" s="4">
        <v>104925</v>
      </c>
      <c r="H58" s="4"/>
      <c r="I58" s="4">
        <v>36794935</v>
      </c>
      <c r="J58" s="4"/>
      <c r="K58" s="4">
        <f t="shared" si="0"/>
        <v>36899860</v>
      </c>
      <c r="L58" s="4"/>
      <c r="M58" s="4"/>
      <c r="N58" s="4"/>
      <c r="O58" s="4">
        <f t="shared" si="1"/>
        <v>36899860</v>
      </c>
    </row>
    <row r="59" spans="1:15" x14ac:dyDescent="0.2">
      <c r="A59" s="99">
        <f t="shared" si="2"/>
        <v>48</v>
      </c>
      <c r="C59" s="99">
        <v>921</v>
      </c>
      <c r="E59" s="1" t="s">
        <v>532</v>
      </c>
      <c r="G59" s="4">
        <v>0</v>
      </c>
      <c r="H59" s="4"/>
      <c r="I59" s="4">
        <v>6771078</v>
      </c>
      <c r="J59" s="4"/>
      <c r="K59" s="4">
        <f t="shared" si="0"/>
        <v>6771078</v>
      </c>
      <c r="L59" s="4"/>
      <c r="M59" s="4"/>
      <c r="N59" s="4"/>
      <c r="O59" s="4">
        <f t="shared" si="1"/>
        <v>6771078</v>
      </c>
    </row>
    <row r="60" spans="1:15" x14ac:dyDescent="0.2">
      <c r="A60" s="99">
        <f t="shared" si="2"/>
        <v>49</v>
      </c>
      <c r="C60" s="99">
        <v>923</v>
      </c>
      <c r="E60" s="1" t="s">
        <v>533</v>
      </c>
      <c r="G60" s="4">
        <v>0</v>
      </c>
      <c r="H60" s="4"/>
      <c r="I60" s="4">
        <v>13796754</v>
      </c>
      <c r="J60" s="4"/>
      <c r="K60" s="4">
        <f t="shared" si="0"/>
        <v>13796754</v>
      </c>
      <c r="L60" s="4"/>
      <c r="M60" s="4"/>
      <c r="N60" s="4"/>
      <c r="O60" s="4">
        <f t="shared" si="1"/>
        <v>13796754</v>
      </c>
    </row>
    <row r="61" spans="1:15" x14ac:dyDescent="0.2">
      <c r="A61" s="99">
        <f t="shared" si="2"/>
        <v>50</v>
      </c>
      <c r="C61" s="99">
        <v>924</v>
      </c>
      <c r="E61" s="1" t="s">
        <v>534</v>
      </c>
      <c r="G61" s="4">
        <v>0</v>
      </c>
      <c r="H61" s="4"/>
      <c r="I61" s="4">
        <v>6236560</v>
      </c>
      <c r="J61" s="4"/>
      <c r="K61" s="4">
        <f t="shared" si="0"/>
        <v>6236560</v>
      </c>
      <c r="L61" s="4"/>
      <c r="M61" s="4">
        <f>O61-K61</f>
        <v>-5995407</v>
      </c>
      <c r="N61" s="4"/>
      <c r="O61" s="4">
        <f>'Affiliate P3'!Q13</f>
        <v>241153</v>
      </c>
    </row>
    <row r="62" spans="1:15" x14ac:dyDescent="0.2">
      <c r="A62" s="99">
        <f t="shared" si="2"/>
        <v>51</v>
      </c>
      <c r="C62" s="99">
        <v>925</v>
      </c>
      <c r="E62" s="1" t="s">
        <v>535</v>
      </c>
      <c r="G62" s="4">
        <v>307</v>
      </c>
      <c r="H62" s="4"/>
      <c r="I62" s="4">
        <v>3677998</v>
      </c>
      <c r="J62" s="4"/>
      <c r="K62" s="4">
        <f t="shared" si="0"/>
        <v>3678305</v>
      </c>
      <c r="L62" s="4"/>
      <c r="M62" s="4">
        <f>O62-K62</f>
        <v>-3190894</v>
      </c>
      <c r="N62" s="4"/>
      <c r="O62" s="4">
        <f>'Affiliate P3'!Q14</f>
        <v>487411</v>
      </c>
    </row>
    <row r="63" spans="1:15" x14ac:dyDescent="0.2">
      <c r="A63" s="99">
        <f t="shared" si="2"/>
        <v>52</v>
      </c>
      <c r="C63" s="99">
        <v>926</v>
      </c>
      <c r="E63" s="1" t="s">
        <v>536</v>
      </c>
      <c r="G63" s="4">
        <v>279265</v>
      </c>
      <c r="H63" s="4"/>
      <c r="I63" s="4">
        <v>22143297</v>
      </c>
      <c r="J63" s="4"/>
      <c r="K63" s="4">
        <f t="shared" si="0"/>
        <v>22422562</v>
      </c>
      <c r="L63" s="4"/>
      <c r="M63" s="4"/>
      <c r="N63" s="4"/>
      <c r="O63" s="4">
        <f t="shared" si="1"/>
        <v>22422562</v>
      </c>
    </row>
    <row r="64" spans="1:15" x14ac:dyDescent="0.2">
      <c r="A64" s="99">
        <f t="shared" si="2"/>
        <v>53</v>
      </c>
      <c r="C64" s="99">
        <v>928</v>
      </c>
      <c r="E64" s="1" t="s">
        <v>537</v>
      </c>
      <c r="G64" s="4">
        <v>0</v>
      </c>
      <c r="H64" s="4"/>
      <c r="I64" s="4">
        <v>618436</v>
      </c>
      <c r="J64" s="4"/>
      <c r="K64" s="4">
        <f t="shared" si="0"/>
        <v>618436</v>
      </c>
      <c r="L64" s="4"/>
      <c r="M64" s="4"/>
      <c r="N64" s="4"/>
      <c r="O64" s="4">
        <f t="shared" si="1"/>
        <v>618436</v>
      </c>
    </row>
    <row r="65" spans="1:15" x14ac:dyDescent="0.2">
      <c r="A65" s="99">
        <f t="shared" si="2"/>
        <v>54</v>
      </c>
      <c r="C65" s="99">
        <v>930.1</v>
      </c>
      <c r="E65" s="1" t="s">
        <v>538</v>
      </c>
      <c r="G65" s="4">
        <v>0</v>
      </c>
      <c r="H65" s="4"/>
      <c r="I65" s="4">
        <v>46180</v>
      </c>
      <c r="J65" s="4"/>
      <c r="K65" s="4">
        <f t="shared" si="0"/>
        <v>46180</v>
      </c>
      <c r="L65" s="4"/>
      <c r="M65" s="4"/>
      <c r="N65" s="4"/>
      <c r="O65" s="4">
        <f t="shared" si="1"/>
        <v>46180</v>
      </c>
    </row>
    <row r="66" spans="1:15" x14ac:dyDescent="0.2">
      <c r="A66" s="99">
        <f t="shared" si="2"/>
        <v>55</v>
      </c>
      <c r="C66" s="99">
        <v>930.2</v>
      </c>
      <c r="E66" s="1" t="s">
        <v>539</v>
      </c>
      <c r="G66" s="4">
        <v>0</v>
      </c>
      <c r="H66" s="4"/>
      <c r="I66" s="4">
        <v>5040577</v>
      </c>
      <c r="J66" s="4"/>
      <c r="K66" s="4">
        <f t="shared" si="0"/>
        <v>5040577</v>
      </c>
      <c r="L66" s="4"/>
      <c r="M66" s="4"/>
      <c r="N66" s="4"/>
      <c r="O66" s="4">
        <f t="shared" si="1"/>
        <v>5040577</v>
      </c>
    </row>
    <row r="67" spans="1:15" x14ac:dyDescent="0.2">
      <c r="A67" s="99">
        <f t="shared" si="2"/>
        <v>56</v>
      </c>
      <c r="C67" s="99">
        <v>931</v>
      </c>
      <c r="E67" s="1" t="s">
        <v>515</v>
      </c>
      <c r="G67" s="4">
        <v>0</v>
      </c>
      <c r="H67" s="4"/>
      <c r="I67" s="4">
        <v>1219491</v>
      </c>
      <c r="J67" s="4"/>
      <c r="K67" s="4">
        <f t="shared" si="0"/>
        <v>1219491</v>
      </c>
      <c r="L67" s="4"/>
      <c r="M67" s="4"/>
      <c r="N67" s="4"/>
      <c r="O67" s="4">
        <f t="shared" si="1"/>
        <v>1219491</v>
      </c>
    </row>
    <row r="68" spans="1:15" x14ac:dyDescent="0.2">
      <c r="A68" s="99">
        <f t="shared" si="2"/>
        <v>57</v>
      </c>
      <c r="C68" s="99">
        <v>935</v>
      </c>
      <c r="E68" s="1" t="s">
        <v>540</v>
      </c>
      <c r="G68" s="4">
        <v>0</v>
      </c>
      <c r="H68" s="4"/>
      <c r="I68" s="4">
        <v>254604</v>
      </c>
      <c r="J68" s="4"/>
      <c r="K68" s="4">
        <f t="shared" si="0"/>
        <v>254604</v>
      </c>
      <c r="L68" s="4"/>
      <c r="M68" s="4"/>
      <c r="N68" s="4"/>
      <c r="O68" s="4">
        <f t="shared" si="1"/>
        <v>254604</v>
      </c>
    </row>
    <row r="69" spans="1:15" ht="13.5" thickBot="1" x14ac:dyDescent="0.25">
      <c r="A69" s="99">
        <f t="shared" si="2"/>
        <v>58</v>
      </c>
      <c r="E69" s="1" t="s">
        <v>542</v>
      </c>
      <c r="G69" s="18">
        <f>SUM(G18:G68)</f>
        <v>21314903</v>
      </c>
      <c r="H69" s="4"/>
      <c r="I69" s="18">
        <f>SUM(I18:I68)</f>
        <v>172233262</v>
      </c>
      <c r="J69" s="4"/>
      <c r="K69" s="18">
        <f>SUM(K18:K68)</f>
        <v>193548165</v>
      </c>
      <c r="L69" s="4"/>
      <c r="M69" s="18">
        <f>SUM(M18:M68)</f>
        <v>-23317545.199999999</v>
      </c>
      <c r="N69" s="4"/>
      <c r="O69" s="18">
        <f>SUM(O18:O68)</f>
        <v>170230619.80000001</v>
      </c>
    </row>
    <row r="70" spans="1:15" ht="13.5" thickTop="1" x14ac:dyDescent="0.2"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2" t="s">
        <v>9</v>
      </c>
      <c r="B71" s="2"/>
      <c r="C71" s="217"/>
      <c r="D71" s="2"/>
      <c r="E71" s="2"/>
      <c r="F71" s="2"/>
      <c r="G71" s="47"/>
      <c r="H71" s="47"/>
      <c r="I71" s="47"/>
      <c r="J71" s="47"/>
      <c r="K71" s="47"/>
      <c r="L71" s="47"/>
      <c r="M71" s="47"/>
      <c r="N71" s="47"/>
      <c r="O71" s="47"/>
    </row>
    <row r="72" spans="1:15" x14ac:dyDescent="0.2">
      <c r="A72" s="1" t="s">
        <v>541</v>
      </c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">
      <c r="A73" s="1" t="s">
        <v>555</v>
      </c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"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"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"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">
      <c r="G80" s="4"/>
      <c r="H80" s="4"/>
      <c r="I80" s="4"/>
      <c r="J80" s="4"/>
      <c r="K80" s="4"/>
      <c r="L80" s="4"/>
      <c r="M80" s="4"/>
      <c r="N80" s="4"/>
      <c r="O80" s="4"/>
    </row>
    <row r="81" spans="7:15" x14ac:dyDescent="0.2">
      <c r="G81" s="4"/>
      <c r="H81" s="4"/>
      <c r="I81" s="4"/>
      <c r="J81" s="4"/>
      <c r="K81" s="4"/>
      <c r="L81" s="4"/>
      <c r="M81" s="4"/>
      <c r="N81" s="4"/>
      <c r="O81" s="4"/>
    </row>
    <row r="82" spans="7:15" x14ac:dyDescent="0.2">
      <c r="G82" s="4"/>
      <c r="H82" s="4"/>
      <c r="I82" s="4"/>
      <c r="J82" s="4"/>
      <c r="K82" s="4"/>
      <c r="L82" s="4"/>
      <c r="M82" s="4"/>
      <c r="N82" s="4"/>
      <c r="O82" s="4"/>
    </row>
    <row r="83" spans="7:15" x14ac:dyDescent="0.2">
      <c r="G83" s="4"/>
      <c r="H83" s="4"/>
      <c r="I83" s="4"/>
      <c r="J83" s="4"/>
      <c r="K83" s="4"/>
      <c r="L83" s="4"/>
      <c r="M83" s="4"/>
      <c r="N83" s="4"/>
      <c r="O83" s="4"/>
    </row>
    <row r="84" spans="7:15" x14ac:dyDescent="0.2">
      <c r="G84" s="4"/>
      <c r="H84" s="4"/>
      <c r="I84" s="4"/>
      <c r="J84" s="4"/>
      <c r="K84" s="4"/>
      <c r="L84" s="4"/>
      <c r="M84" s="4"/>
      <c r="N84" s="4"/>
      <c r="O84" s="4"/>
    </row>
    <row r="85" spans="7:15" x14ac:dyDescent="0.2">
      <c r="G85" s="4"/>
      <c r="H85" s="4"/>
      <c r="I85" s="4"/>
      <c r="J85" s="4"/>
      <c r="K85" s="4"/>
      <c r="L85" s="4"/>
      <c r="M85" s="4"/>
      <c r="N85" s="4"/>
      <c r="O85" s="4"/>
    </row>
    <row r="86" spans="7:15" x14ac:dyDescent="0.2">
      <c r="G86" s="4"/>
      <c r="H86" s="4"/>
      <c r="I86" s="4"/>
      <c r="J86" s="4"/>
      <c r="K86" s="4"/>
      <c r="L86" s="4"/>
      <c r="M86" s="4"/>
      <c r="N86" s="4"/>
      <c r="O86" s="4"/>
    </row>
    <row r="87" spans="7:15" x14ac:dyDescent="0.2">
      <c r="G87" s="4"/>
      <c r="H87" s="4"/>
      <c r="I87" s="4"/>
      <c r="J87" s="4"/>
      <c r="K87" s="4"/>
      <c r="L87" s="4"/>
      <c r="M87" s="4"/>
      <c r="N87" s="4"/>
      <c r="O87" s="4"/>
    </row>
    <row r="88" spans="7:15" x14ac:dyDescent="0.2">
      <c r="G88" s="4"/>
      <c r="H88" s="4"/>
      <c r="I88" s="4"/>
      <c r="J88" s="4"/>
      <c r="K88" s="4"/>
      <c r="L88" s="4"/>
      <c r="M88" s="4"/>
      <c r="N88" s="4"/>
      <c r="O88" s="4"/>
    </row>
    <row r="89" spans="7:15" x14ac:dyDescent="0.2">
      <c r="G89" s="4"/>
      <c r="H89" s="4"/>
      <c r="I89" s="4"/>
      <c r="J89" s="4"/>
      <c r="K89" s="4"/>
      <c r="L89" s="4"/>
      <c r="M89" s="4"/>
      <c r="N89" s="4"/>
      <c r="O89" s="4"/>
    </row>
    <row r="90" spans="7:15" x14ac:dyDescent="0.2">
      <c r="G90" s="4"/>
      <c r="H90" s="4"/>
      <c r="I90" s="4"/>
      <c r="J90" s="4"/>
      <c r="K90" s="4"/>
      <c r="L90" s="4"/>
      <c r="M90" s="4"/>
      <c r="N90" s="4"/>
      <c r="O90" s="4"/>
    </row>
    <row r="91" spans="7:15" x14ac:dyDescent="0.2">
      <c r="G91" s="4"/>
      <c r="H91" s="4"/>
      <c r="I91" s="4"/>
      <c r="J91" s="4"/>
      <c r="K91" s="4"/>
      <c r="L91" s="4"/>
      <c r="M91" s="4"/>
      <c r="N91" s="4"/>
      <c r="O91" s="4"/>
    </row>
    <row r="92" spans="7:15" x14ac:dyDescent="0.2">
      <c r="G92" s="4"/>
      <c r="H92" s="4"/>
      <c r="I92" s="4"/>
      <c r="J92" s="4"/>
      <c r="K92" s="4"/>
      <c r="L92" s="4"/>
      <c r="M92" s="4"/>
      <c r="N92" s="4"/>
      <c r="O92" s="4"/>
    </row>
    <row r="93" spans="7:15" x14ac:dyDescent="0.2">
      <c r="G93" s="4"/>
      <c r="H93" s="4"/>
      <c r="I93" s="4"/>
      <c r="J93" s="4"/>
      <c r="K93" s="4"/>
      <c r="L93" s="4"/>
      <c r="M93" s="4"/>
      <c r="N93" s="4"/>
      <c r="O93" s="4"/>
    </row>
    <row r="94" spans="7:15" x14ac:dyDescent="0.2">
      <c r="G94" s="4"/>
      <c r="H94" s="4"/>
      <c r="I94" s="4"/>
      <c r="J94" s="4"/>
      <c r="K94" s="4"/>
      <c r="L94" s="4"/>
      <c r="M94" s="4"/>
      <c r="N94" s="4"/>
      <c r="O94" s="4"/>
    </row>
    <row r="95" spans="7:15" x14ac:dyDescent="0.2">
      <c r="G95" s="4"/>
      <c r="H95" s="4"/>
      <c r="I95" s="4"/>
      <c r="J95" s="4"/>
      <c r="K95" s="4"/>
      <c r="L95" s="4"/>
      <c r="M95" s="4"/>
      <c r="N95" s="4"/>
      <c r="O95" s="4"/>
    </row>
    <row r="96" spans="7:15" x14ac:dyDescent="0.2">
      <c r="G96" s="4"/>
      <c r="H96" s="4"/>
      <c r="I96" s="4"/>
      <c r="J96" s="4"/>
      <c r="K96" s="4"/>
      <c r="L96" s="4"/>
      <c r="M96" s="4"/>
      <c r="N96" s="4"/>
      <c r="O96" s="4"/>
    </row>
    <row r="97" spans="7:15" x14ac:dyDescent="0.2">
      <c r="G97" s="4"/>
      <c r="H97" s="4"/>
      <c r="I97" s="4"/>
      <c r="J97" s="4"/>
      <c r="K97" s="4"/>
      <c r="L97" s="4"/>
      <c r="M97" s="4"/>
      <c r="N97" s="4"/>
      <c r="O97" s="4"/>
    </row>
    <row r="98" spans="7:15" x14ac:dyDescent="0.2">
      <c r="G98" s="4"/>
      <c r="H98" s="4"/>
      <c r="I98" s="4"/>
      <c r="J98" s="4"/>
      <c r="K98" s="4"/>
      <c r="L98" s="4"/>
      <c r="M98" s="4"/>
      <c r="N98" s="4"/>
      <c r="O98" s="4"/>
    </row>
    <row r="99" spans="7:15" x14ac:dyDescent="0.2">
      <c r="G99" s="4"/>
      <c r="H99" s="4"/>
      <c r="I99" s="4"/>
      <c r="J99" s="4"/>
      <c r="K99" s="4"/>
      <c r="L99" s="4"/>
      <c r="M99" s="4"/>
      <c r="N99" s="4"/>
      <c r="O99" s="4"/>
    </row>
    <row r="100" spans="7:15" x14ac:dyDescent="0.2">
      <c r="G100" s="4"/>
      <c r="H100" s="4"/>
      <c r="I100" s="4"/>
      <c r="J100" s="4"/>
      <c r="K100" s="4"/>
      <c r="L100" s="4"/>
      <c r="M100" s="4"/>
      <c r="N100" s="4"/>
      <c r="O100" s="4"/>
    </row>
    <row r="101" spans="7:15" x14ac:dyDescent="0.2">
      <c r="G101" s="4"/>
      <c r="H101" s="4"/>
      <c r="I101" s="4"/>
      <c r="J101" s="4"/>
      <c r="K101" s="4"/>
      <c r="L101" s="4"/>
      <c r="M101" s="4"/>
      <c r="N101" s="4"/>
      <c r="O101" s="4"/>
    </row>
    <row r="102" spans="7:15" x14ac:dyDescent="0.2">
      <c r="G102" s="4"/>
      <c r="H102" s="4"/>
      <c r="I102" s="4"/>
      <c r="J102" s="4"/>
      <c r="K102" s="4"/>
      <c r="L102" s="4"/>
      <c r="M102" s="4"/>
      <c r="N102" s="4"/>
      <c r="O102" s="4"/>
    </row>
    <row r="103" spans="7:15" x14ac:dyDescent="0.2">
      <c r="G103" s="4"/>
      <c r="H103" s="4"/>
      <c r="I103" s="4"/>
      <c r="J103" s="4"/>
      <c r="K103" s="4"/>
      <c r="L103" s="4"/>
      <c r="M103" s="4"/>
      <c r="N103" s="4"/>
      <c r="O103" s="4"/>
    </row>
    <row r="104" spans="7:15" x14ac:dyDescent="0.2">
      <c r="G104" s="4"/>
      <c r="H104" s="4"/>
      <c r="I104" s="4"/>
      <c r="J104" s="4"/>
      <c r="K104" s="4"/>
      <c r="L104" s="4"/>
      <c r="M104" s="4"/>
      <c r="N104" s="4"/>
      <c r="O104" s="4"/>
    </row>
    <row r="105" spans="7:15" x14ac:dyDescent="0.2">
      <c r="G105" s="4"/>
      <c r="H105" s="4"/>
      <c r="I105" s="4"/>
      <c r="J105" s="4"/>
      <c r="K105" s="4"/>
      <c r="L105" s="4"/>
      <c r="M105" s="4"/>
      <c r="N105" s="4"/>
      <c r="O105" s="4"/>
    </row>
    <row r="106" spans="7:15" x14ac:dyDescent="0.2">
      <c r="G106" s="4"/>
      <c r="H106" s="4"/>
      <c r="I106" s="4"/>
      <c r="J106" s="4"/>
      <c r="K106" s="4"/>
      <c r="L106" s="4"/>
      <c r="M106" s="4"/>
      <c r="N106" s="4"/>
      <c r="O106" s="4"/>
    </row>
    <row r="107" spans="7:15" x14ac:dyDescent="0.2">
      <c r="G107" s="4"/>
      <c r="H107" s="4"/>
      <c r="I107" s="4"/>
      <c r="J107" s="4"/>
      <c r="K107" s="4"/>
      <c r="L107" s="4"/>
      <c r="M107" s="4"/>
      <c r="N107" s="4"/>
      <c r="O107" s="4"/>
    </row>
    <row r="108" spans="7:15" x14ac:dyDescent="0.2">
      <c r="G108" s="4"/>
      <c r="H108" s="4"/>
      <c r="I108" s="4"/>
      <c r="J108" s="4"/>
      <c r="K108" s="4"/>
      <c r="L108" s="4"/>
      <c r="M108" s="4"/>
      <c r="N108" s="4"/>
      <c r="O108" s="4"/>
    </row>
    <row r="109" spans="7:15" x14ac:dyDescent="0.2">
      <c r="G109" s="4"/>
      <c r="H109" s="4"/>
      <c r="I109" s="4"/>
      <c r="J109" s="4"/>
      <c r="K109" s="4"/>
      <c r="L109" s="4"/>
      <c r="M109" s="4"/>
      <c r="N109" s="4"/>
      <c r="O109" s="4"/>
    </row>
    <row r="110" spans="7:15" x14ac:dyDescent="0.2">
      <c r="G110" s="4"/>
      <c r="H110" s="4"/>
      <c r="I110" s="4"/>
      <c r="J110" s="4"/>
      <c r="K110" s="4"/>
      <c r="L110" s="4"/>
      <c r="M110" s="4"/>
      <c r="N110" s="4"/>
      <c r="O110" s="4"/>
    </row>
  </sheetData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workbookViewId="0">
      <selection activeCell="E63" sqref="E63"/>
    </sheetView>
  </sheetViews>
  <sheetFormatPr defaultRowHeight="12.75" x14ac:dyDescent="0.2"/>
  <cols>
    <col min="1" max="1" width="4.28515625" style="1" customWidth="1"/>
    <col min="2" max="2" width="1.28515625" style="1" customWidth="1"/>
    <col min="3" max="3" width="8.5703125" style="1" customWidth="1"/>
    <col min="4" max="4" width="1.28515625" style="1" customWidth="1"/>
    <col min="5" max="5" width="30.5703125" style="1" customWidth="1"/>
    <col min="6" max="6" width="1.140625" style="1" customWidth="1"/>
    <col min="7" max="7" width="10.7109375" style="1" bestFit="1" customWidth="1"/>
    <col min="8" max="8" width="1.140625" style="1" customWidth="1"/>
    <col min="9" max="9" width="11.5703125" style="1" customWidth="1"/>
    <col min="10" max="10" width="1.140625" style="1" customWidth="1"/>
    <col min="11" max="11" width="10.28515625" style="1" customWidth="1"/>
    <col min="12" max="12" width="1.28515625" style="1" customWidth="1"/>
    <col min="13" max="13" width="11" style="1" bestFit="1" customWidth="1"/>
    <col min="14" max="14" width="1" style="1" customWidth="1"/>
    <col min="15" max="15" width="9.140625" style="1"/>
    <col min="16" max="16" width="1.28515625" style="1" customWidth="1"/>
    <col min="17" max="17" width="9.140625" style="1"/>
    <col min="18" max="18" width="1.42578125" style="1" customWidth="1"/>
    <col min="19" max="16384" width="9.140625" style="1"/>
  </cols>
  <sheetData>
    <row r="1" spans="1:17" x14ac:dyDescent="0.2">
      <c r="A1" s="1" t="str">
        <f>Contents!A1</f>
        <v>Kentucky Utilities Company</v>
      </c>
      <c r="E1" s="99"/>
      <c r="Q1" s="27" t="str">
        <f>Contents!A3</f>
        <v>Exhibit RCS-1</v>
      </c>
    </row>
    <row r="2" spans="1:17" x14ac:dyDescent="0.2">
      <c r="A2" s="1" t="s">
        <v>488</v>
      </c>
      <c r="E2" s="99"/>
      <c r="Q2" s="27" t="s">
        <v>223</v>
      </c>
    </row>
    <row r="3" spans="1:17" x14ac:dyDescent="0.2">
      <c r="E3" s="99"/>
      <c r="Q3" s="27" t="str">
        <f>Contents!A2</f>
        <v>Case No. 2016-00370</v>
      </c>
    </row>
    <row r="4" spans="1:17" x14ac:dyDescent="0.2">
      <c r="A4" s="1" t="s">
        <v>328</v>
      </c>
      <c r="E4" s="99"/>
      <c r="Q4" s="27" t="s">
        <v>193</v>
      </c>
    </row>
    <row r="7" spans="1:17" x14ac:dyDescent="0.2">
      <c r="A7" s="99" t="s">
        <v>0</v>
      </c>
      <c r="C7" s="99" t="s">
        <v>470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x14ac:dyDescent="0.2">
      <c r="A8" s="217" t="s">
        <v>2</v>
      </c>
      <c r="C8" s="217" t="s">
        <v>471</v>
      </c>
      <c r="E8" s="2" t="s">
        <v>3</v>
      </c>
      <c r="G8" s="217">
        <v>2012</v>
      </c>
      <c r="H8" s="99"/>
      <c r="I8" s="217">
        <v>2013</v>
      </c>
      <c r="J8" s="99"/>
      <c r="K8" s="217">
        <v>2014</v>
      </c>
      <c r="L8" s="99"/>
      <c r="M8" s="217">
        <v>2015</v>
      </c>
      <c r="N8" s="99"/>
      <c r="O8" s="217">
        <v>2016</v>
      </c>
      <c r="P8" s="99"/>
      <c r="Q8" s="217" t="s">
        <v>301</v>
      </c>
    </row>
    <row r="9" spans="1:17" x14ac:dyDescent="0.2">
      <c r="A9" s="99"/>
      <c r="C9" s="99"/>
      <c r="G9" s="99" t="s">
        <v>6</v>
      </c>
      <c r="H9" s="99"/>
      <c r="I9" s="99" t="s">
        <v>7</v>
      </c>
      <c r="J9" s="99"/>
      <c r="K9" s="99" t="s">
        <v>18</v>
      </c>
      <c r="L9" s="99"/>
      <c r="M9" s="99" t="s">
        <v>38</v>
      </c>
      <c r="N9" s="99"/>
      <c r="O9" s="99" t="s">
        <v>50</v>
      </c>
      <c r="P9" s="99"/>
      <c r="Q9" s="99" t="s">
        <v>51</v>
      </c>
    </row>
    <row r="10" spans="1:17" x14ac:dyDescent="0.2">
      <c r="A10" s="99">
        <v>1</v>
      </c>
      <c r="C10" s="99">
        <v>571</v>
      </c>
      <c r="E10" s="1" t="s">
        <v>517</v>
      </c>
      <c r="G10" s="4">
        <v>147880</v>
      </c>
      <c r="H10" s="4"/>
      <c r="I10" s="4">
        <v>107089</v>
      </c>
      <c r="J10" s="4"/>
      <c r="K10" s="4">
        <v>104637</v>
      </c>
      <c r="L10" s="4"/>
      <c r="M10" s="4">
        <v>120874</v>
      </c>
      <c r="N10" s="4"/>
      <c r="O10" s="4">
        <v>185362</v>
      </c>
      <c r="P10" s="4"/>
      <c r="Q10" s="4">
        <f>AVERAGE(G10:O10)</f>
        <v>133168.4</v>
      </c>
    </row>
    <row r="11" spans="1:17" x14ac:dyDescent="0.2">
      <c r="A11" s="99">
        <v>2</v>
      </c>
      <c r="C11" s="99">
        <v>586</v>
      </c>
      <c r="E11" s="1" t="s">
        <v>520</v>
      </c>
      <c r="G11" s="4">
        <v>603009</v>
      </c>
      <c r="H11" s="4"/>
      <c r="I11" s="4">
        <v>604850</v>
      </c>
      <c r="J11" s="4"/>
      <c r="K11" s="4">
        <v>519805</v>
      </c>
      <c r="L11" s="4"/>
      <c r="M11" s="4">
        <v>553513</v>
      </c>
      <c r="N11" s="4"/>
      <c r="O11" s="4">
        <v>591160</v>
      </c>
      <c r="P11" s="4"/>
      <c r="Q11" s="4">
        <f t="shared" ref="Q11:Q14" si="0">AVERAGE(G11:O11)</f>
        <v>574467.4</v>
      </c>
    </row>
    <row r="12" spans="1:17" x14ac:dyDescent="0.2">
      <c r="A12" s="99">
        <v>3</v>
      </c>
      <c r="C12" s="99">
        <v>597</v>
      </c>
      <c r="E12" s="1" t="s">
        <v>523</v>
      </c>
      <c r="G12" s="4">
        <v>0</v>
      </c>
      <c r="H12" s="4"/>
      <c r="I12" s="4">
        <v>0</v>
      </c>
      <c r="J12" s="4"/>
      <c r="K12" s="4">
        <v>0</v>
      </c>
      <c r="L12" s="4"/>
      <c r="M12" s="4">
        <v>0</v>
      </c>
      <c r="N12" s="4"/>
      <c r="O12" s="4">
        <v>0</v>
      </c>
      <c r="P12" s="4"/>
      <c r="Q12" s="4">
        <f t="shared" si="0"/>
        <v>0</v>
      </c>
    </row>
    <row r="13" spans="1:17" x14ac:dyDescent="0.2">
      <c r="A13" s="99">
        <v>4</v>
      </c>
      <c r="C13" s="99">
        <v>924</v>
      </c>
      <c r="E13" s="1" t="s">
        <v>534</v>
      </c>
      <c r="G13" s="4">
        <v>122553</v>
      </c>
      <c r="H13" s="4"/>
      <c r="I13" s="4">
        <v>240449</v>
      </c>
      <c r="J13" s="4"/>
      <c r="K13" s="4">
        <v>284460</v>
      </c>
      <c r="L13" s="4"/>
      <c r="M13" s="4">
        <v>284125</v>
      </c>
      <c r="N13" s="4"/>
      <c r="O13" s="4">
        <v>274178</v>
      </c>
      <c r="P13" s="4"/>
      <c r="Q13" s="4">
        <f t="shared" si="0"/>
        <v>241153</v>
      </c>
    </row>
    <row r="14" spans="1:17" x14ac:dyDescent="0.2">
      <c r="A14" s="99">
        <v>5</v>
      </c>
      <c r="C14" s="99">
        <v>925</v>
      </c>
      <c r="E14" s="1" t="s">
        <v>535</v>
      </c>
      <c r="G14" s="4">
        <v>1626043</v>
      </c>
      <c r="H14" s="4"/>
      <c r="I14" s="4">
        <v>255389</v>
      </c>
      <c r="J14" s="4"/>
      <c r="K14" s="4">
        <v>145641</v>
      </c>
      <c r="L14" s="4"/>
      <c r="M14" s="4">
        <v>240216</v>
      </c>
      <c r="N14" s="4"/>
      <c r="O14" s="4">
        <v>169766</v>
      </c>
      <c r="P14" s="4"/>
      <c r="Q14" s="4">
        <f t="shared" si="0"/>
        <v>487411</v>
      </c>
    </row>
    <row r="15" spans="1:17" x14ac:dyDescent="0.2">
      <c r="A15" s="99"/>
      <c r="C15" s="9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">
      <c r="A16" s="99"/>
      <c r="C16" s="99"/>
      <c r="G16" s="4"/>
      <c r="H16" s="4"/>
      <c r="I16" s="4"/>
      <c r="J16" s="4"/>
      <c r="K16" s="4"/>
      <c r="L16" s="4"/>
      <c r="M16" s="16" t="s">
        <v>326</v>
      </c>
      <c r="N16" s="4"/>
      <c r="O16" s="4"/>
      <c r="P16" s="4"/>
      <c r="Q16" s="4"/>
    </row>
    <row r="17" spans="1:17" x14ac:dyDescent="0.2">
      <c r="A17" s="99"/>
      <c r="C17" s="99"/>
      <c r="G17" s="99" t="s">
        <v>545</v>
      </c>
      <c r="H17" s="4"/>
      <c r="I17" s="46" t="s">
        <v>546</v>
      </c>
      <c r="J17" s="4"/>
      <c r="K17" s="4"/>
      <c r="L17" s="4"/>
      <c r="M17" s="16" t="s">
        <v>551</v>
      </c>
      <c r="N17" s="4"/>
      <c r="O17" s="4"/>
      <c r="P17" s="4"/>
      <c r="Q17" s="4"/>
    </row>
    <row r="18" spans="1:17" x14ac:dyDescent="0.2">
      <c r="A18" s="99"/>
      <c r="C18" s="99"/>
      <c r="G18" s="217" t="s">
        <v>394</v>
      </c>
      <c r="H18" s="4"/>
      <c r="I18" s="23" t="s">
        <v>394</v>
      </c>
      <c r="J18" s="4"/>
      <c r="K18" s="47" t="s">
        <v>551</v>
      </c>
      <c r="L18" s="4"/>
      <c r="M18" s="23" t="s">
        <v>552</v>
      </c>
      <c r="N18" s="4"/>
      <c r="O18" s="4"/>
      <c r="P18" s="4"/>
      <c r="Q18" s="4"/>
    </row>
    <row r="19" spans="1:17" x14ac:dyDescent="0.2">
      <c r="A19" s="99"/>
      <c r="C19" s="99"/>
      <c r="G19" s="12" t="s">
        <v>421</v>
      </c>
      <c r="H19" s="16"/>
      <c r="I19" s="46" t="s">
        <v>70</v>
      </c>
      <c r="J19" s="4"/>
      <c r="K19" s="16" t="s">
        <v>129</v>
      </c>
      <c r="L19" s="4"/>
      <c r="M19" s="4"/>
      <c r="N19" s="4"/>
      <c r="O19" s="4"/>
      <c r="P19" s="4"/>
      <c r="Q19" s="4"/>
    </row>
    <row r="20" spans="1:17" x14ac:dyDescent="0.2">
      <c r="A20" s="99">
        <v>6</v>
      </c>
      <c r="C20" s="99">
        <v>571</v>
      </c>
      <c r="E20" s="1" t="s">
        <v>517</v>
      </c>
      <c r="G20" s="4">
        <v>2960626</v>
      </c>
      <c r="H20" s="4"/>
      <c r="I20" s="4">
        <v>11532263</v>
      </c>
      <c r="J20" s="4"/>
      <c r="K20" s="16">
        <f>I20-G20</f>
        <v>8571637</v>
      </c>
      <c r="L20" s="4"/>
      <c r="M20" s="16" t="s">
        <v>548</v>
      </c>
      <c r="N20" s="4"/>
      <c r="O20" s="4"/>
      <c r="P20" s="4"/>
      <c r="Q20" s="4"/>
    </row>
    <row r="21" spans="1:17" x14ac:dyDescent="0.2">
      <c r="A21" s="99">
        <v>7</v>
      </c>
      <c r="C21" s="99">
        <v>586</v>
      </c>
      <c r="E21" s="1" t="s">
        <v>520</v>
      </c>
      <c r="G21" s="4">
        <v>587971</v>
      </c>
      <c r="H21" s="4"/>
      <c r="I21" s="4">
        <v>1863519</v>
      </c>
      <c r="J21" s="4"/>
      <c r="K21" s="16">
        <f t="shared" ref="K21:K24" si="1">I21-G21</f>
        <v>1275548</v>
      </c>
      <c r="L21" s="4"/>
      <c r="M21" s="16" t="s">
        <v>549</v>
      </c>
      <c r="N21" s="4"/>
      <c r="O21" s="4"/>
      <c r="P21" s="4"/>
      <c r="Q21" s="4"/>
    </row>
    <row r="22" spans="1:17" x14ac:dyDescent="0.2">
      <c r="A22" s="99">
        <v>8</v>
      </c>
      <c r="C22" s="99">
        <v>597</v>
      </c>
      <c r="E22" s="1" t="s">
        <v>523</v>
      </c>
      <c r="G22" s="4">
        <v>0</v>
      </c>
      <c r="H22" s="4"/>
      <c r="I22" s="4">
        <v>1443098</v>
      </c>
      <c r="J22" s="4"/>
      <c r="K22" s="16">
        <f t="shared" si="1"/>
        <v>1443098</v>
      </c>
      <c r="L22" s="4"/>
      <c r="M22" s="16" t="s">
        <v>549</v>
      </c>
      <c r="N22" s="4"/>
      <c r="O22" s="4"/>
      <c r="P22" s="4"/>
      <c r="Q22" s="4"/>
    </row>
    <row r="23" spans="1:17" x14ac:dyDescent="0.2">
      <c r="A23" s="99">
        <v>9</v>
      </c>
      <c r="C23" s="99">
        <v>924</v>
      </c>
      <c r="E23" s="1" t="s">
        <v>534</v>
      </c>
      <c r="G23" s="4">
        <v>1430675</v>
      </c>
      <c r="H23" s="4"/>
      <c r="I23" s="4">
        <v>6236560</v>
      </c>
      <c r="J23" s="4"/>
      <c r="K23" s="16">
        <f t="shared" si="1"/>
        <v>4805885</v>
      </c>
      <c r="L23" s="4"/>
      <c r="M23" s="16" t="s">
        <v>550</v>
      </c>
      <c r="N23" s="4"/>
      <c r="O23" s="4"/>
      <c r="P23" s="4"/>
      <c r="Q23" s="4"/>
    </row>
    <row r="24" spans="1:17" x14ac:dyDescent="0.2">
      <c r="A24" s="99">
        <v>10</v>
      </c>
      <c r="C24" s="99">
        <v>925</v>
      </c>
      <c r="E24" s="1" t="s">
        <v>535</v>
      </c>
      <c r="G24" s="4">
        <v>841598</v>
      </c>
      <c r="H24" s="4"/>
      <c r="I24" s="4">
        <v>3678306</v>
      </c>
      <c r="J24" s="4"/>
      <c r="K24" s="16">
        <f t="shared" si="1"/>
        <v>2836708</v>
      </c>
      <c r="L24" s="4"/>
      <c r="M24" s="16" t="s">
        <v>550</v>
      </c>
      <c r="N24" s="4"/>
      <c r="O24" s="4"/>
      <c r="P24" s="4"/>
      <c r="Q24" s="4"/>
    </row>
    <row r="25" spans="1:17" x14ac:dyDescent="0.2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">
      <c r="A28" s="2" t="s">
        <v>9</v>
      </c>
      <c r="B28" s="2"/>
      <c r="C28" s="2"/>
      <c r="D28" s="2"/>
      <c r="E28" s="2"/>
      <c r="F28" s="2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x14ac:dyDescent="0.2">
      <c r="A29" s="1" t="s">
        <v>547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"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">
      <c r="A31" s="1" t="s">
        <v>554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">
      <c r="A32" s="1" t="s">
        <v>553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">
      <c r="A33" s="1" t="s">
        <v>559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</sheetData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E63" sqref="E63"/>
    </sheetView>
  </sheetViews>
  <sheetFormatPr defaultRowHeight="12.75" x14ac:dyDescent="0.2"/>
  <cols>
    <col min="1" max="1" width="5.42578125" style="1" customWidth="1"/>
    <col min="2" max="2" width="4.42578125" style="1" customWidth="1"/>
    <col min="3" max="3" width="31.7109375" style="1" customWidth="1"/>
    <col min="4" max="4" width="2.28515625" style="1" customWidth="1"/>
    <col min="5" max="5" width="16.140625" style="1" bestFit="1" customWidth="1"/>
    <col min="6" max="6" width="3.28515625" style="1" customWidth="1"/>
    <col min="7" max="7" width="9.42578125" style="1" bestFit="1" customWidth="1"/>
    <col min="8" max="8" width="2.28515625" style="1" customWidth="1"/>
    <col min="9" max="9" width="11.5703125" style="1" bestFit="1" customWidth="1"/>
    <col min="10" max="10" width="2.28515625" style="1" customWidth="1"/>
    <col min="11" max="11" width="10.85546875" style="1" customWidth="1"/>
    <col min="12" max="12" width="1.140625" style="1" customWidth="1"/>
    <col min="13" max="13" width="10.85546875" style="1" customWidth="1"/>
    <col min="14" max="14" width="1.42578125" style="1" customWidth="1"/>
    <col min="15" max="15" width="10.85546875" style="1" customWidth="1"/>
    <col min="16" max="16" width="5.5703125" style="1" customWidth="1"/>
    <col min="17" max="17" width="16.28515625" style="1" bestFit="1" customWidth="1"/>
    <col min="18" max="18" width="3.85546875" style="1" customWidth="1"/>
    <col min="19" max="19" width="14.140625" style="1" bestFit="1" customWidth="1"/>
    <col min="20" max="20" width="13" style="1" bestFit="1" customWidth="1"/>
    <col min="21" max="21" width="20.28515625" style="1" bestFit="1" customWidth="1"/>
    <col min="22" max="22" width="14.140625" style="1" bestFit="1" customWidth="1"/>
    <col min="23" max="23" width="9.28515625" style="1" bestFit="1" customWidth="1"/>
    <col min="24" max="24" width="10.85546875" style="1" bestFit="1" customWidth="1"/>
    <col min="25" max="25" width="9.140625" style="1"/>
    <col min="26" max="26" width="9.42578125" style="1" bestFit="1" customWidth="1"/>
    <col min="27" max="16384" width="9.140625" style="1"/>
  </cols>
  <sheetData>
    <row r="1" spans="1:23" x14ac:dyDescent="0.2">
      <c r="A1" s="1" t="str">
        <f>Contents!A1</f>
        <v>Kentucky Utilities Company</v>
      </c>
      <c r="H1" s="10"/>
      <c r="O1" s="27" t="str">
        <f>Contents!A3</f>
        <v>Exhibit RCS-1</v>
      </c>
    </row>
    <row r="2" spans="1:23" x14ac:dyDescent="0.2">
      <c r="A2" s="1" t="s">
        <v>17</v>
      </c>
      <c r="H2" s="10"/>
      <c r="O2" s="27" t="s">
        <v>102</v>
      </c>
    </row>
    <row r="3" spans="1:23" x14ac:dyDescent="0.2">
      <c r="H3" s="10"/>
      <c r="O3" s="27" t="str">
        <f>Contents!A2</f>
        <v>Case No. 2016-00370</v>
      </c>
    </row>
    <row r="4" spans="1:23" x14ac:dyDescent="0.2">
      <c r="A4" s="1" t="s">
        <v>199</v>
      </c>
      <c r="H4" s="10"/>
      <c r="O4" s="27" t="s">
        <v>194</v>
      </c>
    </row>
    <row r="6" spans="1:23" x14ac:dyDescent="0.2">
      <c r="G6" s="99" t="s">
        <v>21</v>
      </c>
    </row>
    <row r="7" spans="1:23" x14ac:dyDescent="0.2">
      <c r="A7" s="52" t="s">
        <v>0</v>
      </c>
      <c r="G7" s="52" t="s">
        <v>118</v>
      </c>
      <c r="I7" s="52" t="s">
        <v>20</v>
      </c>
      <c r="K7" s="114" t="s">
        <v>19</v>
      </c>
      <c r="L7" s="114"/>
      <c r="M7" s="114"/>
      <c r="N7" s="114"/>
      <c r="O7" s="114" t="s">
        <v>210</v>
      </c>
    </row>
    <row r="8" spans="1:23" ht="15.75" x14ac:dyDescent="0.25">
      <c r="A8" s="53" t="s">
        <v>2</v>
      </c>
      <c r="B8" s="54"/>
      <c r="C8" s="53" t="s">
        <v>3</v>
      </c>
      <c r="D8" s="81"/>
      <c r="E8" s="82" t="s">
        <v>16</v>
      </c>
      <c r="F8" s="54"/>
      <c r="G8" s="55" t="s">
        <v>24</v>
      </c>
      <c r="I8" s="53" t="s">
        <v>23</v>
      </c>
      <c r="K8" s="11" t="s">
        <v>22</v>
      </c>
      <c r="L8" s="12"/>
      <c r="M8" s="11" t="s">
        <v>211</v>
      </c>
      <c r="N8" s="12"/>
      <c r="O8" s="11" t="s">
        <v>212</v>
      </c>
    </row>
    <row r="9" spans="1:23" x14ac:dyDescent="0.2">
      <c r="E9" s="99" t="s">
        <v>6</v>
      </c>
      <c r="G9" s="99" t="s">
        <v>7</v>
      </c>
      <c r="I9" s="99" t="s">
        <v>18</v>
      </c>
      <c r="K9" s="99" t="s">
        <v>38</v>
      </c>
      <c r="L9" s="99"/>
      <c r="M9" s="99" t="s">
        <v>50</v>
      </c>
      <c r="N9" s="99"/>
      <c r="O9" s="99" t="s">
        <v>262</v>
      </c>
    </row>
    <row r="10" spans="1:23" x14ac:dyDescent="0.2">
      <c r="C10" s="56" t="s">
        <v>121</v>
      </c>
      <c r="D10" s="56"/>
      <c r="E10" s="56"/>
      <c r="U10" s="4">
        <f>A!$G$10</f>
        <v>3638800730.0279121</v>
      </c>
      <c r="V10" s="1" t="s">
        <v>154</v>
      </c>
    </row>
    <row r="11" spans="1:23" x14ac:dyDescent="0.2">
      <c r="A11" s="99">
        <v>1</v>
      </c>
      <c r="C11" s="28" t="s">
        <v>26</v>
      </c>
      <c r="D11" s="28"/>
      <c r="E11" s="83">
        <v>607976387</v>
      </c>
      <c r="G11" s="29">
        <f>ROUND(E11/$E$15,4)</f>
        <v>0.52980000000000005</v>
      </c>
      <c r="I11" s="29">
        <v>5.4100000000000002E-2</v>
      </c>
      <c r="K11" s="29">
        <f>ROUND(G11*I11,5)</f>
        <v>2.8660000000000001E-2</v>
      </c>
      <c r="L11" s="29"/>
      <c r="M11" s="116">
        <v>1.0049999999999999</v>
      </c>
      <c r="N11" s="29"/>
      <c r="O11" s="29">
        <f>ROUND(K11*M11,4)</f>
        <v>2.8799999999999999E-2</v>
      </c>
    </row>
    <row r="12" spans="1:23" x14ac:dyDescent="0.2">
      <c r="A12" s="52">
        <f>A11+1</f>
        <v>2</v>
      </c>
      <c r="C12" s="28" t="s">
        <v>25</v>
      </c>
      <c r="D12" s="28"/>
      <c r="E12" s="83">
        <v>-30904414</v>
      </c>
      <c r="G12" s="29">
        <f t="shared" ref="G12:G14" si="0">ROUND(E12/$E$15,4)</f>
        <v>-2.69E-2</v>
      </c>
      <c r="I12" s="29">
        <v>2.5000000000000001E-3</v>
      </c>
      <c r="K12" s="29">
        <f t="shared" ref="K12:K14" si="1">ROUND(G12*I12,5)</f>
        <v>-6.9999999999999994E-5</v>
      </c>
      <c r="L12" s="29"/>
      <c r="M12" s="116">
        <v>1.0049999999999999</v>
      </c>
      <c r="N12" s="29"/>
      <c r="O12" s="29">
        <f t="shared" ref="O12:O14" si="2">ROUND(K12*M12,4)</f>
        <v>-1E-4</v>
      </c>
      <c r="T12" s="85">
        <f>G12*I12</f>
        <v>-6.7250000000000008E-5</v>
      </c>
    </row>
    <row r="13" spans="1:23" x14ac:dyDescent="0.2">
      <c r="A13" s="52">
        <f t="shared" ref="A13:A15" si="3">A12+1</f>
        <v>3</v>
      </c>
      <c r="C13" s="28" t="s">
        <v>200</v>
      </c>
      <c r="D13" s="28"/>
      <c r="E13" s="83">
        <v>51835783</v>
      </c>
      <c r="G13" s="29">
        <f t="shared" si="0"/>
        <v>4.5199999999999997E-2</v>
      </c>
      <c r="I13" s="29">
        <v>1.0699999999999999E-2</v>
      </c>
      <c r="K13" s="29">
        <f t="shared" si="1"/>
        <v>4.8000000000000001E-4</v>
      </c>
      <c r="L13" s="29"/>
      <c r="M13" s="116">
        <v>1.0049999999999999</v>
      </c>
      <c r="N13" s="29"/>
      <c r="O13" s="29">
        <f t="shared" si="2"/>
        <v>5.0000000000000001E-4</v>
      </c>
      <c r="T13" s="85"/>
    </row>
    <row r="14" spans="1:23" x14ac:dyDescent="0.2">
      <c r="A14" s="52">
        <f t="shared" si="3"/>
        <v>4</v>
      </c>
      <c r="C14" s="28" t="s">
        <v>27</v>
      </c>
      <c r="D14" s="28"/>
      <c r="E14" s="83">
        <v>518572572</v>
      </c>
      <c r="G14" s="29">
        <f t="shared" si="0"/>
        <v>0.45190000000000002</v>
      </c>
      <c r="I14" s="31">
        <v>0.1062</v>
      </c>
      <c r="K14" s="29">
        <f t="shared" si="1"/>
        <v>4.7989999999999998E-2</v>
      </c>
      <c r="L14" s="29"/>
      <c r="M14" s="116">
        <f>'A-1'!I22</f>
        <v>0</v>
      </c>
      <c r="N14" s="29"/>
      <c r="O14" s="29">
        <f t="shared" si="2"/>
        <v>0</v>
      </c>
      <c r="T14" s="85">
        <f>G14*I14</f>
        <v>4.7991780000000005E-2</v>
      </c>
    </row>
    <row r="15" spans="1:23" ht="13.5" thickBot="1" x14ac:dyDescent="0.25">
      <c r="A15" s="52">
        <f t="shared" si="3"/>
        <v>5</v>
      </c>
      <c r="C15" s="28" t="s">
        <v>28</v>
      </c>
      <c r="D15" s="28"/>
      <c r="E15" s="102">
        <f>SUM(E11:E14)</f>
        <v>1147480328</v>
      </c>
      <c r="G15" s="32">
        <f>SUM(G11:G14)</f>
        <v>1</v>
      </c>
      <c r="I15" s="31"/>
      <c r="K15" s="103">
        <f>ROUND(SUM(K10:K14),4)</f>
        <v>7.7100000000000002E-2</v>
      </c>
      <c r="L15" s="112"/>
      <c r="M15" s="112"/>
      <c r="N15" s="112"/>
      <c r="O15" s="103">
        <f>ROUND(SUM(O10:O14),4)</f>
        <v>2.92E-2</v>
      </c>
      <c r="T15" s="84">
        <f>ROUND(SUM(T10:T14),6)</f>
        <v>4.7925000000000002E-2</v>
      </c>
      <c r="V15" s="4">
        <f>T15*A!$G$10</f>
        <v>174389524.9865877</v>
      </c>
      <c r="W15" s="86">
        <f>T15</f>
        <v>4.7925000000000002E-2</v>
      </c>
    </row>
    <row r="16" spans="1:23" ht="12" customHeight="1" thickTop="1" x14ac:dyDescent="0.2">
      <c r="I16" s="13"/>
      <c r="J16" s="13"/>
      <c r="K16" s="13"/>
      <c r="L16" s="13"/>
      <c r="M16" s="13"/>
      <c r="N16" s="13"/>
      <c r="O16" s="13"/>
      <c r="Q16" s="111" t="s">
        <v>195</v>
      </c>
      <c r="V16" s="44">
        <f>U10*K15</f>
        <v>280551536.28515202</v>
      </c>
      <c r="W16" s="86">
        <f>K15</f>
        <v>7.7100000000000002E-2</v>
      </c>
    </row>
    <row r="17" spans="1:24" x14ac:dyDescent="0.2">
      <c r="C17" s="57" t="s">
        <v>169</v>
      </c>
      <c r="D17" s="57"/>
      <c r="E17" s="57"/>
      <c r="Q17" s="101">
        <f>B!I40</f>
        <v>3769770730.668829</v>
      </c>
      <c r="U17" s="27" t="s">
        <v>155</v>
      </c>
      <c r="V17" s="44">
        <v>24389625</v>
      </c>
      <c r="X17" s="87">
        <f>V17/$U$10</f>
        <v>6.7026547507076364E-3</v>
      </c>
    </row>
    <row r="18" spans="1:24" x14ac:dyDescent="0.2">
      <c r="A18" s="58">
        <f>A15+1</f>
        <v>6</v>
      </c>
      <c r="C18" s="28" t="s">
        <v>26</v>
      </c>
      <c r="D18" s="28"/>
      <c r="E18" s="83">
        <f>'D P3'!S13</f>
        <v>1706525079.872</v>
      </c>
      <c r="G18" s="29" t="e">
        <f>E18/$E$22</f>
        <v>#REF!</v>
      </c>
      <c r="I18" s="29">
        <v>5.4100000000000002E-2</v>
      </c>
      <c r="K18" s="34" t="e">
        <f>ROUND(G18*I18,5)</f>
        <v>#REF!</v>
      </c>
      <c r="L18" s="34"/>
      <c r="M18" s="116">
        <v>1.0049999999999999</v>
      </c>
      <c r="N18" s="34"/>
      <c r="O18" s="29" t="e">
        <f t="shared" ref="O18:O21" si="4">ROUND(K18*M18,4)</f>
        <v>#REF!</v>
      </c>
      <c r="Q18" s="4" t="e">
        <f>ROUND($Q$17*K18,0)</f>
        <v>#REF!</v>
      </c>
      <c r="U18" s="27" t="s">
        <v>126</v>
      </c>
      <c r="V18" s="44">
        <f>V17-V16</f>
        <v>-256161911.28515202</v>
      </c>
    </row>
    <row r="19" spans="1:24" x14ac:dyDescent="0.2">
      <c r="A19" s="52">
        <f t="shared" ref="A19:A22" si="5">A18+1</f>
        <v>7</v>
      </c>
      <c r="C19" s="28" t="s">
        <v>25</v>
      </c>
      <c r="D19" s="28"/>
      <c r="E19" s="83">
        <f>'D P3'!S14</f>
        <v>95127242.628000006</v>
      </c>
      <c r="G19" s="29" t="e">
        <f t="shared" ref="G19:G21" si="6">E19/$E$22</f>
        <v>#REF!</v>
      </c>
      <c r="I19" s="29">
        <v>2.5000000000000001E-3</v>
      </c>
      <c r="K19" s="34" t="e">
        <f t="shared" ref="K19:K21" si="7">ROUND(G19*I19,5)</f>
        <v>#REF!</v>
      </c>
      <c r="L19" s="34"/>
      <c r="M19" s="116">
        <v>1.0049999999999999</v>
      </c>
      <c r="N19" s="34"/>
      <c r="O19" s="29" t="e">
        <f t="shared" si="4"/>
        <v>#REF!</v>
      </c>
      <c r="Q19" s="4" t="e">
        <f t="shared" ref="Q19:Q21" si="8">ROUND($Q$17*K19,0)</f>
        <v>#REF!</v>
      </c>
    </row>
    <row r="20" spans="1:24" x14ac:dyDescent="0.2">
      <c r="A20" s="52">
        <f t="shared" si="5"/>
        <v>8</v>
      </c>
      <c r="C20" s="28" t="s">
        <v>200</v>
      </c>
      <c r="D20" s="28"/>
      <c r="E20" s="83" t="e">
        <f>'D P3'!#REF!</f>
        <v>#REF!</v>
      </c>
      <c r="G20" s="29" t="e">
        <f t="shared" si="6"/>
        <v>#REF!</v>
      </c>
      <c r="I20" s="29">
        <v>1.0699999999999999E-2</v>
      </c>
      <c r="K20" s="34" t="e">
        <f t="shared" si="7"/>
        <v>#REF!</v>
      </c>
      <c r="L20" s="34"/>
      <c r="M20" s="116">
        <v>1.0049999999999999</v>
      </c>
      <c r="N20" s="34"/>
      <c r="O20" s="29" t="e">
        <f t="shared" si="4"/>
        <v>#REF!</v>
      </c>
      <c r="Q20" s="4" t="e">
        <f t="shared" si="8"/>
        <v>#REF!</v>
      </c>
    </row>
    <row r="21" spans="1:24" x14ac:dyDescent="0.2">
      <c r="A21" s="52">
        <f t="shared" si="5"/>
        <v>9</v>
      </c>
      <c r="C21" s="28" t="s">
        <v>27</v>
      </c>
      <c r="D21" s="28"/>
      <c r="E21" s="83">
        <f>'D P3'!S15</f>
        <v>1801652322.5</v>
      </c>
      <c r="G21" s="29" t="e">
        <f t="shared" si="6"/>
        <v>#REF!</v>
      </c>
      <c r="I21" s="75">
        <v>8.6499999999999994E-2</v>
      </c>
      <c r="K21" s="34" t="e">
        <f t="shared" si="7"/>
        <v>#REF!</v>
      </c>
      <c r="L21" s="34"/>
      <c r="M21" s="115">
        <f>'A-1'!I22</f>
        <v>0</v>
      </c>
      <c r="N21" s="34"/>
      <c r="O21" s="29" t="e">
        <f t="shared" si="4"/>
        <v>#REF!</v>
      </c>
      <c r="Q21" s="4" t="e">
        <f t="shared" si="8"/>
        <v>#REF!</v>
      </c>
      <c r="S21" s="1" t="s">
        <v>196</v>
      </c>
      <c r="T21" s="1" t="s">
        <v>29</v>
      </c>
    </row>
    <row r="22" spans="1:24" ht="13.5" thickBot="1" x14ac:dyDescent="0.25">
      <c r="A22" s="52">
        <f t="shared" si="5"/>
        <v>10</v>
      </c>
      <c r="C22" s="28" t="s">
        <v>28</v>
      </c>
      <c r="D22" s="28"/>
      <c r="E22" s="45" t="e">
        <f>SUM(E18:E21)</f>
        <v>#REF!</v>
      </c>
      <c r="G22" s="32" t="e">
        <f>SUM(G18:G21)</f>
        <v>#REF!</v>
      </c>
      <c r="I22" s="31"/>
      <c r="K22" s="35" t="e">
        <f>SUM(K17:K21)</f>
        <v>#REF!</v>
      </c>
      <c r="L22" s="113"/>
      <c r="M22" s="113"/>
      <c r="N22" s="113"/>
      <c r="O22" s="35" t="e">
        <f>SUM(O17:O21)</f>
        <v>#REF!</v>
      </c>
      <c r="Q22" s="45" t="e">
        <f>SUM(Q18:Q21)</f>
        <v>#REF!</v>
      </c>
      <c r="S22" s="4">
        <f>A!I12</f>
        <v>228614765.70873138</v>
      </c>
      <c r="T22" s="44" t="e">
        <f>Q22-S22</f>
        <v>#REF!</v>
      </c>
      <c r="U22" s="59"/>
    </row>
    <row r="23" spans="1:24" ht="13.5" thickTop="1" x14ac:dyDescent="0.2">
      <c r="A23" s="52"/>
      <c r="C23" s="28"/>
      <c r="D23" s="28"/>
      <c r="E23" s="28"/>
      <c r="I23" s="31"/>
      <c r="K23" s="60"/>
      <c r="L23" s="112"/>
      <c r="M23" s="112"/>
      <c r="N23" s="112"/>
      <c r="O23" s="112"/>
      <c r="S23" s="1" t="s">
        <v>197</v>
      </c>
    </row>
    <row r="24" spans="1:24" ht="13.5" thickBot="1" x14ac:dyDescent="0.25">
      <c r="A24" s="58">
        <f>A22+1</f>
        <v>11</v>
      </c>
      <c r="C24" s="28" t="s">
        <v>29</v>
      </c>
      <c r="D24" s="28"/>
      <c r="E24" s="28"/>
      <c r="G24" s="1" t="s">
        <v>180</v>
      </c>
      <c r="K24" s="61" t="e">
        <f>K22-K15</f>
        <v>#REF!</v>
      </c>
      <c r="L24" s="33"/>
      <c r="M24" s="33"/>
      <c r="N24" s="33"/>
      <c r="O24" s="33"/>
    </row>
    <row r="25" spans="1:24" ht="14.25" customHeight="1" thickTop="1" x14ac:dyDescent="0.2">
      <c r="A25" s="58"/>
      <c r="C25" s="28"/>
      <c r="D25" s="28"/>
      <c r="E25" s="28"/>
      <c r="K25" s="33"/>
      <c r="L25" s="33"/>
      <c r="M25" s="33"/>
      <c r="N25" s="33"/>
      <c r="O25" s="33"/>
    </row>
    <row r="26" spans="1:24" ht="13.5" thickBot="1" x14ac:dyDescent="0.25">
      <c r="A26" s="58">
        <f>A24+1</f>
        <v>12</v>
      </c>
      <c r="C26" s="130" t="s">
        <v>186</v>
      </c>
      <c r="D26" s="130"/>
      <c r="E26" s="130"/>
      <c r="F26" s="130"/>
      <c r="G26" s="130" t="s">
        <v>249</v>
      </c>
      <c r="H26" s="130"/>
      <c r="I26" s="130"/>
      <c r="J26" s="130"/>
      <c r="K26" s="133" t="e">
        <f>SUM(K18:K20)</f>
        <v>#REF!</v>
      </c>
      <c r="L26" s="37"/>
      <c r="M26" s="37"/>
      <c r="N26" s="37"/>
      <c r="O26" s="133" t="e">
        <f>SUM(O18:O20)</f>
        <v>#REF!</v>
      </c>
    </row>
    <row r="27" spans="1:24" ht="12.75" customHeight="1" thickTop="1" x14ac:dyDescent="0.2">
      <c r="A27" s="58"/>
      <c r="C27" s="130"/>
      <c r="D27" s="130"/>
      <c r="E27" s="130"/>
      <c r="F27" s="130"/>
      <c r="G27" s="130"/>
      <c r="H27" s="130"/>
      <c r="I27" s="130"/>
      <c r="J27" s="130"/>
      <c r="K27" s="132"/>
      <c r="L27" s="37"/>
      <c r="M27" s="37"/>
      <c r="N27" s="37"/>
      <c r="O27" s="37"/>
    </row>
    <row r="28" spans="1:24" ht="15" customHeight="1" x14ac:dyDescent="0.2"/>
    <row r="29" spans="1:24" ht="15.75" customHeight="1" x14ac:dyDescent="0.2">
      <c r="A29" s="2" t="s">
        <v>39</v>
      </c>
      <c r="B29" s="2"/>
      <c r="C29" s="62"/>
      <c r="D29" s="62"/>
      <c r="E29" s="6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3"/>
      <c r="R29" s="13"/>
      <c r="S29" s="13"/>
    </row>
    <row r="30" spans="1:24" x14ac:dyDescent="0.2">
      <c r="A30" s="13" t="s">
        <v>250</v>
      </c>
      <c r="B30" s="13"/>
      <c r="D30" s="51"/>
      <c r="E30" s="5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24" s="130" customFormat="1" x14ac:dyDescent="0.2">
      <c r="A31" s="135" t="s">
        <v>253</v>
      </c>
      <c r="B31" s="51"/>
      <c r="C31" s="51"/>
      <c r="D31" s="131"/>
      <c r="E31" s="13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24" x14ac:dyDescent="0.2">
      <c r="A32" s="13" t="s">
        <v>264</v>
      </c>
      <c r="B32" s="13"/>
      <c r="C32" s="51" t="s">
        <v>247</v>
      </c>
      <c r="D32" s="63"/>
      <c r="E32" s="6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">
      <c r="A33" s="13" t="s">
        <v>263</v>
      </c>
      <c r="B33" s="13"/>
      <c r="C33" s="51" t="s">
        <v>247</v>
      </c>
      <c r="D33" s="63"/>
      <c r="E33" s="6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">
      <c r="A34" s="13"/>
      <c r="B34" s="13"/>
      <c r="C34" s="13"/>
      <c r="D34" s="13"/>
      <c r="E34" s="51"/>
      <c r="F34" s="51"/>
      <c r="G34" s="51"/>
      <c r="H34" s="13"/>
      <c r="I34" s="104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">
      <c r="A35" s="135"/>
      <c r="B35" s="13"/>
      <c r="C35" s="13" t="s">
        <v>270</v>
      </c>
      <c r="D35" s="13"/>
      <c r="E35" s="51"/>
      <c r="F35" s="51"/>
      <c r="G35" s="51"/>
      <c r="H35" s="13"/>
      <c r="I35" s="104" t="s">
        <v>272</v>
      </c>
      <c r="J35" s="13"/>
      <c r="L35" s="13"/>
      <c r="M35" s="13" t="s">
        <v>66</v>
      </c>
      <c r="N35" s="13"/>
      <c r="O35" s="13"/>
      <c r="P35" s="13"/>
      <c r="Q35" s="13"/>
      <c r="R35" s="13"/>
      <c r="S35" s="13"/>
    </row>
    <row r="36" spans="1:19" x14ac:dyDescent="0.2">
      <c r="C36" s="51"/>
      <c r="D36" s="51"/>
      <c r="E36" s="51" t="s">
        <v>27</v>
      </c>
      <c r="F36" s="13"/>
      <c r="G36" s="13" t="s">
        <v>271</v>
      </c>
      <c r="H36" s="13"/>
      <c r="I36" s="33" t="s">
        <v>273</v>
      </c>
      <c r="J36" s="13"/>
      <c r="K36" s="1" t="s">
        <v>84</v>
      </c>
      <c r="L36" s="13"/>
      <c r="M36" s="13" t="s">
        <v>67</v>
      </c>
      <c r="N36" s="13"/>
      <c r="O36" s="13"/>
    </row>
    <row r="37" spans="1:19" x14ac:dyDescent="0.2">
      <c r="C37" s="1" t="s">
        <v>234</v>
      </c>
      <c r="E37" s="44">
        <f>E14</f>
        <v>518572572</v>
      </c>
      <c r="G37" s="86">
        <v>5.0000000000000001E-3</v>
      </c>
      <c r="I37" s="44">
        <f>E37*G37</f>
        <v>2592862.86</v>
      </c>
      <c r="K37" s="141">
        <f>$M$14</f>
        <v>0</v>
      </c>
      <c r="M37" s="4">
        <f>I37*K37</f>
        <v>0</v>
      </c>
    </row>
    <row r="39" spans="1:19" x14ac:dyDescent="0.2">
      <c r="C39" s="1" t="s">
        <v>160</v>
      </c>
      <c r="E39" s="44">
        <f>E21</f>
        <v>1801652322.5</v>
      </c>
      <c r="G39" s="86">
        <f>$G$37</f>
        <v>5.0000000000000001E-3</v>
      </c>
      <c r="I39" s="44">
        <f>E39*G39</f>
        <v>9008261.6125000007</v>
      </c>
      <c r="K39" s="141">
        <f>$M$14</f>
        <v>0</v>
      </c>
      <c r="M39" s="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34"/>
  <sheetViews>
    <sheetView zoomScaleSheetLayoutView="90" workbookViewId="0">
      <selection activeCell="E63" sqref="E63"/>
    </sheetView>
  </sheetViews>
  <sheetFormatPr defaultRowHeight="12.75" x14ac:dyDescent="0.2"/>
  <cols>
    <col min="1" max="1" width="5.42578125" style="1" customWidth="1"/>
    <col min="2" max="2" width="4.42578125" style="1" customWidth="1"/>
    <col min="3" max="3" width="31.7109375" style="1" customWidth="1"/>
    <col min="4" max="4" width="2.28515625" style="1" customWidth="1"/>
    <col min="5" max="5" width="16.140625" style="1" bestFit="1" customWidth="1"/>
    <col min="6" max="6" width="3.28515625" style="1" customWidth="1"/>
    <col min="7" max="7" width="9.42578125" style="1" bestFit="1" customWidth="1"/>
    <col min="8" max="8" width="2.28515625" style="1" customWidth="1"/>
    <col min="9" max="9" width="8.42578125" style="1" bestFit="1" customWidth="1"/>
    <col min="10" max="10" width="2.28515625" style="1" customWidth="1"/>
    <col min="11" max="11" width="10.85546875" style="1" customWidth="1"/>
    <col min="12" max="12" width="1.140625" style="1" customWidth="1"/>
    <col min="13" max="13" width="10.85546875" style="1" customWidth="1"/>
    <col min="14" max="14" width="1.42578125" style="1" customWidth="1"/>
    <col min="15" max="15" width="10.85546875" style="1" customWidth="1"/>
    <col min="16" max="16" width="5.5703125" style="1" customWidth="1"/>
    <col min="17" max="17" width="16.28515625" style="1" bestFit="1" customWidth="1"/>
    <col min="18" max="18" width="3.85546875" style="1" customWidth="1"/>
    <col min="19" max="19" width="14.140625" style="1" bestFit="1" customWidth="1"/>
    <col min="20" max="20" width="13" style="1" bestFit="1" customWidth="1"/>
    <col min="21" max="21" width="20.28515625" style="1" bestFit="1" customWidth="1"/>
    <col min="22" max="22" width="14.140625" style="1" bestFit="1" customWidth="1"/>
    <col min="23" max="23" width="9.28515625" style="1" bestFit="1" customWidth="1"/>
    <col min="24" max="24" width="10.85546875" style="1" bestFit="1" customWidth="1"/>
    <col min="25" max="25" width="9.140625" style="1"/>
    <col min="26" max="26" width="9.42578125" style="1" bestFit="1" customWidth="1"/>
    <col min="27" max="16384" width="9.140625" style="1"/>
  </cols>
  <sheetData>
    <row r="1" spans="1:24" x14ac:dyDescent="0.2">
      <c r="A1" s="1" t="str">
        <f>Contents!A1</f>
        <v>Kentucky Utilities Company</v>
      </c>
      <c r="H1" s="10"/>
      <c r="O1" s="27" t="str">
        <f>Contents!A3</f>
        <v>Exhibit RCS-1</v>
      </c>
    </row>
    <row r="2" spans="1:24" x14ac:dyDescent="0.2">
      <c r="A2" s="1" t="s">
        <v>17</v>
      </c>
      <c r="H2" s="10"/>
      <c r="O2" s="27" t="s">
        <v>102</v>
      </c>
    </row>
    <row r="3" spans="1:24" x14ac:dyDescent="0.2">
      <c r="H3" s="10"/>
      <c r="O3" s="27" t="str">
        <f>Contents!A2</f>
        <v>Case No. 2016-00370</v>
      </c>
    </row>
    <row r="4" spans="1:24" x14ac:dyDescent="0.2">
      <c r="A4" s="1" t="s">
        <v>276</v>
      </c>
      <c r="H4" s="10"/>
      <c r="O4" s="27" t="s">
        <v>194</v>
      </c>
    </row>
    <row r="6" spans="1:24" x14ac:dyDescent="0.2">
      <c r="G6" s="99" t="s">
        <v>21</v>
      </c>
    </row>
    <row r="7" spans="1:24" x14ac:dyDescent="0.2">
      <c r="A7" s="52" t="s">
        <v>0</v>
      </c>
      <c r="G7" s="52" t="s">
        <v>118</v>
      </c>
      <c r="I7" s="52" t="s">
        <v>20</v>
      </c>
      <c r="K7" s="114" t="s">
        <v>19</v>
      </c>
      <c r="L7" s="114"/>
      <c r="M7" s="114"/>
      <c r="N7" s="114"/>
      <c r="O7" s="114" t="s">
        <v>210</v>
      </c>
    </row>
    <row r="8" spans="1:24" ht="15.75" x14ac:dyDescent="0.25">
      <c r="A8" s="53" t="s">
        <v>2</v>
      </c>
      <c r="B8" s="54"/>
      <c r="C8" s="53" t="s">
        <v>3</v>
      </c>
      <c r="D8" s="81"/>
      <c r="E8" s="82" t="s">
        <v>16</v>
      </c>
      <c r="F8" s="54"/>
      <c r="G8" s="55" t="s">
        <v>24</v>
      </c>
      <c r="I8" s="53" t="s">
        <v>23</v>
      </c>
      <c r="K8" s="11" t="s">
        <v>22</v>
      </c>
      <c r="L8" s="12"/>
      <c r="M8" s="11" t="s">
        <v>211</v>
      </c>
      <c r="N8" s="12"/>
      <c r="O8" s="11" t="s">
        <v>212</v>
      </c>
    </row>
    <row r="9" spans="1:24" x14ac:dyDescent="0.2">
      <c r="E9" s="99" t="s">
        <v>6</v>
      </c>
      <c r="G9" s="99" t="s">
        <v>7</v>
      </c>
      <c r="I9" s="99" t="s">
        <v>18</v>
      </c>
      <c r="K9" s="99" t="s">
        <v>38</v>
      </c>
      <c r="L9" s="99"/>
      <c r="M9" s="99" t="s">
        <v>50</v>
      </c>
      <c r="N9" s="99"/>
      <c r="O9" s="99" t="s">
        <v>262</v>
      </c>
    </row>
    <row r="10" spans="1:24" x14ac:dyDescent="0.2">
      <c r="C10" s="56" t="s">
        <v>121</v>
      </c>
      <c r="D10" s="56"/>
      <c r="E10" s="56"/>
      <c r="U10" s="4">
        <f>A!$G$10</f>
        <v>3638800730.0279121</v>
      </c>
      <c r="V10" s="1" t="s">
        <v>154</v>
      </c>
    </row>
    <row r="11" spans="1:24" x14ac:dyDescent="0.2">
      <c r="A11" s="99">
        <v>1</v>
      </c>
      <c r="C11" s="28" t="s">
        <v>26</v>
      </c>
      <c r="D11" s="28"/>
      <c r="E11" s="83">
        <f>'D P2 Base Period'!E13</f>
        <v>0</v>
      </c>
      <c r="G11" s="29">
        <f>'D P2 Base Period'!S12</f>
        <v>0.45616162375038949</v>
      </c>
      <c r="I11" s="29">
        <f>'D P2 Base Period'!U12</f>
        <v>4.1000000000000002E-2</v>
      </c>
      <c r="K11" s="29">
        <f>ROUND(G11*I11,12)</f>
        <v>1.8702626574E-2</v>
      </c>
      <c r="L11" s="29"/>
      <c r="M11" s="116">
        <v>1.0049999999999999</v>
      </c>
      <c r="N11" s="29"/>
      <c r="O11" s="29">
        <f>ROUND(K11*M11,4)</f>
        <v>1.8800000000000001E-2</v>
      </c>
    </row>
    <row r="12" spans="1:24" x14ac:dyDescent="0.2">
      <c r="A12" s="52">
        <f>A11+1</f>
        <v>2</v>
      </c>
      <c r="C12" s="28" t="s">
        <v>25</v>
      </c>
      <c r="D12" s="28"/>
      <c r="E12" s="83">
        <f>'D P2 Base Period'!E12</f>
        <v>2313737916</v>
      </c>
      <c r="G12" s="29">
        <f>'D P2 Base Period'!S13</f>
        <v>0</v>
      </c>
      <c r="I12" s="29">
        <f>'D P2 Base Period'!U13</f>
        <v>6.4999999999999997E-3</v>
      </c>
      <c r="K12" s="29">
        <f>ROUND(G12*I12,12)</f>
        <v>0</v>
      </c>
      <c r="L12" s="29"/>
      <c r="M12" s="116">
        <v>1.0049999999999999</v>
      </c>
      <c r="N12" s="29"/>
      <c r="O12" s="29">
        <f t="shared" ref="O12:O13" si="0">ROUND(K12*M12,4)</f>
        <v>0</v>
      </c>
      <c r="T12" s="85">
        <f>G12*I12</f>
        <v>0</v>
      </c>
    </row>
    <row r="13" spans="1:24" x14ac:dyDescent="0.2">
      <c r="A13" s="52">
        <f>A12+1</f>
        <v>3</v>
      </c>
      <c r="C13" s="28" t="s">
        <v>27</v>
      </c>
      <c r="D13" s="28"/>
      <c r="E13" s="83">
        <f>'D P2 Base Period'!E14</f>
        <v>2758955153</v>
      </c>
      <c r="G13" s="29">
        <f>'D P2 Base Period'!S14</f>
        <v>0.54383837624961051</v>
      </c>
      <c r="I13" s="31">
        <f>'D P2 Base Period'!U14</f>
        <v>0.1023</v>
      </c>
      <c r="K13" s="29">
        <f>ROUND(G13*I13,12)</f>
        <v>5.5634665889999997E-2</v>
      </c>
      <c r="L13" s="29"/>
      <c r="M13" s="116">
        <f>'A-1'!I22</f>
        <v>0</v>
      </c>
      <c r="N13" s="29"/>
      <c r="O13" s="29">
        <f t="shared" si="0"/>
        <v>0</v>
      </c>
      <c r="T13" s="85">
        <f>G13*I13</f>
        <v>5.563466589033516E-2</v>
      </c>
    </row>
    <row r="14" spans="1:24" ht="13.5" thickBot="1" x14ac:dyDescent="0.25">
      <c r="A14" s="52">
        <f t="shared" ref="A14" si="1">A13+1</f>
        <v>4</v>
      </c>
      <c r="C14" s="28" t="s">
        <v>28</v>
      </c>
      <c r="D14" s="28"/>
      <c r="E14" s="102">
        <f>SUM(E11:E13)</f>
        <v>5072693069</v>
      </c>
      <c r="G14" s="32">
        <f>SUM(G11:G13)</f>
        <v>1</v>
      </c>
      <c r="I14" s="31"/>
      <c r="K14" s="103">
        <f>ROUND(SUM(K10:K13),12)</f>
        <v>7.4337292464000004E-2</v>
      </c>
      <c r="L14" s="112"/>
      <c r="M14" s="112"/>
      <c r="N14" s="112"/>
      <c r="O14" s="103">
        <f>ROUND(SUM(O10:O13),4)</f>
        <v>1.8800000000000001E-2</v>
      </c>
      <c r="T14" s="84">
        <f>ROUND(SUM(T10:T13),6)</f>
        <v>5.5634999999999997E-2</v>
      </c>
      <c r="V14" s="4">
        <f>T14*A!$G$10</f>
        <v>202444678.61510289</v>
      </c>
      <c r="W14" s="86">
        <f>T14</f>
        <v>5.5634999999999997E-2</v>
      </c>
    </row>
    <row r="15" spans="1:24" ht="12" customHeight="1" thickTop="1" x14ac:dyDescent="0.2">
      <c r="I15" s="13"/>
      <c r="J15" s="13"/>
      <c r="K15" s="13"/>
      <c r="L15" s="13"/>
      <c r="M15" s="13"/>
      <c r="N15" s="13"/>
      <c r="O15" s="13"/>
      <c r="Q15" s="111" t="s">
        <v>195</v>
      </c>
      <c r="V15" s="44">
        <f>U10*K14</f>
        <v>270498594.08630162</v>
      </c>
      <c r="W15" s="86">
        <f>K14</f>
        <v>7.4337292464000004E-2</v>
      </c>
    </row>
    <row r="16" spans="1:24" x14ac:dyDescent="0.2">
      <c r="C16" s="57" t="s">
        <v>169</v>
      </c>
      <c r="D16" s="57"/>
      <c r="E16" s="57"/>
      <c r="Q16" s="101">
        <f>B!I40</f>
        <v>3769770730.668829</v>
      </c>
      <c r="U16" s="27" t="s">
        <v>155</v>
      </c>
      <c r="V16" s="44">
        <v>24389625</v>
      </c>
      <c r="X16" s="87">
        <f>V16/$U$10</f>
        <v>6.7026547507076364E-3</v>
      </c>
    </row>
    <row r="17" spans="1:22" x14ac:dyDescent="0.2">
      <c r="A17" s="58">
        <f>A14+1</f>
        <v>5</v>
      </c>
      <c r="C17" s="28" t="s">
        <v>26</v>
      </c>
      <c r="D17" s="28"/>
      <c r="E17" s="83">
        <f>'D P2 Base Period'!E19</f>
        <v>2313737916</v>
      </c>
      <c r="G17" s="29">
        <f>'D P2 Base Period'!S19</f>
        <v>0.45616162375038949</v>
      </c>
      <c r="I17" s="29">
        <f>'D P2 Base Period'!U19</f>
        <v>4.1000000000000002E-2</v>
      </c>
      <c r="K17" s="29">
        <f>ROUND(G17*I17,12)</f>
        <v>1.8702626574E-2</v>
      </c>
      <c r="L17" s="29"/>
      <c r="M17" s="116">
        <v>1.0049999999999999</v>
      </c>
      <c r="N17" s="29"/>
      <c r="O17" s="29">
        <f>ROUND(K17*M17,4)</f>
        <v>1.8800000000000001E-2</v>
      </c>
      <c r="Q17" s="4">
        <f>ROUND($Q$16*K17,0)</f>
        <v>70504614</v>
      </c>
      <c r="U17" s="27" t="s">
        <v>126</v>
      </c>
      <c r="V17" s="44">
        <f>V16-V15</f>
        <v>-246108969.08630162</v>
      </c>
    </row>
    <row r="18" spans="1:22" x14ac:dyDescent="0.2">
      <c r="A18" s="52">
        <f t="shared" ref="A18:A20" si="2">A17+1</f>
        <v>6</v>
      </c>
      <c r="C18" s="28" t="s">
        <v>25</v>
      </c>
      <c r="D18" s="28"/>
      <c r="E18" s="83">
        <f>'D P2 Base Period'!E20</f>
        <v>0</v>
      </c>
      <c r="G18" s="29">
        <f>'D P2 Base Period'!S20</f>
        <v>0</v>
      </c>
      <c r="I18" s="29">
        <f>'D P2 Base Period'!U20</f>
        <v>6.4999999999999997E-3</v>
      </c>
      <c r="K18" s="29">
        <f>ROUND(G18*I18,12)</f>
        <v>0</v>
      </c>
      <c r="L18" s="29"/>
      <c r="M18" s="116">
        <v>1.0049999999999999</v>
      </c>
      <c r="N18" s="29"/>
      <c r="O18" s="29">
        <f t="shared" ref="O18:O19" si="3">ROUND(K18*M18,4)</f>
        <v>0</v>
      </c>
      <c r="Q18" s="4">
        <f t="shared" ref="Q18:Q19" si="4">ROUND($Q$16*K18,0)</f>
        <v>0</v>
      </c>
    </row>
    <row r="19" spans="1:22" x14ac:dyDescent="0.2">
      <c r="A19" s="52">
        <f t="shared" si="2"/>
        <v>7</v>
      </c>
      <c r="C19" s="28" t="s">
        <v>27</v>
      </c>
      <c r="D19" s="28"/>
      <c r="E19" s="83">
        <f>'D P2 Base Period'!E21</f>
        <v>2758955153</v>
      </c>
      <c r="G19" s="29">
        <f>'D P2 Base Period'!S21</f>
        <v>0.54383837624961051</v>
      </c>
      <c r="I19" s="31">
        <f>'D P2 Base Period'!U21</f>
        <v>0.1023</v>
      </c>
      <c r="K19" s="29">
        <f>ROUND(G19*I19,12)</f>
        <v>5.5634665889999997E-2</v>
      </c>
      <c r="L19" s="29"/>
      <c r="M19" s="116">
        <f>'A-1'!I28</f>
        <v>0.38750052800000001</v>
      </c>
      <c r="N19" s="29"/>
      <c r="O19" s="29">
        <f t="shared" si="3"/>
        <v>2.1600000000000001E-2</v>
      </c>
      <c r="Q19" s="4">
        <f t="shared" si="4"/>
        <v>209729935</v>
      </c>
      <c r="S19" s="1" t="s">
        <v>196</v>
      </c>
      <c r="T19" s="1" t="s">
        <v>29</v>
      </c>
    </row>
    <row r="20" spans="1:22" ht="13.5" thickBot="1" x14ac:dyDescent="0.25">
      <c r="A20" s="52">
        <f t="shared" si="2"/>
        <v>8</v>
      </c>
      <c r="C20" s="28" t="s">
        <v>28</v>
      </c>
      <c r="D20" s="28"/>
      <c r="E20" s="102">
        <f>SUM(E17:E19)</f>
        <v>5072693069</v>
      </c>
      <c r="G20" s="32">
        <f>SUM(G17:G19)</f>
        <v>1</v>
      </c>
      <c r="I20" s="31"/>
      <c r="K20" s="103">
        <f>ROUND(SUM(K16:K19),12)</f>
        <v>7.4337292464000004E-2</v>
      </c>
      <c r="L20" s="112"/>
      <c r="M20" s="112"/>
      <c r="N20" s="112"/>
      <c r="O20" s="103">
        <f>ROUND(SUM(O16:O19),4)</f>
        <v>4.0399999999999998E-2</v>
      </c>
      <c r="Q20" s="45">
        <f>SUM(Q17:Q19)</f>
        <v>280234549</v>
      </c>
      <c r="S20" s="4">
        <f>A!I12</f>
        <v>228614765.70873138</v>
      </c>
      <c r="T20" s="44">
        <f>Q20-S20</f>
        <v>51619783.291268617</v>
      </c>
      <c r="U20" s="59"/>
    </row>
    <row r="21" spans="1:22" ht="13.5" thickTop="1" x14ac:dyDescent="0.2">
      <c r="A21" s="52"/>
      <c r="C21" s="28"/>
      <c r="D21" s="28"/>
      <c r="E21" s="28"/>
      <c r="I21" s="31"/>
      <c r="K21" s="60"/>
      <c r="L21" s="112"/>
      <c r="M21" s="112"/>
      <c r="N21" s="112"/>
      <c r="O21" s="112"/>
      <c r="S21" s="1" t="s">
        <v>197</v>
      </c>
    </row>
    <row r="22" spans="1:22" ht="13.5" thickBot="1" x14ac:dyDescent="0.25">
      <c r="A22" s="58">
        <f>A20+1</f>
        <v>9</v>
      </c>
      <c r="C22" s="28" t="s">
        <v>29</v>
      </c>
      <c r="D22" s="28"/>
      <c r="E22" s="28"/>
      <c r="G22" s="1" t="s">
        <v>180</v>
      </c>
      <c r="K22" s="61">
        <f>K20-K14</f>
        <v>0</v>
      </c>
      <c r="L22" s="33"/>
      <c r="M22" s="33"/>
      <c r="N22" s="33"/>
      <c r="O22" s="33"/>
    </row>
    <row r="23" spans="1:22" ht="14.25" customHeight="1" thickTop="1" x14ac:dyDescent="0.2">
      <c r="A23" s="58"/>
      <c r="C23" s="28"/>
      <c r="D23" s="28"/>
      <c r="E23" s="28"/>
      <c r="K23" s="33"/>
      <c r="L23" s="33"/>
      <c r="M23" s="33"/>
      <c r="N23" s="33"/>
      <c r="O23" s="33"/>
    </row>
    <row r="24" spans="1:22" ht="13.5" thickBot="1" x14ac:dyDescent="0.25">
      <c r="A24" s="58">
        <f>A22+1</f>
        <v>10</v>
      </c>
      <c r="C24" s="130" t="s">
        <v>186</v>
      </c>
      <c r="D24" s="130"/>
      <c r="E24" s="130"/>
      <c r="F24" s="130"/>
      <c r="G24" s="130" t="s">
        <v>249</v>
      </c>
      <c r="H24" s="130"/>
      <c r="I24" s="130"/>
      <c r="J24" s="130"/>
      <c r="K24" s="133">
        <f>SUM(K17:K18)</f>
        <v>1.8702626574E-2</v>
      </c>
      <c r="L24" s="37"/>
      <c r="M24" s="37"/>
      <c r="N24" s="37"/>
      <c r="O24" s="133">
        <f>SUM(O17:O18)</f>
        <v>1.8800000000000001E-2</v>
      </c>
    </row>
    <row r="25" spans="1:22" ht="12.75" customHeight="1" thickTop="1" x14ac:dyDescent="0.2">
      <c r="A25" s="58"/>
      <c r="C25" s="130"/>
      <c r="D25" s="130"/>
      <c r="E25" s="130"/>
      <c r="F25" s="130"/>
      <c r="G25" s="130"/>
      <c r="H25" s="130"/>
      <c r="I25" s="130"/>
      <c r="J25" s="130"/>
      <c r="K25" s="132"/>
      <c r="L25" s="37"/>
      <c r="M25" s="37"/>
      <c r="N25" s="37"/>
      <c r="O25" s="37"/>
    </row>
    <row r="26" spans="1:22" ht="15" customHeight="1" x14ac:dyDescent="0.2"/>
    <row r="27" spans="1:22" ht="15.75" customHeight="1" x14ac:dyDescent="0.2">
      <c r="A27" s="2" t="s">
        <v>39</v>
      </c>
      <c r="B27" s="2"/>
      <c r="C27" s="62"/>
      <c r="D27" s="62"/>
      <c r="E27" s="6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3"/>
      <c r="R27" s="13"/>
      <c r="S27" s="13"/>
    </row>
    <row r="28" spans="1:22" x14ac:dyDescent="0.2">
      <c r="A28" s="13" t="s">
        <v>322</v>
      </c>
      <c r="B28" s="13"/>
      <c r="D28" s="51"/>
      <c r="E28" s="5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2" s="130" customFormat="1" x14ac:dyDescent="0.2">
      <c r="A29" s="135" t="s">
        <v>253</v>
      </c>
      <c r="B29" s="51"/>
      <c r="C29" s="51"/>
      <c r="D29" s="131"/>
      <c r="E29" s="13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22" x14ac:dyDescent="0.2">
      <c r="A30" s="13" t="s">
        <v>264</v>
      </c>
      <c r="B30" s="13"/>
      <c r="C30" s="51" t="s">
        <v>247</v>
      </c>
      <c r="D30" s="63"/>
      <c r="E30" s="6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22" x14ac:dyDescent="0.2">
      <c r="A31" s="13" t="s">
        <v>263</v>
      </c>
      <c r="B31" s="13"/>
      <c r="C31" s="51" t="s">
        <v>247</v>
      </c>
      <c r="D31" s="63"/>
      <c r="E31" s="6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2" x14ac:dyDescent="0.2">
      <c r="A32" s="13"/>
      <c r="B32" s="13"/>
      <c r="C32" s="13"/>
      <c r="D32" s="13"/>
      <c r="E32" s="51"/>
      <c r="F32" s="51"/>
      <c r="G32" s="51"/>
      <c r="H32" s="13"/>
      <c r="I32" s="104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">
      <c r="A33" s="135"/>
      <c r="B33" s="13"/>
      <c r="C33" s="13"/>
      <c r="D33" s="13"/>
      <c r="E33" s="51"/>
      <c r="F33" s="51"/>
      <c r="G33" s="51"/>
      <c r="H33" s="13"/>
      <c r="I33" s="104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">
      <c r="C34" s="51"/>
      <c r="D34" s="51"/>
      <c r="E34" s="51"/>
      <c r="F34" s="13"/>
      <c r="G34" s="13"/>
      <c r="H34" s="13"/>
      <c r="I34" s="33"/>
      <c r="J34" s="13"/>
      <c r="K34" s="13"/>
      <c r="L34" s="13"/>
      <c r="M34" s="13"/>
      <c r="N34" s="13"/>
      <c r="O34" s="13"/>
    </row>
  </sheetData>
  <pageMargins left="0.75" right="0.75" top="0.61" bottom="0.63" header="0.5" footer="0.5"/>
  <pageSetup fitToHeight="3" orientation="landscape" horizontalDpi="1200" verticalDpi="1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selection activeCell="E63" sqref="E63"/>
    </sheetView>
  </sheetViews>
  <sheetFormatPr defaultRowHeight="12.75" x14ac:dyDescent="0.2"/>
  <cols>
    <col min="1" max="1" width="5.42578125" style="1" customWidth="1"/>
    <col min="2" max="2" width="4.42578125" style="1" customWidth="1"/>
    <col min="3" max="3" width="31.7109375" style="1" customWidth="1"/>
    <col min="4" max="4" width="2.28515625" style="1" customWidth="1"/>
    <col min="5" max="5" width="16.140625" style="1" bestFit="1" customWidth="1"/>
    <col min="6" max="6" width="3.28515625" style="1" customWidth="1"/>
    <col min="7" max="7" width="9.42578125" style="1" bestFit="1" customWidth="1"/>
    <col min="8" max="8" width="2.28515625" style="1" customWidth="1"/>
    <col min="9" max="9" width="8.42578125" style="1" bestFit="1" customWidth="1"/>
    <col min="10" max="10" width="2.28515625" style="1" customWidth="1"/>
    <col min="11" max="11" width="10.85546875" style="1" customWidth="1"/>
    <col min="12" max="12" width="1.140625" style="1" customWidth="1"/>
    <col min="13" max="13" width="10.85546875" style="1" customWidth="1"/>
    <col min="14" max="14" width="1.42578125" style="1" customWidth="1"/>
    <col min="15" max="15" width="10.85546875" style="1" customWidth="1"/>
    <col min="16" max="16" width="5.5703125" style="1" customWidth="1"/>
    <col min="17" max="17" width="16.28515625" style="1" bestFit="1" customWidth="1"/>
    <col min="18" max="18" width="3.85546875" style="1" customWidth="1"/>
    <col min="19" max="19" width="14.140625" style="1" bestFit="1" customWidth="1"/>
    <col min="20" max="20" width="13" style="1" bestFit="1" customWidth="1"/>
    <col min="21" max="21" width="20.28515625" style="1" bestFit="1" customWidth="1"/>
    <col min="22" max="22" width="14.140625" style="1" bestFit="1" customWidth="1"/>
    <col min="23" max="23" width="9.28515625" style="1" bestFit="1" customWidth="1"/>
    <col min="24" max="24" width="10.85546875" style="1" bestFit="1" customWidth="1"/>
    <col min="25" max="25" width="9.140625" style="1"/>
    <col min="26" max="26" width="9.42578125" style="1" bestFit="1" customWidth="1"/>
    <col min="27" max="16384" width="9.140625" style="1"/>
  </cols>
  <sheetData>
    <row r="1" spans="1:24" x14ac:dyDescent="0.2">
      <c r="A1" s="1" t="str">
        <f>Contents!A1</f>
        <v>Kentucky Utilities Company</v>
      </c>
      <c r="H1" s="10"/>
      <c r="O1" s="27" t="str">
        <f>Contents!A3</f>
        <v>Exhibit RCS-1</v>
      </c>
    </row>
    <row r="2" spans="1:24" x14ac:dyDescent="0.2">
      <c r="A2" s="1" t="s">
        <v>17</v>
      </c>
      <c r="H2" s="10"/>
      <c r="O2" s="27" t="s">
        <v>102</v>
      </c>
    </row>
    <row r="3" spans="1:24" x14ac:dyDescent="0.2">
      <c r="H3" s="10"/>
      <c r="O3" s="27" t="str">
        <f>Contents!A2</f>
        <v>Case No. 2016-00370</v>
      </c>
    </row>
    <row r="4" spans="1:24" x14ac:dyDescent="0.2">
      <c r="A4" s="1" t="s">
        <v>328</v>
      </c>
      <c r="H4" s="10"/>
      <c r="O4" s="27" t="s">
        <v>194</v>
      </c>
    </row>
    <row r="6" spans="1:24" x14ac:dyDescent="0.2">
      <c r="G6" s="99" t="s">
        <v>21</v>
      </c>
    </row>
    <row r="7" spans="1:24" x14ac:dyDescent="0.2">
      <c r="A7" s="52" t="s">
        <v>0</v>
      </c>
      <c r="G7" s="52" t="s">
        <v>118</v>
      </c>
      <c r="I7" s="52" t="s">
        <v>20</v>
      </c>
      <c r="K7" s="114" t="s">
        <v>19</v>
      </c>
      <c r="L7" s="114"/>
      <c r="M7" s="114"/>
      <c r="N7" s="114"/>
      <c r="O7" s="114" t="s">
        <v>210</v>
      </c>
    </row>
    <row r="8" spans="1:24" ht="15.75" x14ac:dyDescent="0.25">
      <c r="A8" s="53" t="s">
        <v>2</v>
      </c>
      <c r="B8" s="54"/>
      <c r="C8" s="53" t="s">
        <v>3</v>
      </c>
      <c r="D8" s="81"/>
      <c r="E8" s="82" t="s">
        <v>16</v>
      </c>
      <c r="F8" s="54"/>
      <c r="G8" s="55" t="s">
        <v>24</v>
      </c>
      <c r="I8" s="53" t="s">
        <v>23</v>
      </c>
      <c r="K8" s="11" t="s">
        <v>22</v>
      </c>
      <c r="L8" s="12"/>
      <c r="M8" s="11" t="s">
        <v>211</v>
      </c>
      <c r="N8" s="12"/>
      <c r="O8" s="11" t="s">
        <v>212</v>
      </c>
    </row>
    <row r="9" spans="1:24" x14ac:dyDescent="0.2">
      <c r="E9" s="99" t="s">
        <v>6</v>
      </c>
      <c r="G9" s="99" t="s">
        <v>7</v>
      </c>
      <c r="I9" s="99" t="s">
        <v>18</v>
      </c>
      <c r="K9" s="99" t="s">
        <v>38</v>
      </c>
      <c r="L9" s="99"/>
      <c r="M9" s="99" t="s">
        <v>50</v>
      </c>
      <c r="N9" s="99"/>
      <c r="O9" s="99" t="s">
        <v>262</v>
      </c>
    </row>
    <row r="10" spans="1:24" x14ac:dyDescent="0.2">
      <c r="C10" s="56" t="s">
        <v>121</v>
      </c>
      <c r="D10" s="56"/>
      <c r="E10" s="56"/>
      <c r="U10" s="4">
        <f>A!$G$10</f>
        <v>3638800730.0279121</v>
      </c>
      <c r="V10" s="1" t="s">
        <v>154</v>
      </c>
    </row>
    <row r="11" spans="1:24" x14ac:dyDescent="0.2">
      <c r="A11" s="99">
        <v>1</v>
      </c>
      <c r="C11" s="28" t="s">
        <v>26</v>
      </c>
      <c r="D11" s="28"/>
      <c r="E11" s="83">
        <f>'D P2 Forecasted Period'!E12</f>
        <v>2317060805</v>
      </c>
      <c r="G11" s="29">
        <f>'D P2 Forecasted Period'!S12</f>
        <v>0.43246883509245709</v>
      </c>
      <c r="I11" s="29">
        <f>'D P2 Forecasted Period'!U12</f>
        <v>4.1200000000000001E-2</v>
      </c>
      <c r="K11" s="29">
        <f>ROUND(G11*I11,12)</f>
        <v>1.7817716006E-2</v>
      </c>
      <c r="L11" s="29"/>
      <c r="M11" s="116">
        <v>1.0049999999999999</v>
      </c>
      <c r="N11" s="29"/>
      <c r="O11" s="29">
        <f>ROUND(K11*M11,4)</f>
        <v>1.7899999999999999E-2</v>
      </c>
    </row>
    <row r="12" spans="1:24" x14ac:dyDescent="0.2">
      <c r="A12" s="52">
        <f>A11+1</f>
        <v>2</v>
      </c>
      <c r="C12" s="28" t="s">
        <v>25</v>
      </c>
      <c r="D12" s="28"/>
      <c r="E12" s="83">
        <f>'D P2 Forecasted Period'!E13</f>
        <v>187655067</v>
      </c>
      <c r="G12" s="29">
        <f>'D P2 Forecasted Period'!S13</f>
        <v>3.5024962757182962E-2</v>
      </c>
      <c r="I12" s="29">
        <f>'D P2 Forecasted Period'!U13</f>
        <v>8.2000000000000007E-3</v>
      </c>
      <c r="K12" s="29">
        <f>ROUND(G12*I12,12)</f>
        <v>2.8720469499999998E-4</v>
      </c>
      <c r="L12" s="29"/>
      <c r="M12" s="116">
        <v>1.0049999999999999</v>
      </c>
      <c r="N12" s="29"/>
      <c r="O12" s="29">
        <f t="shared" ref="O12:O13" si="0">ROUND(K12*M12,4)</f>
        <v>2.9999999999999997E-4</v>
      </c>
      <c r="T12" s="85">
        <f>G12*I12</f>
        <v>2.8720469460890029E-4</v>
      </c>
    </row>
    <row r="13" spans="1:24" x14ac:dyDescent="0.2">
      <c r="A13" s="52">
        <f>A12+1</f>
        <v>3</v>
      </c>
      <c r="C13" s="28" t="s">
        <v>27</v>
      </c>
      <c r="D13" s="28"/>
      <c r="E13" s="83">
        <f>'D P2 Forecasted Period'!E14</f>
        <v>2853540399</v>
      </c>
      <c r="G13" s="29">
        <f>'D P2 Forecasted Period'!S14</f>
        <v>0.53250620215036004</v>
      </c>
      <c r="I13" s="31">
        <f>'D P2 Forecasted Period'!U14</f>
        <v>0.1023</v>
      </c>
      <c r="K13" s="29">
        <f>ROUND(G13*I13,12)</f>
        <v>5.447538448E-2</v>
      </c>
      <c r="L13" s="29"/>
      <c r="M13" s="116">
        <f>'A-1'!I22</f>
        <v>0</v>
      </c>
      <c r="N13" s="29"/>
      <c r="O13" s="29">
        <f t="shared" si="0"/>
        <v>0</v>
      </c>
      <c r="T13" s="85">
        <f>G13*I13</f>
        <v>5.4475384479981834E-2</v>
      </c>
    </row>
    <row r="14" spans="1:24" ht="13.5" thickBot="1" x14ac:dyDescent="0.25">
      <c r="A14" s="52">
        <f t="shared" ref="A14" si="1">A13+1</f>
        <v>4</v>
      </c>
      <c r="C14" s="28" t="s">
        <v>28</v>
      </c>
      <c r="D14" s="28"/>
      <c r="E14" s="102">
        <f>SUM(E11:E13)</f>
        <v>5358256271</v>
      </c>
      <c r="G14" s="32">
        <f>SUM(G11:G13)</f>
        <v>1</v>
      </c>
      <c r="I14" s="31"/>
      <c r="K14" s="103">
        <f>ROUND(SUM(K10:K13),12)</f>
        <v>7.2580305181000004E-2</v>
      </c>
      <c r="L14" s="112"/>
      <c r="M14" s="112"/>
      <c r="N14" s="112"/>
      <c r="O14" s="103">
        <f>ROUND(SUM(O10:O13),4)</f>
        <v>1.8200000000000001E-2</v>
      </c>
      <c r="T14" s="84">
        <f>ROUND(SUM(T10:T13),6)</f>
        <v>5.4762999999999999E-2</v>
      </c>
      <c r="V14" s="4">
        <f>T14*A!$G$10</f>
        <v>199271644.37851855</v>
      </c>
      <c r="W14" s="86">
        <f>T14</f>
        <v>5.4762999999999999E-2</v>
      </c>
    </row>
    <row r="15" spans="1:24" ht="12" customHeight="1" thickTop="1" x14ac:dyDescent="0.2">
      <c r="I15" s="13"/>
      <c r="J15" s="13"/>
      <c r="K15" s="13"/>
      <c r="L15" s="13"/>
      <c r="M15" s="13"/>
      <c r="N15" s="13"/>
      <c r="O15" s="13"/>
      <c r="Q15" s="111" t="s">
        <v>195</v>
      </c>
      <c r="V15" s="44">
        <f>U10*K14</f>
        <v>264105267.47827148</v>
      </c>
      <c r="W15" s="86">
        <f>K14</f>
        <v>7.2580305181000004E-2</v>
      </c>
    </row>
    <row r="16" spans="1:24" x14ac:dyDescent="0.2">
      <c r="C16" s="57" t="s">
        <v>169</v>
      </c>
      <c r="D16" s="57"/>
      <c r="E16" s="57"/>
      <c r="Q16" s="101">
        <f>B!I40</f>
        <v>3769770730.668829</v>
      </c>
      <c r="U16" s="27" t="s">
        <v>155</v>
      </c>
      <c r="V16" s="44">
        <v>24389625</v>
      </c>
      <c r="X16" s="87">
        <f>V16/$U$10</f>
        <v>6.7026547507076364E-3</v>
      </c>
    </row>
    <row r="17" spans="1:22" x14ac:dyDescent="0.2">
      <c r="A17" s="58">
        <f>A14+1</f>
        <v>5</v>
      </c>
      <c r="C17" s="28" t="s">
        <v>26</v>
      </c>
      <c r="D17" s="28"/>
      <c r="E17" s="83">
        <f>'D P2 Forecasted Period'!E19</f>
        <v>2317060805</v>
      </c>
      <c r="G17" s="29">
        <f>'D P2 Forecasted Period'!S19</f>
        <v>0.43246883509245709</v>
      </c>
      <c r="I17" s="29">
        <f>'D P2 '!W19</f>
        <v>4.1173858867490497E-2</v>
      </c>
      <c r="K17" s="29">
        <f>ROUND(G17*I17,12)</f>
        <v>1.7806410780999999E-2</v>
      </c>
      <c r="L17" s="29"/>
      <c r="M17" s="116">
        <v>1.0049999999999999</v>
      </c>
      <c r="N17" s="29"/>
      <c r="O17" s="29">
        <f>ROUND(K17*M17,4)</f>
        <v>1.7899999999999999E-2</v>
      </c>
      <c r="Q17" s="4">
        <f>ROUND($Q$16*K17,0)</f>
        <v>67126086</v>
      </c>
      <c r="U17" s="27" t="s">
        <v>126</v>
      </c>
      <c r="V17" s="44">
        <f>V16-V15</f>
        <v>-239715642.47827148</v>
      </c>
    </row>
    <row r="18" spans="1:22" x14ac:dyDescent="0.2">
      <c r="A18" s="52">
        <f t="shared" ref="A18:A20" si="2">A17+1</f>
        <v>6</v>
      </c>
      <c r="C18" s="28" t="s">
        <v>25</v>
      </c>
      <c r="D18" s="28"/>
      <c r="E18" s="83">
        <f>'D P2 Forecasted Period'!E20</f>
        <v>187655067</v>
      </c>
      <c r="G18" s="29">
        <f>'D P2 Forecasted Period'!S20</f>
        <v>3.5024962757182962E-2</v>
      </c>
      <c r="I18" s="29">
        <f>'D P2 '!W20</f>
        <v>7.4212675614836578E-3</v>
      </c>
      <c r="K18" s="29">
        <f>ROUND(G18*I18,12)</f>
        <v>2.5992962000000001E-4</v>
      </c>
      <c r="L18" s="29"/>
      <c r="M18" s="116">
        <v>1.0049999999999999</v>
      </c>
      <c r="N18" s="29"/>
      <c r="O18" s="29">
        <f t="shared" ref="O18:O19" si="3">ROUND(K18*M18,4)</f>
        <v>2.9999999999999997E-4</v>
      </c>
      <c r="Q18" s="4">
        <f t="shared" ref="Q18:Q19" si="4">ROUND($Q$16*K18,0)</f>
        <v>979875</v>
      </c>
    </row>
    <row r="19" spans="1:22" x14ac:dyDescent="0.2">
      <c r="A19" s="52">
        <f t="shared" si="2"/>
        <v>7</v>
      </c>
      <c r="C19" s="28" t="s">
        <v>27</v>
      </c>
      <c r="D19" s="28"/>
      <c r="E19" s="83">
        <f>'D P2 Forecasted Period'!E21</f>
        <v>2853540399</v>
      </c>
      <c r="G19" s="29">
        <f>'D P2 Forecasted Period'!S21</f>
        <v>0.53250620215036004</v>
      </c>
      <c r="I19" s="31">
        <f>'D P2 '!W21</f>
        <v>8.7499999999999994E-2</v>
      </c>
      <c r="K19" s="29">
        <f>ROUND(G19*I19,12)</f>
        <v>4.6594292688E-2</v>
      </c>
      <c r="L19" s="29"/>
      <c r="M19" s="116">
        <f>'A-1'!I28</f>
        <v>0.38750052800000001</v>
      </c>
      <c r="N19" s="29"/>
      <c r="O19" s="29">
        <f t="shared" si="3"/>
        <v>1.8100000000000002E-2</v>
      </c>
      <c r="Q19" s="4">
        <f t="shared" si="4"/>
        <v>175649801</v>
      </c>
      <c r="S19" s="1" t="s">
        <v>196</v>
      </c>
      <c r="T19" s="1" t="s">
        <v>29</v>
      </c>
    </row>
    <row r="20" spans="1:22" ht="13.5" thickBot="1" x14ac:dyDescent="0.25">
      <c r="A20" s="52">
        <f t="shared" si="2"/>
        <v>8</v>
      </c>
      <c r="C20" s="28" t="s">
        <v>28</v>
      </c>
      <c r="D20" s="28"/>
      <c r="E20" s="102">
        <f>SUM(E17:E19)</f>
        <v>5358256271</v>
      </c>
      <c r="G20" s="32">
        <f>SUM(G17:G19)</f>
        <v>1</v>
      </c>
      <c r="I20" s="31"/>
      <c r="K20" s="103">
        <f>ROUND(SUM(K16:K19),12)</f>
        <v>6.4660633088999997E-2</v>
      </c>
      <c r="L20" s="112"/>
      <c r="M20" s="112"/>
      <c r="N20" s="112"/>
      <c r="O20" s="103">
        <f>ROUND(SUM(O16:O19),4)</f>
        <v>3.6299999999999999E-2</v>
      </c>
      <c r="Q20" s="45">
        <f>SUM(Q17:Q19)</f>
        <v>243755762</v>
      </c>
      <c r="S20" s="4">
        <f>A!I12</f>
        <v>228614765.70873138</v>
      </c>
      <c r="T20" s="44">
        <f>Q20-S20</f>
        <v>15140996.291268617</v>
      </c>
      <c r="U20" s="59"/>
    </row>
    <row r="21" spans="1:22" ht="13.5" thickTop="1" x14ac:dyDescent="0.2">
      <c r="A21" s="52"/>
      <c r="C21" s="28"/>
      <c r="D21" s="28"/>
      <c r="E21" s="28"/>
      <c r="I21" s="31"/>
      <c r="K21" s="60"/>
      <c r="L21" s="112"/>
      <c r="M21" s="112"/>
      <c r="N21" s="112"/>
      <c r="O21" s="112"/>
      <c r="S21" s="1" t="s">
        <v>197</v>
      </c>
    </row>
    <row r="22" spans="1:22" ht="13.5" thickBot="1" x14ac:dyDescent="0.25">
      <c r="A22" s="58">
        <f>A20+1</f>
        <v>9</v>
      </c>
      <c r="C22" s="28" t="s">
        <v>29</v>
      </c>
      <c r="D22" s="28"/>
      <c r="E22" s="28"/>
      <c r="G22" s="1" t="s">
        <v>180</v>
      </c>
      <c r="K22" s="61">
        <f>K20-K14</f>
        <v>-7.9196720920000074E-3</v>
      </c>
      <c r="L22" s="33"/>
      <c r="M22" s="33"/>
      <c r="N22" s="33"/>
      <c r="O22" s="33"/>
    </row>
    <row r="23" spans="1:22" ht="14.25" customHeight="1" thickTop="1" x14ac:dyDescent="0.2">
      <c r="A23" s="58"/>
      <c r="C23" s="28"/>
      <c r="D23" s="28"/>
      <c r="E23" s="28"/>
      <c r="K23" s="33"/>
      <c r="L23" s="33"/>
      <c r="M23" s="33"/>
      <c r="N23" s="33"/>
      <c r="O23" s="33"/>
    </row>
    <row r="24" spans="1:22" ht="13.5" thickBot="1" x14ac:dyDescent="0.25">
      <c r="A24" s="58">
        <f>A22+1</f>
        <v>10</v>
      </c>
      <c r="C24" s="130" t="s">
        <v>186</v>
      </c>
      <c r="D24" s="130"/>
      <c r="E24" s="130"/>
      <c r="F24" s="130"/>
      <c r="G24" s="130" t="s">
        <v>249</v>
      </c>
      <c r="H24" s="130"/>
      <c r="I24" s="130"/>
      <c r="J24" s="130"/>
      <c r="K24" s="133">
        <f>SUM(K17:K18)</f>
        <v>1.8066340400999997E-2</v>
      </c>
      <c r="L24" s="37"/>
      <c r="M24" s="37"/>
      <c r="N24" s="37"/>
      <c r="O24" s="133">
        <f>SUM(O17:O18)</f>
        <v>1.8200000000000001E-2</v>
      </c>
    </row>
    <row r="25" spans="1:22" ht="12.75" customHeight="1" thickTop="1" x14ac:dyDescent="0.2">
      <c r="A25" s="58"/>
      <c r="C25" s="130"/>
      <c r="D25" s="130"/>
      <c r="E25" s="130"/>
      <c r="F25" s="130"/>
      <c r="G25" s="130"/>
      <c r="H25" s="130"/>
      <c r="I25" s="130"/>
      <c r="J25" s="130"/>
      <c r="K25" s="132"/>
      <c r="L25" s="37"/>
      <c r="M25" s="37"/>
      <c r="N25" s="37"/>
      <c r="O25" s="37"/>
    </row>
    <row r="26" spans="1:22" ht="15" customHeight="1" x14ac:dyDescent="0.2"/>
    <row r="27" spans="1:22" ht="15.75" customHeight="1" x14ac:dyDescent="0.2">
      <c r="A27" s="2" t="s">
        <v>39</v>
      </c>
      <c r="B27" s="2"/>
      <c r="C27" s="62"/>
      <c r="D27" s="62"/>
      <c r="E27" s="6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3"/>
      <c r="R27" s="13"/>
      <c r="S27" s="13"/>
    </row>
    <row r="28" spans="1:22" x14ac:dyDescent="0.2">
      <c r="A28" s="13" t="s">
        <v>323</v>
      </c>
      <c r="B28" s="13"/>
      <c r="D28" s="51"/>
      <c r="E28" s="5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2" s="130" customFormat="1" x14ac:dyDescent="0.2">
      <c r="A29" s="135" t="s">
        <v>253</v>
      </c>
      <c r="B29" s="51"/>
      <c r="C29" s="51"/>
      <c r="D29" s="131"/>
      <c r="E29" s="13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22" x14ac:dyDescent="0.2">
      <c r="A30" s="13" t="s">
        <v>264</v>
      </c>
      <c r="B30" s="13"/>
      <c r="C30" s="51" t="s">
        <v>247</v>
      </c>
      <c r="D30" s="63"/>
      <c r="E30" s="6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22" x14ac:dyDescent="0.2">
      <c r="A31" s="13" t="s">
        <v>263</v>
      </c>
      <c r="B31" s="13"/>
      <c r="C31" s="51" t="s">
        <v>247</v>
      </c>
      <c r="D31" s="63"/>
      <c r="E31" s="6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2" x14ac:dyDescent="0.2">
      <c r="A32" s="13"/>
      <c r="B32" s="13"/>
      <c r="C32" s="13"/>
      <c r="D32" s="13"/>
      <c r="E32" s="51"/>
      <c r="F32" s="51"/>
      <c r="G32" s="51"/>
      <c r="H32" s="13"/>
      <c r="I32" s="104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">
      <c r="A33" s="135"/>
      <c r="B33" s="13"/>
      <c r="C33" s="13"/>
      <c r="D33" s="13"/>
      <c r="E33" s="51"/>
      <c r="F33" s="51"/>
      <c r="G33" s="51"/>
      <c r="H33" s="13"/>
      <c r="I33" s="104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">
      <c r="C34" s="51"/>
      <c r="D34" s="51"/>
      <c r="E34" s="51"/>
      <c r="F34" s="13"/>
      <c r="G34" s="13"/>
      <c r="H34" s="13"/>
      <c r="I34" s="33"/>
      <c r="J34" s="13"/>
      <c r="K34" s="13"/>
      <c r="L34" s="13"/>
      <c r="M34" s="13"/>
      <c r="N34" s="13"/>
      <c r="O34" s="13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workbookViewId="0">
      <selection activeCell="H63" sqref="H63"/>
    </sheetView>
  </sheetViews>
  <sheetFormatPr defaultRowHeight="12.75" x14ac:dyDescent="0.2"/>
  <cols>
    <col min="1" max="1" width="6.140625" style="1" customWidth="1"/>
    <col min="2" max="2" width="1.140625" style="1" customWidth="1"/>
    <col min="3" max="3" width="37.28515625" style="1" customWidth="1"/>
    <col min="4" max="4" width="2.85546875" style="1" customWidth="1"/>
    <col min="5" max="5" width="10" style="1" bestFit="1" customWidth="1"/>
    <col min="6" max="6" width="0.85546875" style="1" customWidth="1"/>
    <col min="7" max="7" width="15.140625" style="1" bestFit="1" customWidth="1"/>
    <col min="8" max="8" width="0.85546875" style="1" customWidth="1"/>
    <col min="9" max="9" width="16.85546875" style="1" bestFit="1" customWidth="1"/>
    <col min="10" max="10" width="2" style="1" customWidth="1"/>
    <col min="11" max="11" width="15.85546875" style="1" customWidth="1"/>
    <col min="12" max="12" width="2" style="1" customWidth="1"/>
    <col min="13" max="13" width="13.7109375" style="1" customWidth="1"/>
    <col min="14" max="14" width="2.5703125" style="1" customWidth="1"/>
    <col min="15" max="15" width="13.28515625" style="1" customWidth="1"/>
    <col min="16" max="16" width="3.7109375" style="1" customWidth="1"/>
    <col min="17" max="16384" width="9.140625" style="1"/>
  </cols>
  <sheetData>
    <row r="1" spans="1:16" x14ac:dyDescent="0.2">
      <c r="A1" s="1" t="str">
        <f>Contents!A1</f>
        <v>Kentucky Utilities Company</v>
      </c>
      <c r="O1" s="27" t="str">
        <f>A!$K$1</f>
        <v>Exhibit RCS-1</v>
      </c>
    </row>
    <row r="2" spans="1:16" x14ac:dyDescent="0.2">
      <c r="A2" s="1" t="s">
        <v>59</v>
      </c>
      <c r="O2" s="27" t="s">
        <v>99</v>
      </c>
    </row>
    <row r="3" spans="1:16" x14ac:dyDescent="0.2">
      <c r="O3" s="27" t="str">
        <f>'Ap2'!$M$3</f>
        <v>Case No. 2016-00370</v>
      </c>
    </row>
    <row r="4" spans="1:16" x14ac:dyDescent="0.2">
      <c r="A4" s="1" t="s">
        <v>328</v>
      </c>
      <c r="O4" s="27" t="s">
        <v>37</v>
      </c>
    </row>
    <row r="7" spans="1:16" x14ac:dyDescent="0.2">
      <c r="A7" s="3" t="s">
        <v>0</v>
      </c>
      <c r="I7" s="274" t="s">
        <v>47</v>
      </c>
      <c r="J7" s="274"/>
      <c r="K7" s="274"/>
      <c r="M7" s="274" t="s">
        <v>158</v>
      </c>
      <c r="N7" s="274"/>
      <c r="O7" s="274"/>
    </row>
    <row r="8" spans="1:16" x14ac:dyDescent="0.2">
      <c r="A8" s="11" t="s">
        <v>2</v>
      </c>
      <c r="C8" s="2" t="s">
        <v>3</v>
      </c>
      <c r="D8" s="13"/>
      <c r="E8" s="11" t="s">
        <v>15</v>
      </c>
      <c r="F8" s="13"/>
      <c r="G8" s="11" t="s">
        <v>60</v>
      </c>
      <c r="I8" s="11" t="s">
        <v>377</v>
      </c>
      <c r="K8" s="11" t="s">
        <v>378</v>
      </c>
      <c r="M8" s="11" t="s">
        <v>377</v>
      </c>
      <c r="N8" s="99"/>
      <c r="O8" s="11" t="s">
        <v>378</v>
      </c>
    </row>
    <row r="9" spans="1:16" x14ac:dyDescent="0.2">
      <c r="A9" s="3"/>
      <c r="I9" s="3" t="s">
        <v>6</v>
      </c>
      <c r="K9" s="99" t="s">
        <v>7</v>
      </c>
      <c r="L9" s="99"/>
      <c r="M9" s="99" t="s">
        <v>18</v>
      </c>
      <c r="N9" s="99"/>
      <c r="O9" s="99" t="s">
        <v>38</v>
      </c>
    </row>
    <row r="10" spans="1:16" x14ac:dyDescent="0.2">
      <c r="A10" s="3"/>
    </row>
    <row r="11" spans="1:16" x14ac:dyDescent="0.2">
      <c r="A11" s="3">
        <v>1</v>
      </c>
      <c r="C11" s="1" t="s">
        <v>61</v>
      </c>
      <c r="I11" s="87">
        <v>1</v>
      </c>
      <c r="K11" s="87">
        <f>I11</f>
        <v>1</v>
      </c>
      <c r="L11" s="87"/>
      <c r="M11" s="87">
        <f>I11</f>
        <v>1</v>
      </c>
      <c r="N11" s="87"/>
      <c r="O11" s="87">
        <f>M11</f>
        <v>1</v>
      </c>
    </row>
    <row r="12" spans="1:16" x14ac:dyDescent="0.2">
      <c r="A12" s="3">
        <f>A11+1</f>
        <v>2</v>
      </c>
      <c r="C12" s="1" t="s">
        <v>287</v>
      </c>
      <c r="E12" s="129" t="s">
        <v>765</v>
      </c>
      <c r="G12" s="96"/>
      <c r="I12" s="144">
        <v>3.5200000000000001E-3</v>
      </c>
      <c r="K12" s="87">
        <f>I12</f>
        <v>3.5200000000000001E-3</v>
      </c>
      <c r="L12" s="87"/>
      <c r="M12" s="87">
        <f>'C-5'!G27</f>
        <v>3.2000000000000002E-3</v>
      </c>
      <c r="N12" s="87" t="s">
        <v>698</v>
      </c>
      <c r="O12" s="87">
        <f>M12</f>
        <v>3.2000000000000002E-3</v>
      </c>
      <c r="P12" s="87" t="s">
        <v>698</v>
      </c>
    </row>
    <row r="13" spans="1:16" x14ac:dyDescent="0.2">
      <c r="A13" s="94">
        <f t="shared" ref="A13:A20" si="0">A12+1</f>
        <v>3</v>
      </c>
      <c r="C13" s="1" t="s">
        <v>288</v>
      </c>
      <c r="E13" s="99" t="s">
        <v>156</v>
      </c>
      <c r="G13" s="96"/>
      <c r="I13" s="144">
        <v>1.941E-3</v>
      </c>
      <c r="K13" s="87">
        <f>I13</f>
        <v>1.941E-3</v>
      </c>
      <c r="L13" s="87"/>
      <c r="M13" s="87">
        <f>I13</f>
        <v>1.941E-3</v>
      </c>
      <c r="N13" s="87"/>
      <c r="O13" s="87">
        <f>M13</f>
        <v>1.941E-3</v>
      </c>
    </row>
    <row r="14" spans="1:16" x14ac:dyDescent="0.2">
      <c r="A14" s="99">
        <f t="shared" si="0"/>
        <v>4</v>
      </c>
      <c r="C14" s="1" t="s">
        <v>289</v>
      </c>
      <c r="E14" s="99"/>
      <c r="G14" s="96"/>
      <c r="I14" s="144">
        <v>3.3360000000000001E-2</v>
      </c>
      <c r="K14" s="87"/>
      <c r="L14" s="87"/>
      <c r="M14" s="87">
        <f>I14</f>
        <v>3.3360000000000001E-2</v>
      </c>
      <c r="N14" s="87"/>
      <c r="O14" s="87"/>
    </row>
    <row r="15" spans="1:16" x14ac:dyDescent="0.2">
      <c r="A15" s="99">
        <f t="shared" si="0"/>
        <v>5</v>
      </c>
      <c r="C15" s="1" t="s">
        <v>110</v>
      </c>
      <c r="E15" s="99"/>
      <c r="I15" s="147">
        <f>I11-I12-I13-I14</f>
        <v>0.96117900000000001</v>
      </c>
      <c r="K15" s="147">
        <f>K11-K12-K13-K14</f>
        <v>0.99453900000000006</v>
      </c>
      <c r="L15" s="87"/>
      <c r="M15" s="147">
        <f>M11-M12-M13-M14</f>
        <v>0.9614990000000001</v>
      </c>
      <c r="N15" s="87"/>
      <c r="O15" s="147">
        <f>O11-O12-O13-O14</f>
        <v>0.99485900000000005</v>
      </c>
    </row>
    <row r="16" spans="1:16" ht="13.5" thickBot="1" x14ac:dyDescent="0.25">
      <c r="A16" s="94">
        <f t="shared" si="0"/>
        <v>6</v>
      </c>
      <c r="C16" s="1" t="s">
        <v>62</v>
      </c>
      <c r="E16" s="99" t="s">
        <v>156</v>
      </c>
      <c r="G16" s="100">
        <v>0.06</v>
      </c>
      <c r="I16" s="163">
        <f>I15*G16</f>
        <v>5.7670739999999998E-2</v>
      </c>
      <c r="K16" s="87">
        <f>I16</f>
        <v>5.7670739999999998E-2</v>
      </c>
      <c r="L16" s="87"/>
      <c r="M16" s="163">
        <f>M15*G16</f>
        <v>5.7689940000000002E-2</v>
      </c>
      <c r="N16" s="87"/>
      <c r="O16" s="87">
        <f>M16</f>
        <v>5.7689940000000002E-2</v>
      </c>
    </row>
    <row r="17" spans="1:15" ht="13.5" thickTop="1" x14ac:dyDescent="0.2">
      <c r="A17" s="99">
        <f t="shared" si="0"/>
        <v>7</v>
      </c>
      <c r="C17" s="1" t="s">
        <v>290</v>
      </c>
      <c r="E17" s="99"/>
      <c r="G17" s="100"/>
      <c r="I17" s="144"/>
      <c r="K17" s="145"/>
      <c r="L17" s="87"/>
      <c r="M17" s="87"/>
      <c r="N17" s="87"/>
      <c r="O17" s="145"/>
    </row>
    <row r="18" spans="1:15" x14ac:dyDescent="0.2">
      <c r="A18" s="99">
        <f t="shared" si="0"/>
        <v>8</v>
      </c>
      <c r="C18" s="1" t="s">
        <v>63</v>
      </c>
      <c r="E18" s="99"/>
      <c r="G18" s="3"/>
      <c r="I18" s="146"/>
      <c r="K18" s="87">
        <f>K15-K16</f>
        <v>0.93686826000000001</v>
      </c>
      <c r="L18" s="87"/>
      <c r="M18" s="87"/>
      <c r="N18" s="87"/>
      <c r="O18" s="87">
        <f>O15-O16</f>
        <v>0.93716906</v>
      </c>
    </row>
    <row r="19" spans="1:15" x14ac:dyDescent="0.2">
      <c r="A19" s="94">
        <f t="shared" si="0"/>
        <v>9</v>
      </c>
      <c r="C19" s="1" t="s">
        <v>64</v>
      </c>
      <c r="E19" s="99" t="s">
        <v>156</v>
      </c>
      <c r="G19" s="17">
        <v>0.35</v>
      </c>
      <c r="K19" s="87">
        <f>K18*G19</f>
        <v>0.327903891</v>
      </c>
      <c r="L19" s="87"/>
      <c r="M19" s="87"/>
      <c r="N19" s="87"/>
      <c r="O19" s="87">
        <f>O18*G19</f>
        <v>0.32800917099999999</v>
      </c>
    </row>
    <row r="20" spans="1:15" ht="13.5" thickBot="1" x14ac:dyDescent="0.25">
      <c r="A20" s="94">
        <f t="shared" si="0"/>
        <v>10</v>
      </c>
      <c r="C20" s="1" t="s">
        <v>65</v>
      </c>
      <c r="E20" s="99"/>
      <c r="K20" s="163">
        <f>K18-K19</f>
        <v>0.60896436899999995</v>
      </c>
      <c r="L20" s="87"/>
      <c r="M20" s="87"/>
      <c r="N20" s="87"/>
      <c r="O20" s="163">
        <f>O18-O19</f>
        <v>0.60915988900000007</v>
      </c>
    </row>
    <row r="21" spans="1:15" ht="13.5" thickTop="1" x14ac:dyDescent="0.2">
      <c r="A21" s="3"/>
      <c r="E21" s="99"/>
      <c r="G21" s="5"/>
    </row>
    <row r="22" spans="1:15" ht="13.5" thickBot="1" x14ac:dyDescent="0.25">
      <c r="A22" s="3">
        <f>A20+1</f>
        <v>11</v>
      </c>
      <c r="C22" s="1" t="s">
        <v>59</v>
      </c>
      <c r="E22" s="99" t="s">
        <v>156</v>
      </c>
      <c r="G22" s="26"/>
      <c r="K22" s="164">
        <f>K11/K20</f>
        <v>1.6421322016625246</v>
      </c>
      <c r="L22" s="98"/>
      <c r="O22" s="164">
        <f>O11/O20</f>
        <v>1.6416051320148557</v>
      </c>
    </row>
    <row r="23" spans="1:15" ht="13.5" thickTop="1" x14ac:dyDescent="0.2"/>
    <row r="24" spans="1:15" x14ac:dyDescent="0.2">
      <c r="A24" s="2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s="12" t="s">
        <v>157</v>
      </c>
      <c r="B25" s="13"/>
      <c r="C25" s="1" t="s">
        <v>291</v>
      </c>
      <c r="D25" s="13"/>
      <c r="E25" s="13"/>
      <c r="F25" s="13"/>
      <c r="G25" s="13"/>
      <c r="H25" s="13"/>
      <c r="I25" s="13"/>
    </row>
    <row r="26" spans="1:15" x14ac:dyDescent="0.2">
      <c r="A26" s="99" t="s">
        <v>698</v>
      </c>
      <c r="C26" s="1" t="s">
        <v>764</v>
      </c>
    </row>
    <row r="27" spans="1:15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15" ht="13.5" thickBot="1" x14ac:dyDescent="0.25">
      <c r="A28" s="12">
        <f>A22+1</f>
        <v>12</v>
      </c>
      <c r="B28" s="13"/>
      <c r="C28" s="1" t="s">
        <v>114</v>
      </c>
      <c r="G28" s="41"/>
      <c r="I28" s="165">
        <v>0.38750052800000001</v>
      </c>
      <c r="K28" s="136" t="s">
        <v>768</v>
      </c>
    </row>
    <row r="29" spans="1:15" ht="13.5" thickTop="1" x14ac:dyDescent="0.2">
      <c r="A29" s="73"/>
      <c r="B29" s="13"/>
      <c r="I29" s="72"/>
    </row>
    <row r="30" spans="1:15" x14ac:dyDescent="0.2">
      <c r="C30" s="14" t="s">
        <v>168</v>
      </c>
      <c r="E30" s="51"/>
      <c r="F30" s="13"/>
      <c r="G30" s="13"/>
      <c r="H30" s="13"/>
      <c r="I30" s="13"/>
      <c r="J30" s="13"/>
      <c r="K30" s="13"/>
    </row>
    <row r="31" spans="1:15" x14ac:dyDescent="0.2">
      <c r="C31" s="14"/>
      <c r="E31" s="91" t="s">
        <v>161</v>
      </c>
      <c r="F31" s="12"/>
      <c r="G31" s="11" t="s">
        <v>158</v>
      </c>
      <c r="H31" s="12"/>
      <c r="J31" s="13"/>
      <c r="K31" s="13"/>
    </row>
    <row r="32" spans="1:15" x14ac:dyDescent="0.2">
      <c r="C32" s="14"/>
      <c r="E32" s="42"/>
      <c r="F32" s="12"/>
      <c r="G32" s="11"/>
      <c r="H32" s="12"/>
      <c r="J32" s="13"/>
      <c r="K32" s="13"/>
    </row>
    <row r="33" spans="1:11" x14ac:dyDescent="0.2">
      <c r="A33" s="3">
        <f>A28+1</f>
        <v>13</v>
      </c>
      <c r="C33" s="1" t="s">
        <v>171</v>
      </c>
      <c r="F33" s="13"/>
      <c r="G33" s="47">
        <f>A!I16</f>
        <v>25086238.378990967</v>
      </c>
      <c r="H33" s="13"/>
      <c r="J33" s="13"/>
      <c r="K33" s="13"/>
    </row>
    <row r="34" spans="1:11" x14ac:dyDescent="0.2">
      <c r="A34" s="3"/>
      <c r="C34" s="1" t="s">
        <v>172</v>
      </c>
      <c r="F34" s="13"/>
      <c r="G34" s="4"/>
      <c r="H34" s="13"/>
      <c r="J34" s="13"/>
      <c r="K34" s="13"/>
    </row>
    <row r="35" spans="1:11" x14ac:dyDescent="0.2">
      <c r="A35" s="12">
        <f>A33+1</f>
        <v>14</v>
      </c>
      <c r="B35" s="13"/>
      <c r="C35" s="13" t="str">
        <f>C12</f>
        <v>Less: Uncollectible Accounts Expense</v>
      </c>
      <c r="D35" s="13"/>
      <c r="E35" s="166">
        <f>O12</f>
        <v>3.2000000000000002E-3</v>
      </c>
      <c r="F35" s="13"/>
      <c r="G35" s="4">
        <f>ROUND($G$33*E35,0)</f>
        <v>80276</v>
      </c>
      <c r="H35" s="13"/>
      <c r="J35" s="13"/>
      <c r="K35" s="13"/>
    </row>
    <row r="36" spans="1:11" x14ac:dyDescent="0.2">
      <c r="A36" s="97">
        <f t="shared" ref="A36:A40" si="1">A35+1</f>
        <v>15</v>
      </c>
      <c r="B36" s="13"/>
      <c r="C36" s="1" t="s">
        <v>678</v>
      </c>
      <c r="D36" s="13"/>
      <c r="E36" s="166">
        <f>O13</f>
        <v>1.941E-3</v>
      </c>
      <c r="F36" s="13"/>
      <c r="G36" s="4">
        <f>ROUND($G$33*E36,0)</f>
        <v>48692</v>
      </c>
      <c r="H36" s="13"/>
      <c r="J36" s="13"/>
      <c r="K36" s="13"/>
    </row>
    <row r="37" spans="1:11" x14ac:dyDescent="0.2">
      <c r="A37" s="97">
        <f t="shared" si="1"/>
        <v>16</v>
      </c>
      <c r="C37" s="1" t="s">
        <v>112</v>
      </c>
      <c r="E37" s="167">
        <f>O16</f>
        <v>5.7689940000000002E-2</v>
      </c>
      <c r="G37" s="4">
        <f>ROUND($G$33*E37,0)</f>
        <v>1447224</v>
      </c>
    </row>
    <row r="38" spans="1:11" x14ac:dyDescent="0.2">
      <c r="A38" s="3">
        <f t="shared" si="1"/>
        <v>17</v>
      </c>
      <c r="C38" s="1" t="s">
        <v>113</v>
      </c>
      <c r="E38" s="167">
        <f>O19</f>
        <v>0.32800917099999999</v>
      </c>
      <c r="G38" s="4">
        <f>ROUND($G$33*E38,0)</f>
        <v>8228516</v>
      </c>
    </row>
    <row r="39" spans="1:11" x14ac:dyDescent="0.2">
      <c r="A39" s="97">
        <f t="shared" si="1"/>
        <v>18</v>
      </c>
      <c r="C39" s="1" t="s">
        <v>83</v>
      </c>
      <c r="E39" s="167">
        <f>O20</f>
        <v>0.60915988900000007</v>
      </c>
      <c r="G39" s="4">
        <f>ROUND($G$33*E39,0)</f>
        <v>15281530</v>
      </c>
    </row>
    <row r="40" spans="1:11" ht="13.5" thickBot="1" x14ac:dyDescent="0.25">
      <c r="A40" s="3">
        <f t="shared" si="1"/>
        <v>19</v>
      </c>
      <c r="C40" s="1" t="s">
        <v>174</v>
      </c>
      <c r="E40" s="168">
        <f>SUM(E35:E39)</f>
        <v>1</v>
      </c>
      <c r="G40" s="45">
        <f>SUM(G35:G39)</f>
        <v>25086238</v>
      </c>
    </row>
    <row r="41" spans="1:11" ht="13.5" thickTop="1" x14ac:dyDescent="0.2"/>
    <row r="42" spans="1:11" x14ac:dyDescent="0.2">
      <c r="A42"/>
      <c r="B42"/>
      <c r="C42"/>
      <c r="D42"/>
      <c r="E42"/>
      <c r="F42"/>
      <c r="G42"/>
      <c r="H42"/>
      <c r="I42"/>
      <c r="J42"/>
    </row>
    <row r="43" spans="1:11" x14ac:dyDescent="0.2">
      <c r="A43"/>
      <c r="B43"/>
      <c r="C43"/>
      <c r="D43"/>
      <c r="E43"/>
      <c r="F43"/>
      <c r="G43"/>
      <c r="H43"/>
      <c r="I43"/>
      <c r="J43"/>
    </row>
    <row r="44" spans="1:11" x14ac:dyDescent="0.2">
      <c r="A44"/>
      <c r="B44"/>
      <c r="C44"/>
      <c r="D44"/>
      <c r="E44"/>
      <c r="F44"/>
      <c r="G44"/>
      <c r="H44"/>
      <c r="I44"/>
      <c r="J44"/>
    </row>
    <row r="45" spans="1:11" x14ac:dyDescent="0.2">
      <c r="A45"/>
      <c r="B45"/>
      <c r="C45"/>
      <c r="D45"/>
      <c r="E45"/>
      <c r="F45"/>
      <c r="G45"/>
      <c r="H45"/>
      <c r="I45"/>
      <c r="J45"/>
    </row>
    <row r="46" spans="1:11" x14ac:dyDescent="0.2">
      <c r="A46"/>
      <c r="B46"/>
      <c r="C46"/>
      <c r="D46"/>
      <c r="E46"/>
      <c r="F46"/>
      <c r="G46"/>
      <c r="H46"/>
      <c r="I46"/>
      <c r="J46"/>
    </row>
    <row r="47" spans="1:11" x14ac:dyDescent="0.2">
      <c r="A47"/>
      <c r="B47"/>
      <c r="C47"/>
      <c r="D47"/>
      <c r="E47"/>
      <c r="F47"/>
      <c r="G47"/>
      <c r="H47"/>
      <c r="I47"/>
      <c r="J47"/>
    </row>
    <row r="48" spans="1:11" x14ac:dyDescent="0.2">
      <c r="A48"/>
      <c r="B48"/>
      <c r="C48"/>
      <c r="D48"/>
      <c r="E48"/>
      <c r="F48"/>
      <c r="G48"/>
      <c r="H48"/>
      <c r="I48"/>
      <c r="J48"/>
    </row>
    <row r="49" spans="1:10" x14ac:dyDescent="0.2">
      <c r="A49"/>
      <c r="B49"/>
      <c r="C49"/>
      <c r="D49"/>
      <c r="E49"/>
      <c r="F49"/>
      <c r="G49"/>
      <c r="H49"/>
      <c r="I49"/>
      <c r="J49"/>
    </row>
    <row r="50" spans="1:10" x14ac:dyDescent="0.2">
      <c r="A50"/>
      <c r="B50"/>
      <c r="C50"/>
      <c r="D50"/>
      <c r="E50"/>
      <c r="F50"/>
      <c r="G50"/>
      <c r="H50"/>
      <c r="I50"/>
      <c r="J50"/>
    </row>
    <row r="51" spans="1:10" x14ac:dyDescent="0.2">
      <c r="A51"/>
      <c r="B51"/>
      <c r="C51"/>
      <c r="D51"/>
      <c r="E51"/>
      <c r="F51"/>
      <c r="G51"/>
      <c r="H51"/>
      <c r="I51"/>
      <c r="J51"/>
    </row>
    <row r="52" spans="1:10" x14ac:dyDescent="0.2">
      <c r="A52"/>
      <c r="B52"/>
      <c r="C52"/>
      <c r="D52"/>
      <c r="E52"/>
      <c r="F52"/>
      <c r="G52"/>
      <c r="H52"/>
      <c r="I52"/>
      <c r="J52"/>
    </row>
    <row r="53" spans="1:10" x14ac:dyDescent="0.2">
      <c r="A53"/>
      <c r="B53"/>
      <c r="C53"/>
      <c r="D53"/>
      <c r="E53"/>
      <c r="F53"/>
      <c r="G53"/>
      <c r="H53"/>
      <c r="I53"/>
      <c r="J53"/>
    </row>
    <row r="54" spans="1:10" x14ac:dyDescent="0.2">
      <c r="A54"/>
      <c r="B54"/>
      <c r="C54"/>
      <c r="D54"/>
      <c r="E54"/>
      <c r="F54"/>
      <c r="G54"/>
      <c r="H54"/>
      <c r="I54"/>
      <c r="J54"/>
    </row>
    <row r="55" spans="1:10" x14ac:dyDescent="0.2">
      <c r="A55"/>
      <c r="B55"/>
      <c r="C55"/>
      <c r="D55"/>
      <c r="E55"/>
      <c r="F55"/>
      <c r="G55"/>
      <c r="H55"/>
      <c r="I55"/>
      <c r="J55"/>
    </row>
    <row r="56" spans="1:10" x14ac:dyDescent="0.2">
      <c r="A56"/>
      <c r="B56"/>
      <c r="C56"/>
      <c r="D56"/>
      <c r="E56"/>
      <c r="F56"/>
      <c r="G56"/>
      <c r="H56"/>
      <c r="I56"/>
      <c r="J56"/>
    </row>
    <row r="57" spans="1:10" x14ac:dyDescent="0.2">
      <c r="A57"/>
      <c r="B57"/>
      <c r="C57"/>
      <c r="D57"/>
      <c r="E57"/>
      <c r="F57"/>
      <c r="G57"/>
      <c r="H57"/>
      <c r="I57"/>
      <c r="J57"/>
    </row>
    <row r="58" spans="1:10" x14ac:dyDescent="0.2">
      <c r="A58"/>
      <c r="B58"/>
      <c r="C58"/>
      <c r="D58"/>
      <c r="E58"/>
      <c r="F58"/>
      <c r="G58"/>
      <c r="H58"/>
      <c r="I58"/>
      <c r="J58"/>
    </row>
    <row r="59" spans="1:10" x14ac:dyDescent="0.2">
      <c r="A59"/>
      <c r="B59"/>
      <c r="C59"/>
      <c r="D59"/>
      <c r="E59"/>
      <c r="F59"/>
      <c r="G59"/>
      <c r="H59"/>
      <c r="I59"/>
      <c r="J59"/>
    </row>
    <row r="60" spans="1:10" x14ac:dyDescent="0.2">
      <c r="A60"/>
      <c r="B60"/>
      <c r="C60"/>
      <c r="D60"/>
      <c r="E60"/>
      <c r="F60"/>
      <c r="G60"/>
      <c r="H60"/>
      <c r="I60"/>
      <c r="J60"/>
    </row>
    <row r="61" spans="1:10" x14ac:dyDescent="0.2">
      <c r="A61"/>
      <c r="B61"/>
      <c r="C61"/>
      <c r="D61"/>
      <c r="E61"/>
      <c r="F61"/>
      <c r="G61"/>
      <c r="H61"/>
      <c r="I61"/>
      <c r="J61"/>
    </row>
    <row r="62" spans="1:10" x14ac:dyDescent="0.2">
      <c r="A62"/>
      <c r="B62"/>
      <c r="C62"/>
      <c r="D62"/>
      <c r="E62"/>
      <c r="F62"/>
      <c r="G62"/>
      <c r="H62"/>
      <c r="I62"/>
      <c r="J62"/>
    </row>
    <row r="63" spans="1:10" x14ac:dyDescent="0.2">
      <c r="A63"/>
      <c r="B63"/>
      <c r="C63"/>
      <c r="D63"/>
      <c r="E63"/>
      <c r="F63"/>
      <c r="G63"/>
      <c r="H63"/>
      <c r="I63"/>
      <c r="J63"/>
    </row>
    <row r="64" spans="1:10" x14ac:dyDescent="0.2">
      <c r="A64"/>
      <c r="B64"/>
      <c r="C64"/>
      <c r="D64"/>
      <c r="E64"/>
      <c r="F64"/>
      <c r="G64"/>
      <c r="H64"/>
      <c r="I64"/>
      <c r="J64"/>
    </row>
    <row r="65" spans="1:10" x14ac:dyDescent="0.2">
      <c r="A65"/>
      <c r="B65"/>
      <c r="C65"/>
      <c r="D65"/>
      <c r="E65"/>
      <c r="F65"/>
      <c r="G65"/>
      <c r="H65"/>
      <c r="I65"/>
      <c r="J65"/>
    </row>
    <row r="66" spans="1:10" x14ac:dyDescent="0.2">
      <c r="A66"/>
      <c r="B66"/>
      <c r="C66"/>
      <c r="D66"/>
      <c r="E66"/>
      <c r="F66"/>
      <c r="G66"/>
      <c r="H66"/>
      <c r="I66"/>
      <c r="J66"/>
    </row>
    <row r="67" spans="1:10" x14ac:dyDescent="0.2">
      <c r="A67"/>
      <c r="B67"/>
      <c r="C67"/>
      <c r="D67"/>
      <c r="E67"/>
      <c r="F67"/>
      <c r="G67"/>
      <c r="H67"/>
      <c r="I67"/>
      <c r="J67"/>
    </row>
    <row r="68" spans="1:10" x14ac:dyDescent="0.2">
      <c r="A68"/>
      <c r="B68"/>
      <c r="C68"/>
      <c r="D68"/>
      <c r="E68"/>
      <c r="F68"/>
      <c r="G68"/>
      <c r="H68"/>
      <c r="I68"/>
      <c r="J68"/>
    </row>
    <row r="69" spans="1:10" x14ac:dyDescent="0.2">
      <c r="A69"/>
      <c r="B69"/>
      <c r="C69"/>
      <c r="D69"/>
      <c r="E69"/>
      <c r="F69"/>
      <c r="G69"/>
      <c r="H69"/>
      <c r="I69"/>
      <c r="J69"/>
    </row>
    <row r="70" spans="1:10" x14ac:dyDescent="0.2">
      <c r="A70"/>
      <c r="B70"/>
      <c r="C70"/>
      <c r="D70"/>
      <c r="E70"/>
      <c r="F70"/>
      <c r="G70"/>
      <c r="H70"/>
      <c r="I70"/>
      <c r="J70"/>
    </row>
    <row r="71" spans="1:10" x14ac:dyDescent="0.2">
      <c r="A71"/>
      <c r="B71"/>
      <c r="C71"/>
      <c r="D71"/>
      <c r="E71"/>
      <c r="F71"/>
      <c r="G71"/>
      <c r="H71"/>
      <c r="I71"/>
      <c r="J71"/>
    </row>
    <row r="72" spans="1:10" x14ac:dyDescent="0.2">
      <c r="A72"/>
      <c r="B72"/>
      <c r="C72"/>
      <c r="D72"/>
      <c r="E72"/>
      <c r="F72"/>
      <c r="G72"/>
      <c r="H72"/>
      <c r="I72"/>
      <c r="J72"/>
    </row>
  </sheetData>
  <mergeCells count="2">
    <mergeCell ref="I7:K7"/>
    <mergeCell ref="M7:O7"/>
  </mergeCells>
  <pageMargins left="0.75" right="0.75" top="0.56999999999999995" bottom="0.36" header="0.5" footer="0.27"/>
  <pageSetup scale="87" orientation="landscape" horizontalDpi="1200" verticalDpi="1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9"/>
  <sheetViews>
    <sheetView zoomScaleSheetLayoutView="80" workbookViewId="0">
      <selection activeCell="E63" sqref="E63"/>
    </sheetView>
  </sheetViews>
  <sheetFormatPr defaultRowHeight="12.75" x14ac:dyDescent="0.2"/>
  <cols>
    <col min="1" max="1" width="4.7109375" style="4" customWidth="1"/>
    <col min="2" max="2" width="1.85546875" style="4" customWidth="1"/>
    <col min="3" max="3" width="26.5703125" style="4" customWidth="1"/>
    <col min="4" max="4" width="1.28515625" style="4" customWidth="1"/>
    <col min="5" max="5" width="16.5703125" style="4" bestFit="1" customWidth="1"/>
    <col min="6" max="6" width="1.5703125" style="4" customWidth="1"/>
    <col min="7" max="7" width="17" style="4" bestFit="1" customWidth="1"/>
    <col min="8" max="8" width="1.42578125" style="4" customWidth="1"/>
    <col min="9" max="9" width="16.28515625" style="4" bestFit="1" customWidth="1"/>
    <col min="10" max="10" width="1.5703125" style="4" customWidth="1"/>
    <col min="11" max="11" width="15.42578125" style="4" bestFit="1" customWidth="1"/>
    <col min="12" max="12" width="1.42578125" style="4" customWidth="1"/>
    <col min="13" max="13" width="16.28515625" style="4" bestFit="1" customWidth="1"/>
    <col min="14" max="14" width="1.5703125" style="4" customWidth="1"/>
    <col min="15" max="15" width="15.28515625" style="4" bestFit="1" customWidth="1"/>
    <col min="16" max="16" width="1.140625" style="4" customWidth="1"/>
    <col min="17" max="17" width="16.28515625" style="4" bestFit="1" customWidth="1"/>
    <col min="18" max="18" width="1.5703125" style="4" customWidth="1"/>
    <col min="19" max="19" width="14.28515625" style="4" bestFit="1" customWidth="1"/>
    <col min="20" max="20" width="1.42578125" style="4" customWidth="1"/>
    <col min="21" max="21" width="13.85546875" style="4" bestFit="1" customWidth="1"/>
    <col min="22" max="22" width="1.140625" style="4" customWidth="1"/>
    <col min="23" max="23" width="14.140625" style="4" bestFit="1" customWidth="1"/>
    <col min="24" max="24" width="1.28515625" style="4" customWidth="1"/>
    <col min="25" max="25" width="1.7109375" style="4" customWidth="1"/>
    <col min="26" max="26" width="2.7109375" style="4" customWidth="1"/>
    <col min="27" max="27" width="9.140625" style="4"/>
    <col min="28" max="28" width="16.28515625" style="4" bestFit="1" customWidth="1"/>
    <col min="29" max="29" width="12.28515625" style="4" bestFit="1" customWidth="1"/>
    <col min="30" max="30" width="11.5703125" style="4" bestFit="1" customWidth="1"/>
    <col min="31" max="31" width="11.140625" style="4" bestFit="1" customWidth="1"/>
    <col min="32" max="16384" width="9.140625" style="4"/>
  </cols>
  <sheetData>
    <row r="1" spans="1:25" x14ac:dyDescent="0.2">
      <c r="A1" s="1" t="str">
        <f>Contents!A1</f>
        <v>Kentucky Utilities Company</v>
      </c>
      <c r="B1" s="1"/>
      <c r="C1" s="1"/>
      <c r="D1" s="1"/>
      <c r="E1" s="1"/>
      <c r="F1" s="1"/>
      <c r="G1" s="1"/>
      <c r="H1" s="10"/>
      <c r="I1" s="1"/>
      <c r="Q1" s="16"/>
      <c r="W1" s="27" t="str">
        <f>Contents!A3</f>
        <v>Exhibit RCS-1</v>
      </c>
    </row>
    <row r="2" spans="1:25" x14ac:dyDescent="0.2">
      <c r="A2" s="1" t="s">
        <v>221</v>
      </c>
      <c r="B2" s="1"/>
      <c r="C2" s="1"/>
      <c r="D2" s="1"/>
      <c r="E2" s="1"/>
      <c r="F2" s="1"/>
      <c r="G2" s="1"/>
      <c r="H2" s="10"/>
      <c r="I2" s="1"/>
      <c r="Q2" s="16"/>
      <c r="W2" s="27" t="s">
        <v>102</v>
      </c>
    </row>
    <row r="3" spans="1:25" x14ac:dyDescent="0.2">
      <c r="A3" s="1"/>
      <c r="B3" s="1"/>
      <c r="C3" s="1"/>
      <c r="D3" s="1"/>
      <c r="E3" s="1"/>
      <c r="F3" s="1"/>
      <c r="G3" s="1"/>
      <c r="H3" s="10"/>
      <c r="I3" s="1"/>
      <c r="Q3" s="118"/>
      <c r="W3" s="27" t="str">
        <f>Contents!A2</f>
        <v>Case No. 2016-00370</v>
      </c>
    </row>
    <row r="4" spans="1:25" x14ac:dyDescent="0.2">
      <c r="A4" s="1" t="s">
        <v>276</v>
      </c>
      <c r="B4" s="1"/>
      <c r="C4" s="1"/>
      <c r="D4" s="1"/>
      <c r="E4" s="1"/>
      <c r="F4" s="1"/>
      <c r="G4" s="1"/>
      <c r="H4" s="10"/>
      <c r="I4" s="1"/>
      <c r="W4" s="27" t="s">
        <v>192</v>
      </c>
    </row>
    <row r="7" spans="1:25" x14ac:dyDescent="0.2">
      <c r="A7" s="16"/>
      <c r="B7" s="16"/>
      <c r="C7" s="16"/>
      <c r="D7" s="16"/>
      <c r="E7" s="16"/>
      <c r="F7" s="16"/>
      <c r="G7" s="46"/>
      <c r="H7" s="16"/>
      <c r="I7" s="16"/>
      <c r="J7" s="16"/>
      <c r="K7" s="16" t="s">
        <v>220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x14ac:dyDescent="0.2">
      <c r="A8" s="16" t="s">
        <v>0</v>
      </c>
      <c r="B8" s="16"/>
      <c r="C8" s="16"/>
      <c r="D8" s="16"/>
      <c r="E8" s="16" t="s">
        <v>218</v>
      </c>
      <c r="F8" s="16"/>
      <c r="G8" s="16" t="s">
        <v>248</v>
      </c>
      <c r="H8" s="16"/>
      <c r="I8" s="16" t="s">
        <v>191</v>
      </c>
      <c r="J8" s="16"/>
      <c r="K8" s="16" t="s">
        <v>49</v>
      </c>
      <c r="L8" s="16"/>
      <c r="M8" s="16" t="s">
        <v>220</v>
      </c>
      <c r="N8" s="16"/>
      <c r="O8" s="16" t="s">
        <v>220</v>
      </c>
      <c r="P8" s="16"/>
      <c r="Q8" s="16" t="s">
        <v>220</v>
      </c>
      <c r="R8" s="16"/>
      <c r="S8" s="16" t="s">
        <v>161</v>
      </c>
      <c r="T8" s="16"/>
      <c r="U8" s="16" t="s">
        <v>20</v>
      </c>
      <c r="V8" s="16"/>
      <c r="W8" s="16" t="s">
        <v>297</v>
      </c>
      <c r="X8" s="16"/>
      <c r="Y8" s="16"/>
    </row>
    <row r="9" spans="1:25" x14ac:dyDescent="0.2">
      <c r="A9" s="23" t="s">
        <v>2</v>
      </c>
      <c r="B9" s="16"/>
      <c r="C9" s="121" t="s">
        <v>3</v>
      </c>
      <c r="D9" s="16"/>
      <c r="E9" s="23" t="s">
        <v>219</v>
      </c>
      <c r="F9" s="16"/>
      <c r="G9" s="23" t="s">
        <v>16</v>
      </c>
      <c r="H9" s="16"/>
      <c r="I9" s="23" t="s">
        <v>21</v>
      </c>
      <c r="J9" s="16"/>
      <c r="K9" s="23" t="s">
        <v>293</v>
      </c>
      <c r="L9" s="16"/>
      <c r="M9" s="23" t="s">
        <v>21</v>
      </c>
      <c r="N9" s="16"/>
      <c r="O9" s="23" t="s">
        <v>4</v>
      </c>
      <c r="P9" s="16"/>
      <c r="Q9" s="23" t="s">
        <v>295</v>
      </c>
      <c r="R9" s="16"/>
      <c r="S9" s="23" t="s">
        <v>296</v>
      </c>
      <c r="T9" s="16"/>
      <c r="U9" s="23" t="s">
        <v>23</v>
      </c>
      <c r="V9" s="16"/>
      <c r="W9" s="23" t="s">
        <v>22</v>
      </c>
      <c r="X9" s="16"/>
      <c r="Y9" s="16"/>
    </row>
    <row r="10" spans="1:25" x14ac:dyDescent="0.2">
      <c r="E10" s="16" t="s">
        <v>6</v>
      </c>
      <c r="F10" s="16"/>
      <c r="G10" s="16" t="s">
        <v>7</v>
      </c>
      <c r="H10" s="16"/>
      <c r="I10" s="16" t="s">
        <v>292</v>
      </c>
      <c r="J10" s="16"/>
      <c r="K10" s="16" t="s">
        <v>38</v>
      </c>
      <c r="L10" s="16"/>
      <c r="M10" s="16" t="s">
        <v>294</v>
      </c>
      <c r="N10" s="16"/>
      <c r="O10" s="16" t="s">
        <v>51</v>
      </c>
      <c r="P10" s="16"/>
      <c r="Q10" s="16" t="s">
        <v>299</v>
      </c>
      <c r="R10" s="16"/>
      <c r="S10" s="16" t="s">
        <v>70</v>
      </c>
      <c r="T10" s="16"/>
      <c r="U10" s="16" t="s">
        <v>129</v>
      </c>
      <c r="V10" s="16"/>
      <c r="W10" s="16" t="s">
        <v>298</v>
      </c>
      <c r="X10" s="16"/>
      <c r="Y10" s="16"/>
    </row>
    <row r="11" spans="1:25" x14ac:dyDescent="0.2">
      <c r="C11" s="138" t="s">
        <v>121</v>
      </c>
    </row>
    <row r="12" spans="1:25" x14ac:dyDescent="0.2">
      <c r="A12" s="122">
        <v>1</v>
      </c>
      <c r="C12" s="4" t="s">
        <v>26</v>
      </c>
      <c r="E12" s="4">
        <v>2313737916</v>
      </c>
      <c r="G12" s="4">
        <v>-557061</v>
      </c>
      <c r="I12" s="4">
        <f>E12+G12</f>
        <v>2313180855</v>
      </c>
      <c r="K12" s="148">
        <v>0.89100000000000001</v>
      </c>
      <c r="M12" s="119">
        <f>I12*K12</f>
        <v>2061044141.8050001</v>
      </c>
      <c r="O12" s="119">
        <v>-430103512</v>
      </c>
      <c r="Q12" s="119">
        <f>M12+O12</f>
        <v>1630940629.8050001</v>
      </c>
      <c r="S12" s="149">
        <f>M12/$M$15</f>
        <v>0.45616162375038949</v>
      </c>
      <c r="T12" s="149"/>
      <c r="U12" s="148">
        <v>4.1000000000000002E-2</v>
      </c>
      <c r="V12" s="149"/>
      <c r="W12" s="149">
        <f>S12*U12</f>
        <v>1.8702626573765969E-2</v>
      </c>
    </row>
    <row r="13" spans="1:25" x14ac:dyDescent="0.2">
      <c r="A13" s="122">
        <v>2</v>
      </c>
      <c r="C13" s="4" t="s">
        <v>25</v>
      </c>
      <c r="E13" s="4">
        <v>0</v>
      </c>
      <c r="K13" s="148">
        <v>0.89100000000000001</v>
      </c>
      <c r="M13" s="119"/>
      <c r="O13" s="119"/>
      <c r="Q13" s="119"/>
      <c r="S13" s="149">
        <f>M13/$M$15</f>
        <v>0</v>
      </c>
      <c r="T13" s="149"/>
      <c r="U13" s="148">
        <v>6.4999999999999997E-3</v>
      </c>
      <c r="V13" s="149"/>
      <c r="W13" s="149">
        <f>S13*U13</f>
        <v>0</v>
      </c>
    </row>
    <row r="14" spans="1:25" x14ac:dyDescent="0.2">
      <c r="A14" s="122">
        <v>4</v>
      </c>
      <c r="C14" s="4" t="s">
        <v>27</v>
      </c>
      <c r="E14" s="47">
        <v>2758955153</v>
      </c>
      <c r="G14" s="47">
        <v>-1168319</v>
      </c>
      <c r="I14" s="4">
        <f t="shared" ref="I14" si="0">E14+G14</f>
        <v>2757786834</v>
      </c>
      <c r="K14" s="148">
        <v>0.89100000000000001</v>
      </c>
      <c r="M14" s="119">
        <f t="shared" ref="M14" si="1">I14*K14</f>
        <v>2457188069.0939999</v>
      </c>
      <c r="O14" s="123">
        <v>-512771753</v>
      </c>
      <c r="Q14" s="119">
        <f t="shared" ref="Q14" si="2">M14+O14</f>
        <v>1944416316.0939999</v>
      </c>
      <c r="S14" s="149">
        <f>M14/$M$15</f>
        <v>0.54383837624961051</v>
      </c>
      <c r="T14" s="149"/>
      <c r="U14" s="151">
        <v>0.1023</v>
      </c>
      <c r="V14" s="149"/>
      <c r="W14" s="149">
        <f>S14*U14</f>
        <v>5.563466589033516E-2</v>
      </c>
    </row>
    <row r="15" spans="1:25" ht="13.5" thickBot="1" x14ac:dyDescent="0.25">
      <c r="A15" s="122">
        <v>7</v>
      </c>
      <c r="C15" s="4" t="s">
        <v>28</v>
      </c>
      <c r="E15" s="18">
        <f>SUM(E12:E14)</f>
        <v>5072693069</v>
      </c>
      <c r="F15" s="16"/>
      <c r="G15" s="18">
        <f t="shared" ref="G15:W15" si="3">SUM(G12:G14)</f>
        <v>-1725380</v>
      </c>
      <c r="H15" s="16"/>
      <c r="I15" s="18">
        <f t="shared" si="3"/>
        <v>5070967689</v>
      </c>
      <c r="J15" s="16"/>
      <c r="K15" s="16"/>
      <c r="L15" s="16"/>
      <c r="M15" s="18">
        <f t="shared" si="3"/>
        <v>4518232210.8990002</v>
      </c>
      <c r="N15" s="16"/>
      <c r="O15" s="18">
        <f t="shared" si="3"/>
        <v>-942875265</v>
      </c>
      <c r="P15" s="16"/>
      <c r="Q15" s="18">
        <f t="shared" si="3"/>
        <v>3575356945.8990002</v>
      </c>
      <c r="R15" s="16"/>
      <c r="S15" s="150">
        <f t="shared" si="3"/>
        <v>1</v>
      </c>
      <c r="T15" s="16"/>
      <c r="U15" s="46"/>
      <c r="V15" s="16"/>
      <c r="W15" s="150">
        <f t="shared" si="3"/>
        <v>7.4337292464101132E-2</v>
      </c>
      <c r="X15" s="16"/>
      <c r="Y15" s="16"/>
    </row>
    <row r="16" spans="1:25" ht="13.5" thickTop="1" x14ac:dyDescent="0.2">
      <c r="A16" s="12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31" x14ac:dyDescent="0.2">
      <c r="A17" s="12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31" x14ac:dyDescent="0.2">
      <c r="A18" s="16"/>
      <c r="C18" s="138" t="s">
        <v>258</v>
      </c>
    </row>
    <row r="19" spans="1:31" x14ac:dyDescent="0.2">
      <c r="A19" s="122">
        <v>8</v>
      </c>
      <c r="C19" s="4" t="s">
        <v>26</v>
      </c>
      <c r="E19" s="4">
        <v>2313737916</v>
      </c>
      <c r="G19" s="4">
        <v>-557061</v>
      </c>
      <c r="I19" s="4">
        <f>E19+G19</f>
        <v>2313180855</v>
      </c>
      <c r="K19" s="148">
        <v>0.89100000000000001</v>
      </c>
      <c r="M19" s="119">
        <f>I19*K19</f>
        <v>2061044141.8050001</v>
      </c>
      <c r="O19" s="119">
        <v>-430103512</v>
      </c>
      <c r="Q19" s="119">
        <f>M19+O19</f>
        <v>1630940629.8050001</v>
      </c>
      <c r="S19" s="149">
        <f>M19/$M$22</f>
        <v>0.45616162375038949</v>
      </c>
      <c r="T19" s="149"/>
      <c r="U19" s="148">
        <v>4.1000000000000002E-2</v>
      </c>
      <c r="V19" s="149"/>
      <c r="W19" s="149">
        <f>S19*U19</f>
        <v>1.8702626573765969E-2</v>
      </c>
      <c r="AB19" s="4" t="e">
        <f>#REF!</f>
        <v>#REF!</v>
      </c>
      <c r="AC19" s="92" t="e">
        <f>AB19/#REF!</f>
        <v>#REF!</v>
      </c>
      <c r="AD19" s="92">
        <f>G38</f>
        <v>0.45611628468901555</v>
      </c>
      <c r="AE19" s="92" t="e">
        <f>AD19-AC19</f>
        <v>#REF!</v>
      </c>
    </row>
    <row r="20" spans="1:31" x14ac:dyDescent="0.2">
      <c r="A20" s="122">
        <v>9</v>
      </c>
      <c r="C20" s="4" t="s">
        <v>25</v>
      </c>
      <c r="E20" s="4">
        <v>0</v>
      </c>
      <c r="K20" s="148">
        <v>0.89100000000000001</v>
      </c>
      <c r="M20" s="119"/>
      <c r="O20" s="119"/>
      <c r="Q20" s="119"/>
      <c r="S20" s="149">
        <f t="shared" ref="S20:S21" si="4">M20/$M$22</f>
        <v>0</v>
      </c>
      <c r="T20" s="149"/>
      <c r="U20" s="148">
        <v>6.4999999999999997E-3</v>
      </c>
      <c r="V20" s="149"/>
      <c r="W20" s="149">
        <f>S20*U20</f>
        <v>0</v>
      </c>
      <c r="AC20" s="92"/>
      <c r="AD20" s="92"/>
    </row>
    <row r="21" spans="1:31" x14ac:dyDescent="0.2">
      <c r="A21" s="122">
        <v>11</v>
      </c>
      <c r="C21" s="4" t="s">
        <v>27</v>
      </c>
      <c r="E21" s="47">
        <v>2758955153</v>
      </c>
      <c r="G21" s="47">
        <v>-1168319</v>
      </c>
      <c r="I21" s="4">
        <f t="shared" ref="I21" si="5">E21+G21</f>
        <v>2757786834</v>
      </c>
      <c r="K21" s="148">
        <v>0.89100000000000001</v>
      </c>
      <c r="M21" s="119">
        <f t="shared" ref="M21" si="6">I21*K21</f>
        <v>2457188069.0939999</v>
      </c>
      <c r="O21" s="123">
        <v>-512771753</v>
      </c>
      <c r="Q21" s="119">
        <f t="shared" ref="Q21" si="7">M21+O21</f>
        <v>1944416316.0939999</v>
      </c>
      <c r="S21" s="149">
        <f t="shared" si="4"/>
        <v>0.54383837624961051</v>
      </c>
      <c r="T21" s="149"/>
      <c r="U21" s="151">
        <v>0.1023</v>
      </c>
      <c r="V21" s="149"/>
      <c r="W21" s="149">
        <f>S21*U21</f>
        <v>5.563466589033516E-2</v>
      </c>
      <c r="AB21" s="4" t="e">
        <f>#REF!</f>
        <v>#REF!</v>
      </c>
      <c r="AC21" s="92" t="e">
        <f>AB21/#REF!</f>
        <v>#REF!</v>
      </c>
      <c r="AD21" s="92">
        <f>G39</f>
        <v>0.54388371531098445</v>
      </c>
      <c r="AE21" s="92" t="e">
        <f>AD21-AC21</f>
        <v>#REF!</v>
      </c>
    </row>
    <row r="22" spans="1:31" ht="13.5" thickBot="1" x14ac:dyDescent="0.25">
      <c r="A22" s="122">
        <v>14</v>
      </c>
      <c r="C22" s="4" t="s">
        <v>28</v>
      </c>
      <c r="E22" s="18">
        <f>SUM(E19:E21)</f>
        <v>5072693069</v>
      </c>
      <c r="F22" s="16"/>
      <c r="G22" s="18">
        <f t="shared" ref="G22" si="8">SUM(G19:G21)</f>
        <v>-1725380</v>
      </c>
      <c r="H22" s="16"/>
      <c r="I22" s="18">
        <f t="shared" ref="I22" si="9">SUM(I19:I21)</f>
        <v>5070967689</v>
      </c>
      <c r="J22" s="16"/>
      <c r="K22" s="16"/>
      <c r="L22" s="16"/>
      <c r="M22" s="18">
        <f t="shared" ref="M22" si="10">SUM(M19:M21)</f>
        <v>4518232210.8990002</v>
      </c>
      <c r="N22" s="16"/>
      <c r="O22" s="18">
        <f t="shared" ref="O22" si="11">SUM(O19:O21)</f>
        <v>-942875265</v>
      </c>
      <c r="P22" s="16"/>
      <c r="Q22" s="18">
        <f t="shared" ref="Q22" si="12">SUM(Q19:Q21)</f>
        <v>3575356945.8990002</v>
      </c>
      <c r="R22" s="16"/>
      <c r="S22" s="150">
        <f t="shared" ref="S22" si="13">SUM(S19:S21)</f>
        <v>1</v>
      </c>
      <c r="T22" s="16"/>
      <c r="U22" s="46"/>
      <c r="V22" s="16"/>
      <c r="W22" s="150">
        <f t="shared" ref="W22" si="14">SUM(W19:W21)</f>
        <v>7.4337292464101132E-2</v>
      </c>
      <c r="X22" s="117"/>
      <c r="Y22" s="117"/>
    </row>
    <row r="23" spans="1:31" ht="13.5" thickTop="1" x14ac:dyDescent="0.2">
      <c r="A23" s="16"/>
    </row>
    <row r="24" spans="1:31" x14ac:dyDescent="0.2">
      <c r="A24" s="16"/>
    </row>
    <row r="25" spans="1:31" x14ac:dyDescent="0.2">
      <c r="A25" s="121" t="s">
        <v>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1:31" x14ac:dyDescent="0.2">
      <c r="A26" s="4" t="s">
        <v>324</v>
      </c>
    </row>
    <row r="27" spans="1:31" x14ac:dyDescent="0.2">
      <c r="A27" s="4" t="s">
        <v>259</v>
      </c>
      <c r="C27" s="4" t="s">
        <v>260</v>
      </c>
    </row>
    <row r="28" spans="1:31" x14ac:dyDescent="0.2">
      <c r="C28" s="4" t="s">
        <v>261</v>
      </c>
    </row>
    <row r="29" spans="1:31" x14ac:dyDescent="0.2">
      <c r="A29" s="4" t="s">
        <v>251</v>
      </c>
      <c r="M29" s="137">
        <v>0.98899999999999999</v>
      </c>
    </row>
    <row r="32" spans="1:31" x14ac:dyDescent="0.2">
      <c r="A32" s="4" t="s">
        <v>257</v>
      </c>
    </row>
    <row r="33" spans="1:23" x14ac:dyDescent="0.2">
      <c r="A33" s="4" t="s">
        <v>256</v>
      </c>
    </row>
    <row r="34" spans="1:23" x14ac:dyDescent="0.2">
      <c r="I34" s="4">
        <v>-18709274</v>
      </c>
      <c r="K34" s="4">
        <v>-147983065.35852003</v>
      </c>
      <c r="M34" s="4">
        <v>-6268345</v>
      </c>
      <c r="O34" s="4">
        <v>-5305554</v>
      </c>
      <c r="Q34" s="4">
        <v>-223164406</v>
      </c>
      <c r="S34" s="4">
        <v>664080</v>
      </c>
      <c r="U34" s="4">
        <v>-4534316</v>
      </c>
      <c r="W34" s="4">
        <v>-6778355</v>
      </c>
    </row>
    <row r="36" spans="1:23" x14ac:dyDescent="0.2">
      <c r="I36" s="4">
        <f>I22-I34</f>
        <v>5089676963</v>
      </c>
    </row>
    <row r="37" spans="1:23" x14ac:dyDescent="0.2">
      <c r="A37" s="4" t="s">
        <v>257</v>
      </c>
    </row>
    <row r="38" spans="1:23" x14ac:dyDescent="0.2">
      <c r="C38" s="4" t="s">
        <v>26</v>
      </c>
      <c r="E38" s="4">
        <f>E12</f>
        <v>2313737916</v>
      </c>
      <c r="G38" s="87">
        <f>E38/$E$40</f>
        <v>0.45611628468901555</v>
      </c>
      <c r="I38" s="4">
        <f>I$15*$G38</f>
        <v>2312950942.0847235</v>
      </c>
      <c r="K38" s="4">
        <f>K$15*$G38</f>
        <v>0</v>
      </c>
      <c r="M38" s="4">
        <f>M$15*$G38</f>
        <v>2060839289.3974886</v>
      </c>
      <c r="O38" s="4">
        <f>O$15*$G38</f>
        <v>-430060762.79697096</v>
      </c>
      <c r="Q38" s="4">
        <f>Q$15*$G38</f>
        <v>1630778526.6005175</v>
      </c>
      <c r="S38" s="4">
        <f>S$15*$G38</f>
        <v>0.45611628468901555</v>
      </c>
      <c r="U38" s="4">
        <f>U$15*$G38</f>
        <v>0</v>
      </c>
      <c r="W38" s="4">
        <f>W$15*$G38</f>
        <v>3.3906449652566562E-2</v>
      </c>
    </row>
    <row r="39" spans="1:23" x14ac:dyDescent="0.2">
      <c r="C39" s="4" t="s">
        <v>27</v>
      </c>
      <c r="E39" s="4">
        <f>E14</f>
        <v>2758955153</v>
      </c>
      <c r="G39" s="87">
        <f>E39/$E$40</f>
        <v>0.54388371531098445</v>
      </c>
      <c r="I39" s="4">
        <f>I$15*$G39</f>
        <v>2758016746.9152765</v>
      </c>
      <c r="K39" s="4">
        <f>K$15*$G39</f>
        <v>0</v>
      </c>
      <c r="M39" s="4">
        <f>M$15*$G39</f>
        <v>2457392921.5015116</v>
      </c>
      <c r="O39" s="4">
        <f>O$15*$G39</f>
        <v>-512814502.20302904</v>
      </c>
      <c r="Q39" s="4">
        <f>Q$15*$G39</f>
        <v>1944578419.2984827</v>
      </c>
      <c r="S39" s="4">
        <f>S$15*$G39</f>
        <v>0.54388371531098445</v>
      </c>
      <c r="U39" s="4">
        <f>U$15*$G39</f>
        <v>0</v>
      </c>
      <c r="W39" s="4">
        <f>W$15*$G39</f>
        <v>4.043084281153457E-2</v>
      </c>
    </row>
    <row r="40" spans="1:23" x14ac:dyDescent="0.2">
      <c r="C40" s="4" t="s">
        <v>28</v>
      </c>
      <c r="E40" s="4">
        <f>SUM(E38:E39)</f>
        <v>5072693069</v>
      </c>
      <c r="G40" s="87">
        <f>SUM(G38:G39)</f>
        <v>1</v>
      </c>
      <c r="I40" s="4">
        <f>SUM(I38:I39)</f>
        <v>5070967689</v>
      </c>
      <c r="K40" s="4">
        <f>SUM(K38:K39)</f>
        <v>0</v>
      </c>
      <c r="M40" s="4">
        <f>SUM(M38:M39)</f>
        <v>4518232210.8990002</v>
      </c>
      <c r="O40" s="4">
        <f>SUM(O38:O39)</f>
        <v>-942875265</v>
      </c>
      <c r="Q40" s="4">
        <f>SUM(Q38:Q39)</f>
        <v>3575356945.8990002</v>
      </c>
      <c r="S40" s="4">
        <f>SUM(S38:S39)</f>
        <v>1</v>
      </c>
      <c r="U40" s="4">
        <f>SUM(U38:U39)</f>
        <v>0</v>
      </c>
      <c r="W40" s="4">
        <f>SUM(W38:W39)</f>
        <v>7.4337292464101132E-2</v>
      </c>
    </row>
    <row r="48" spans="1:23" ht="24" customHeight="1" x14ac:dyDescent="0.2"/>
    <row r="49" ht="24" customHeight="1" x14ac:dyDescent="0.2"/>
    <row r="72" spans="26:26" x14ac:dyDescent="0.2">
      <c r="Z72" s="279"/>
    </row>
    <row r="73" spans="26:26" x14ac:dyDescent="0.2">
      <c r="Z73" s="279"/>
    </row>
    <row r="74" spans="26:26" x14ac:dyDescent="0.2">
      <c r="Z74" s="279"/>
    </row>
    <row r="75" spans="26:26" x14ac:dyDescent="0.2">
      <c r="Z75" s="279"/>
    </row>
    <row r="76" spans="26:26" x14ac:dyDescent="0.2">
      <c r="Z76" s="279"/>
    </row>
    <row r="77" spans="26:26" x14ac:dyDescent="0.2">
      <c r="Z77" s="279"/>
    </row>
    <row r="78" spans="26:26" x14ac:dyDescent="0.2">
      <c r="Z78" s="279"/>
    </row>
    <row r="79" spans="26:26" x14ac:dyDescent="0.2">
      <c r="Z79" s="279"/>
    </row>
  </sheetData>
  <mergeCells count="1">
    <mergeCell ref="Z72:Z79"/>
  </mergeCells>
  <pageMargins left="0.7" right="0.7" top="0.75" bottom="0.75" header="0.3" footer="0.3"/>
  <pageSetup scale="6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workbookViewId="0">
      <selection activeCell="E63" sqref="E63"/>
    </sheetView>
  </sheetViews>
  <sheetFormatPr defaultRowHeight="12.75" x14ac:dyDescent="0.2"/>
  <cols>
    <col min="1" max="1" width="4.7109375" style="4" customWidth="1"/>
    <col min="2" max="2" width="1.85546875" style="4" customWidth="1"/>
    <col min="3" max="3" width="26.5703125" style="4" customWidth="1"/>
    <col min="4" max="4" width="1.28515625" style="4" customWidth="1"/>
    <col min="5" max="5" width="16.5703125" style="4" bestFit="1" customWidth="1"/>
    <col min="6" max="6" width="1.5703125" style="4" customWidth="1"/>
    <col min="7" max="7" width="17" style="4" bestFit="1" customWidth="1"/>
    <col min="8" max="8" width="1.42578125" style="4" customWidth="1"/>
    <col min="9" max="9" width="16.28515625" style="4" bestFit="1" customWidth="1"/>
    <col min="10" max="10" width="1.5703125" style="4" customWidth="1"/>
    <col min="11" max="11" width="15.42578125" style="4" bestFit="1" customWidth="1"/>
    <col min="12" max="12" width="1.42578125" style="4" customWidth="1"/>
    <col min="13" max="13" width="16.28515625" style="4" bestFit="1" customWidth="1"/>
    <col min="14" max="14" width="1.5703125" style="4" customWidth="1"/>
    <col min="15" max="15" width="15.28515625" style="4" bestFit="1" customWidth="1"/>
    <col min="16" max="16" width="1.140625" style="4" customWidth="1"/>
    <col min="17" max="17" width="16.28515625" style="4" bestFit="1" customWidth="1"/>
    <col min="18" max="18" width="1.5703125" style="4" customWidth="1"/>
    <col min="19" max="19" width="14.28515625" style="4" bestFit="1" customWidth="1"/>
    <col min="20" max="20" width="1.42578125" style="4" customWidth="1"/>
    <col min="21" max="21" width="13.85546875" style="4" bestFit="1" customWidth="1"/>
    <col min="22" max="22" width="1.140625" style="4" customWidth="1"/>
    <col min="23" max="23" width="14.140625" style="4" bestFit="1" customWidth="1"/>
    <col min="24" max="24" width="1.28515625" style="4" customWidth="1"/>
    <col min="25" max="25" width="2.7109375" style="4" customWidth="1"/>
    <col min="26" max="26" width="9.140625" style="4"/>
    <col min="27" max="27" width="16.28515625" style="4" bestFit="1" customWidth="1"/>
    <col min="28" max="28" width="12.28515625" style="4" bestFit="1" customWidth="1"/>
    <col min="29" max="29" width="11.5703125" style="4" bestFit="1" customWidth="1"/>
    <col min="30" max="30" width="11.140625" style="4" bestFit="1" customWidth="1"/>
    <col min="31" max="16384" width="9.140625" style="4"/>
  </cols>
  <sheetData>
    <row r="1" spans="1:24" x14ac:dyDescent="0.2">
      <c r="A1" s="1" t="str">
        <f>Contents!A1</f>
        <v>Kentucky Utilities Company</v>
      </c>
      <c r="B1" s="1"/>
      <c r="C1" s="1"/>
      <c r="D1" s="1"/>
      <c r="E1" s="1"/>
      <c r="F1" s="1"/>
      <c r="G1" s="1"/>
      <c r="H1" s="10"/>
      <c r="I1" s="1"/>
      <c r="Q1" s="16"/>
      <c r="W1" s="27" t="str">
        <f>Contents!A3</f>
        <v>Exhibit RCS-1</v>
      </c>
    </row>
    <row r="2" spans="1:24" x14ac:dyDescent="0.2">
      <c r="A2" s="1" t="s">
        <v>221</v>
      </c>
      <c r="B2" s="1"/>
      <c r="C2" s="1"/>
      <c r="D2" s="1"/>
      <c r="E2" s="1"/>
      <c r="F2" s="1"/>
      <c r="G2" s="1"/>
      <c r="H2" s="10"/>
      <c r="I2" s="1"/>
      <c r="Q2" s="16"/>
      <c r="W2" s="27" t="s">
        <v>102</v>
      </c>
    </row>
    <row r="3" spans="1:24" x14ac:dyDescent="0.2">
      <c r="A3" s="1"/>
      <c r="B3" s="1"/>
      <c r="C3" s="1"/>
      <c r="D3" s="1"/>
      <c r="E3" s="1"/>
      <c r="F3" s="1"/>
      <c r="G3" s="1"/>
      <c r="H3" s="10"/>
      <c r="I3" s="1"/>
      <c r="Q3" s="118"/>
      <c r="W3" s="27" t="str">
        <f>Contents!A2</f>
        <v>Case No. 2016-00370</v>
      </c>
    </row>
    <row r="4" spans="1:24" x14ac:dyDescent="0.2">
      <c r="A4" s="1" t="s">
        <v>328</v>
      </c>
      <c r="B4" s="1"/>
      <c r="C4" s="1"/>
      <c r="D4" s="1"/>
      <c r="E4" s="1"/>
      <c r="F4" s="1"/>
      <c r="G4" s="1"/>
      <c r="H4" s="10"/>
      <c r="I4" s="1"/>
      <c r="W4" s="27" t="s">
        <v>192</v>
      </c>
    </row>
    <row r="7" spans="1:24" x14ac:dyDescent="0.2">
      <c r="A7" s="16"/>
      <c r="B7" s="16"/>
      <c r="C7" s="16"/>
      <c r="D7" s="16"/>
      <c r="E7" s="16"/>
      <c r="F7" s="16"/>
      <c r="G7" s="46"/>
      <c r="H7" s="16"/>
      <c r="I7" s="16"/>
      <c r="J7" s="16"/>
      <c r="K7" s="16" t="s">
        <v>220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x14ac:dyDescent="0.2">
      <c r="A8" s="16" t="s">
        <v>0</v>
      </c>
      <c r="B8" s="16"/>
      <c r="C8" s="16"/>
      <c r="D8" s="16"/>
      <c r="E8" s="16" t="s">
        <v>218</v>
      </c>
      <c r="F8" s="16"/>
      <c r="G8" s="16" t="s">
        <v>248</v>
      </c>
      <c r="H8" s="16"/>
      <c r="I8" s="16" t="s">
        <v>191</v>
      </c>
      <c r="J8" s="16"/>
      <c r="K8" s="16" t="s">
        <v>49</v>
      </c>
      <c r="L8" s="16"/>
      <c r="M8" s="16" t="s">
        <v>220</v>
      </c>
      <c r="N8" s="16"/>
      <c r="O8" s="16" t="s">
        <v>220</v>
      </c>
      <c r="P8" s="16"/>
      <c r="Q8" s="16" t="s">
        <v>220</v>
      </c>
      <c r="R8" s="16"/>
      <c r="S8" s="16" t="s">
        <v>161</v>
      </c>
      <c r="T8" s="16"/>
      <c r="U8" s="16" t="s">
        <v>20</v>
      </c>
      <c r="V8" s="16"/>
      <c r="W8" s="16" t="s">
        <v>297</v>
      </c>
      <c r="X8" s="16"/>
    </row>
    <row r="9" spans="1:24" x14ac:dyDescent="0.2">
      <c r="A9" s="23" t="s">
        <v>2</v>
      </c>
      <c r="B9" s="16"/>
      <c r="C9" s="121" t="s">
        <v>3</v>
      </c>
      <c r="D9" s="16"/>
      <c r="E9" s="23" t="s">
        <v>219</v>
      </c>
      <c r="F9" s="16"/>
      <c r="G9" s="23" t="s">
        <v>16</v>
      </c>
      <c r="H9" s="16"/>
      <c r="I9" s="23" t="s">
        <v>21</v>
      </c>
      <c r="J9" s="16"/>
      <c r="K9" s="23" t="s">
        <v>293</v>
      </c>
      <c r="L9" s="16"/>
      <c r="M9" s="23" t="s">
        <v>21</v>
      </c>
      <c r="N9" s="16"/>
      <c r="O9" s="23" t="s">
        <v>4</v>
      </c>
      <c r="P9" s="16"/>
      <c r="Q9" s="23" t="s">
        <v>295</v>
      </c>
      <c r="R9" s="16"/>
      <c r="S9" s="23" t="s">
        <v>296</v>
      </c>
      <c r="T9" s="16"/>
      <c r="U9" s="23" t="s">
        <v>23</v>
      </c>
      <c r="V9" s="16"/>
      <c r="W9" s="23" t="s">
        <v>22</v>
      </c>
      <c r="X9" s="16"/>
    </row>
    <row r="10" spans="1:24" x14ac:dyDescent="0.2">
      <c r="E10" s="16" t="s">
        <v>6</v>
      </c>
      <c r="F10" s="16"/>
      <c r="G10" s="16" t="s">
        <v>7</v>
      </c>
      <c r="H10" s="16"/>
      <c r="I10" s="16" t="s">
        <v>292</v>
      </c>
      <c r="J10" s="16"/>
      <c r="K10" s="16" t="s">
        <v>38</v>
      </c>
      <c r="L10" s="16"/>
      <c r="M10" s="16" t="s">
        <v>294</v>
      </c>
      <c r="N10" s="16"/>
      <c r="O10" s="16" t="s">
        <v>51</v>
      </c>
      <c r="P10" s="16"/>
      <c r="Q10" s="16" t="s">
        <v>299</v>
      </c>
      <c r="R10" s="16"/>
      <c r="S10" s="16" t="s">
        <v>70</v>
      </c>
      <c r="T10" s="16"/>
      <c r="U10" s="16" t="s">
        <v>129</v>
      </c>
      <c r="V10" s="16"/>
      <c r="W10" s="16" t="s">
        <v>298</v>
      </c>
      <c r="X10" s="16"/>
    </row>
    <row r="11" spans="1:24" x14ac:dyDescent="0.2">
      <c r="C11" s="138" t="s">
        <v>121</v>
      </c>
    </row>
    <row r="12" spans="1:24" x14ac:dyDescent="0.2">
      <c r="A12" s="122">
        <v>1</v>
      </c>
      <c r="C12" s="4" t="s">
        <v>26</v>
      </c>
      <c r="E12" s="4">
        <v>2317060805</v>
      </c>
      <c r="G12" s="4">
        <v>-528130</v>
      </c>
      <c r="I12" s="4">
        <f>E12+G12</f>
        <v>2316532675</v>
      </c>
      <c r="K12" s="148">
        <v>0.89280000000000004</v>
      </c>
      <c r="M12" s="119">
        <f>I12*K12</f>
        <v>2068200372.24</v>
      </c>
      <c r="O12" s="119">
        <v>-446421228</v>
      </c>
      <c r="Q12" s="119">
        <f>M12+O12</f>
        <v>1621779144.24</v>
      </c>
      <c r="S12" s="149">
        <f>M12/$M$15</f>
        <v>0.43246883509245709</v>
      </c>
      <c r="T12" s="149"/>
      <c r="U12" s="148">
        <v>4.1200000000000001E-2</v>
      </c>
      <c r="V12" s="149"/>
      <c r="W12" s="149">
        <f>S12*U12</f>
        <v>1.7817716005809232E-2</v>
      </c>
    </row>
    <row r="13" spans="1:24" x14ac:dyDescent="0.2">
      <c r="A13" s="122">
        <v>2</v>
      </c>
      <c r="C13" s="4" t="s">
        <v>25</v>
      </c>
      <c r="E13" s="4">
        <v>187655067</v>
      </c>
      <c r="G13" s="4">
        <v>-42772</v>
      </c>
      <c r="I13" s="4">
        <f>E13+G13</f>
        <v>187612295</v>
      </c>
      <c r="K13" s="148">
        <v>0.89280000000000004</v>
      </c>
      <c r="M13" s="119">
        <f>I13*K13</f>
        <v>167500256.97600001</v>
      </c>
      <c r="O13" s="119">
        <v>-36154945</v>
      </c>
      <c r="Q13" s="119">
        <f>M13+O13</f>
        <v>131345311.97600001</v>
      </c>
      <c r="S13" s="149">
        <f t="shared" ref="S13:S14" si="0">M13/$M$15</f>
        <v>3.5024962757182962E-2</v>
      </c>
      <c r="T13" s="149"/>
      <c r="U13" s="148">
        <v>8.2000000000000007E-3</v>
      </c>
      <c r="V13" s="149"/>
      <c r="W13" s="149">
        <f>S13*U13</f>
        <v>2.8720469460890029E-4</v>
      </c>
    </row>
    <row r="14" spans="1:24" x14ac:dyDescent="0.2">
      <c r="A14" s="122">
        <v>4</v>
      </c>
      <c r="C14" s="4" t="s">
        <v>27</v>
      </c>
      <c r="E14" s="47">
        <v>2853540399</v>
      </c>
      <c r="G14" s="47">
        <v>-1154477</v>
      </c>
      <c r="I14" s="4">
        <f t="shared" ref="I14" si="1">E14+G14</f>
        <v>2852385922</v>
      </c>
      <c r="K14" s="148">
        <v>0.89280000000000004</v>
      </c>
      <c r="M14" s="119">
        <f t="shared" ref="M14" si="2">I14*K14</f>
        <v>2546610151.1616001</v>
      </c>
      <c r="O14" s="123">
        <v>-549686020</v>
      </c>
      <c r="Q14" s="119">
        <f t="shared" ref="Q14" si="3">M14+O14</f>
        <v>1996924131.1616001</v>
      </c>
      <c r="S14" s="149">
        <f t="shared" si="0"/>
        <v>0.53250620215036004</v>
      </c>
      <c r="T14" s="149"/>
      <c r="U14" s="151">
        <v>0.1023</v>
      </c>
      <c r="V14" s="149"/>
      <c r="W14" s="149">
        <f>S14*U14</f>
        <v>5.4475384479981834E-2</v>
      </c>
    </row>
    <row r="15" spans="1:24" ht="13.5" thickBot="1" x14ac:dyDescent="0.25">
      <c r="A15" s="122">
        <v>7</v>
      </c>
      <c r="C15" s="4" t="s">
        <v>28</v>
      </c>
      <c r="E15" s="18">
        <f>SUM(E12:E14)</f>
        <v>5358256271</v>
      </c>
      <c r="F15" s="16"/>
      <c r="G15" s="18">
        <f t="shared" ref="G15:W15" si="4">SUM(G12:G14)</f>
        <v>-1725379</v>
      </c>
      <c r="H15" s="16"/>
      <c r="I15" s="18">
        <f t="shared" si="4"/>
        <v>5356530892</v>
      </c>
      <c r="J15" s="16"/>
      <c r="K15" s="16"/>
      <c r="L15" s="16"/>
      <c r="M15" s="18">
        <f t="shared" si="4"/>
        <v>4782310780.3775997</v>
      </c>
      <c r="N15" s="16"/>
      <c r="O15" s="18">
        <f t="shared" si="4"/>
        <v>-1032262193</v>
      </c>
      <c r="P15" s="16"/>
      <c r="Q15" s="18">
        <f t="shared" si="4"/>
        <v>3750048587.3776002</v>
      </c>
      <c r="R15" s="16"/>
      <c r="S15" s="150">
        <f t="shared" si="4"/>
        <v>1</v>
      </c>
      <c r="T15" s="16"/>
      <c r="U15" s="46"/>
      <c r="V15" s="16"/>
      <c r="W15" s="150">
        <f t="shared" si="4"/>
        <v>7.258030518039997E-2</v>
      </c>
      <c r="X15" s="16"/>
    </row>
    <row r="16" spans="1:24" ht="13.5" thickTop="1" x14ac:dyDescent="0.2">
      <c r="A16" s="12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30" x14ac:dyDescent="0.2">
      <c r="A17" s="12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30" x14ac:dyDescent="0.2">
      <c r="A18" s="16"/>
      <c r="C18" s="138" t="s">
        <v>258</v>
      </c>
    </row>
    <row r="19" spans="1:30" x14ac:dyDescent="0.2">
      <c r="A19" s="122">
        <v>8</v>
      </c>
      <c r="C19" s="4" t="s">
        <v>26</v>
      </c>
      <c r="E19" s="4">
        <v>2317060805</v>
      </c>
      <c r="G19" s="4">
        <v>-528130</v>
      </c>
      <c r="I19" s="4">
        <f>E19+G19</f>
        <v>2316532675</v>
      </c>
      <c r="K19" s="148">
        <v>0.89280000000000004</v>
      </c>
      <c r="M19" s="119">
        <f>I19*K19</f>
        <v>2068200372.24</v>
      </c>
      <c r="O19" s="119">
        <v>-446421228</v>
      </c>
      <c r="Q19" s="119">
        <f>M19+O19</f>
        <v>1621779144.24</v>
      </c>
      <c r="S19" s="149">
        <f>M19/$M$22</f>
        <v>0.43246883509245709</v>
      </c>
      <c r="T19" s="149"/>
      <c r="U19" s="148">
        <v>4.1200000000000001E-2</v>
      </c>
      <c r="V19" s="149"/>
      <c r="W19" s="149">
        <f>S19*U19</f>
        <v>1.7817716005809232E-2</v>
      </c>
      <c r="AA19" s="4" t="e">
        <f>#REF!</f>
        <v>#REF!</v>
      </c>
      <c r="AB19" s="92" t="e">
        <f>AA19/#REF!</f>
        <v>#REF!</v>
      </c>
      <c r="AC19" s="92">
        <f>G38</f>
        <v>0.44812212614802155</v>
      </c>
      <c r="AD19" s="92" t="e">
        <f>AC19-AB19</f>
        <v>#REF!</v>
      </c>
    </row>
    <row r="20" spans="1:30" x14ac:dyDescent="0.2">
      <c r="A20" s="122">
        <v>9</v>
      </c>
      <c r="C20" s="4" t="s">
        <v>25</v>
      </c>
      <c r="E20" s="4">
        <v>187655067</v>
      </c>
      <c r="G20" s="4">
        <v>-42772</v>
      </c>
      <c r="I20" s="4">
        <f>E20+G20</f>
        <v>187612295</v>
      </c>
      <c r="K20" s="148">
        <v>0.89280000000000004</v>
      </c>
      <c r="M20" s="119">
        <f>I20*K20</f>
        <v>167500256.97600001</v>
      </c>
      <c r="O20" s="119">
        <v>-36154945</v>
      </c>
      <c r="Q20" s="119">
        <f>M20+O20</f>
        <v>131345311.97600001</v>
      </c>
      <c r="S20" s="149">
        <f t="shared" ref="S20:S21" si="5">M20/$M$22</f>
        <v>3.5024962757182962E-2</v>
      </c>
      <c r="T20" s="149"/>
      <c r="U20" s="148">
        <v>8.2000000000000007E-3</v>
      </c>
      <c r="V20" s="149"/>
      <c r="W20" s="149">
        <f>S20*U20</f>
        <v>2.8720469460890029E-4</v>
      </c>
      <c r="AB20" s="92"/>
      <c r="AC20" s="92"/>
    </row>
    <row r="21" spans="1:30" x14ac:dyDescent="0.2">
      <c r="A21" s="122">
        <v>11</v>
      </c>
      <c r="C21" s="4" t="s">
        <v>27</v>
      </c>
      <c r="E21" s="47">
        <v>2853540399</v>
      </c>
      <c r="G21" s="47">
        <v>-1154477</v>
      </c>
      <c r="I21" s="4">
        <f t="shared" ref="I21" si="6">E21+G21</f>
        <v>2852385922</v>
      </c>
      <c r="K21" s="148">
        <v>0.89280000000000004</v>
      </c>
      <c r="M21" s="119">
        <f t="shared" ref="M21" si="7">I21*K21</f>
        <v>2546610151.1616001</v>
      </c>
      <c r="O21" s="123">
        <v>-549686020</v>
      </c>
      <c r="Q21" s="119">
        <f t="shared" ref="Q21" si="8">M21+O21</f>
        <v>1996924131.1616001</v>
      </c>
      <c r="S21" s="149">
        <f t="shared" si="5"/>
        <v>0.53250620215036004</v>
      </c>
      <c r="T21" s="149"/>
      <c r="U21" s="151">
        <v>8.7499999999999994E-2</v>
      </c>
      <c r="V21" s="149"/>
      <c r="W21" s="149">
        <f>S21*U21</f>
        <v>4.6594292688156499E-2</v>
      </c>
      <c r="AA21" s="4" t="e">
        <f>#REF!</f>
        <v>#REF!</v>
      </c>
      <c r="AB21" s="92" t="e">
        <f>AA21/#REF!</f>
        <v>#REF!</v>
      </c>
      <c r="AC21" s="92">
        <f>G39</f>
        <v>0.55187787385197851</v>
      </c>
      <c r="AD21" s="92" t="e">
        <f>AC21-AB21</f>
        <v>#REF!</v>
      </c>
    </row>
    <row r="22" spans="1:30" ht="13.5" thickBot="1" x14ac:dyDescent="0.25">
      <c r="A22" s="122">
        <v>14</v>
      </c>
      <c r="C22" s="4" t="s">
        <v>28</v>
      </c>
      <c r="E22" s="18">
        <f>SUM(E19:E21)</f>
        <v>5358256271</v>
      </c>
      <c r="F22" s="16"/>
      <c r="G22" s="18">
        <f t="shared" ref="G22" si="9">SUM(G19:G21)</f>
        <v>-1725379</v>
      </c>
      <c r="H22" s="16"/>
      <c r="I22" s="18">
        <f t="shared" ref="I22" si="10">SUM(I19:I21)</f>
        <v>5356530892</v>
      </c>
      <c r="J22" s="16"/>
      <c r="K22" s="16"/>
      <c r="L22" s="16"/>
      <c r="M22" s="18">
        <f t="shared" ref="M22" si="11">SUM(M19:M21)</f>
        <v>4782310780.3775997</v>
      </c>
      <c r="N22" s="16"/>
      <c r="O22" s="18">
        <f t="shared" ref="O22" si="12">SUM(O19:O21)</f>
        <v>-1032262193</v>
      </c>
      <c r="P22" s="16"/>
      <c r="Q22" s="18">
        <f t="shared" ref="Q22" si="13">SUM(Q19:Q21)</f>
        <v>3750048587.3776002</v>
      </c>
      <c r="R22" s="16"/>
      <c r="S22" s="150">
        <f t="shared" ref="S22" si="14">SUM(S19:S21)</f>
        <v>1</v>
      </c>
      <c r="T22" s="16"/>
      <c r="U22" s="46"/>
      <c r="V22" s="16"/>
      <c r="W22" s="150">
        <f t="shared" ref="W22" si="15">SUM(W19:W21)</f>
        <v>6.4699213388574636E-2</v>
      </c>
      <c r="X22" s="117"/>
    </row>
    <row r="23" spans="1:30" ht="13.5" thickTop="1" x14ac:dyDescent="0.2">
      <c r="A23" s="16"/>
    </row>
    <row r="24" spans="1:30" x14ac:dyDescent="0.2">
      <c r="A24" s="16"/>
    </row>
    <row r="25" spans="1:30" x14ac:dyDescent="0.2">
      <c r="A25" s="121" t="s">
        <v>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30" x14ac:dyDescent="0.2">
      <c r="A26" s="4" t="s">
        <v>325</v>
      </c>
    </row>
    <row r="27" spans="1:30" x14ac:dyDescent="0.2">
      <c r="A27" s="4" t="s">
        <v>259</v>
      </c>
      <c r="C27" s="4" t="s">
        <v>260</v>
      </c>
    </row>
    <row r="28" spans="1:30" x14ac:dyDescent="0.2">
      <c r="C28" s="4" t="s">
        <v>261</v>
      </c>
    </row>
    <row r="29" spans="1:30" x14ac:dyDescent="0.2">
      <c r="A29" s="4" t="s">
        <v>251</v>
      </c>
      <c r="M29" s="137">
        <v>0.98899999999999999</v>
      </c>
    </row>
    <row r="32" spans="1:30" x14ac:dyDescent="0.2">
      <c r="A32" s="4" t="s">
        <v>257</v>
      </c>
    </row>
    <row r="33" spans="1:23" x14ac:dyDescent="0.2">
      <c r="A33" s="4" t="s">
        <v>256</v>
      </c>
    </row>
    <row r="34" spans="1:23" x14ac:dyDescent="0.2">
      <c r="I34" s="4">
        <v>-18709274</v>
      </c>
      <c r="K34" s="4">
        <v>-147983065.35852003</v>
      </c>
      <c r="M34" s="4">
        <v>-6268345</v>
      </c>
      <c r="O34" s="4">
        <v>-5305554</v>
      </c>
      <c r="Q34" s="4">
        <v>-223164406</v>
      </c>
      <c r="S34" s="4">
        <v>664080</v>
      </c>
      <c r="U34" s="4">
        <v>-4534316</v>
      </c>
      <c r="W34" s="4">
        <v>-6778355</v>
      </c>
    </row>
    <row r="36" spans="1:23" x14ac:dyDescent="0.2">
      <c r="I36" s="4">
        <f>I22-I34</f>
        <v>5375240166</v>
      </c>
    </row>
    <row r="37" spans="1:23" x14ac:dyDescent="0.2">
      <c r="A37" s="4" t="s">
        <v>257</v>
      </c>
    </row>
    <row r="38" spans="1:23" x14ac:dyDescent="0.2">
      <c r="C38" s="4" t="s">
        <v>26</v>
      </c>
      <c r="E38" s="4">
        <f>E12</f>
        <v>2317060805</v>
      </c>
      <c r="G38" s="87">
        <f>E38/$E$40</f>
        <v>0.44812212614802155</v>
      </c>
      <c r="I38" s="4">
        <f>I$15*$G38</f>
        <v>2400380012.1005983</v>
      </c>
      <c r="K38" s="4">
        <f>K$15*$G38</f>
        <v>0</v>
      </c>
      <c r="M38" s="4">
        <f>M$15*$G38</f>
        <v>2143059274.8034141</v>
      </c>
      <c r="O38" s="4">
        <f>O$15*$G38</f>
        <v>-462579528.66937935</v>
      </c>
      <c r="Q38" s="4">
        <f>Q$15*$G38</f>
        <v>1680479746.1340349</v>
      </c>
      <c r="S38" s="4">
        <f>S$15*$G38</f>
        <v>0.44812212614802155</v>
      </c>
      <c r="U38" s="4">
        <f>U$15*$G38</f>
        <v>0</v>
      </c>
      <c r="W38" s="4">
        <f>W$15*$G38</f>
        <v>3.2524840673913098E-2</v>
      </c>
    </row>
    <row r="39" spans="1:23" x14ac:dyDescent="0.2">
      <c r="C39" s="4" t="s">
        <v>27</v>
      </c>
      <c r="E39" s="4">
        <f>E14</f>
        <v>2853540399</v>
      </c>
      <c r="G39" s="87">
        <f>E39/$E$40</f>
        <v>0.55187787385197851</v>
      </c>
      <c r="I39" s="4">
        <f>I$15*$G39</f>
        <v>2956150879.8994021</v>
      </c>
      <c r="K39" s="4">
        <f>K$15*$G39</f>
        <v>0</v>
      </c>
      <c r="M39" s="4">
        <f>M$15*$G39</f>
        <v>2639251505.5741858</v>
      </c>
      <c r="O39" s="4">
        <f>O$15*$G39</f>
        <v>-569682664.33062065</v>
      </c>
      <c r="Q39" s="4">
        <f>Q$15*$G39</f>
        <v>2069568841.2435653</v>
      </c>
      <c r="S39" s="4">
        <f>S$15*$G39</f>
        <v>0.55187787385197851</v>
      </c>
      <c r="U39" s="4">
        <f>U$15*$G39</f>
        <v>0</v>
      </c>
      <c r="W39" s="4">
        <f>W$15*$G39</f>
        <v>4.0055464506486879E-2</v>
      </c>
    </row>
    <row r="40" spans="1:23" x14ac:dyDescent="0.2">
      <c r="C40" s="4" t="s">
        <v>28</v>
      </c>
      <c r="E40" s="4">
        <f>SUM(E38:E39)</f>
        <v>5170601204</v>
      </c>
      <c r="G40" s="87">
        <f>SUM(G38:G39)</f>
        <v>1</v>
      </c>
      <c r="I40" s="4">
        <f>SUM(I38:I39)</f>
        <v>5356530892</v>
      </c>
      <c r="K40" s="4">
        <f>SUM(K38:K39)</f>
        <v>0</v>
      </c>
      <c r="M40" s="4">
        <f>SUM(M38:M39)</f>
        <v>4782310780.3775997</v>
      </c>
      <c r="O40" s="4">
        <f>SUM(O38:O39)</f>
        <v>-1032262193</v>
      </c>
      <c r="Q40" s="4">
        <f>SUM(Q38:Q39)</f>
        <v>3750048587.3776002</v>
      </c>
      <c r="S40" s="4">
        <f>SUM(S38:S39)</f>
        <v>1</v>
      </c>
      <c r="U40" s="4">
        <f>SUM(U38:U39)</f>
        <v>0</v>
      </c>
      <c r="W40" s="4">
        <f>SUM(W38:W39)</f>
        <v>7.2580305180399984E-2</v>
      </c>
    </row>
    <row r="72" spans="25:25" x14ac:dyDescent="0.2">
      <c r="Y72" s="279"/>
    </row>
    <row r="73" spans="25:25" x14ac:dyDescent="0.2">
      <c r="Y73" s="279"/>
    </row>
    <row r="74" spans="25:25" x14ac:dyDescent="0.2">
      <c r="Y74" s="279"/>
    </row>
    <row r="75" spans="25:25" x14ac:dyDescent="0.2">
      <c r="Y75" s="279"/>
    </row>
    <row r="76" spans="25:25" x14ac:dyDescent="0.2">
      <c r="Y76" s="279"/>
    </row>
    <row r="77" spans="25:25" x14ac:dyDescent="0.2">
      <c r="Y77" s="279"/>
    </row>
    <row r="78" spans="25:25" x14ac:dyDescent="0.2">
      <c r="Y78" s="279"/>
    </row>
    <row r="79" spans="25:25" x14ac:dyDescent="0.2">
      <c r="Y79" s="279"/>
    </row>
  </sheetData>
  <mergeCells count="1">
    <mergeCell ref="Y72:Y79"/>
  </mergeCell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4" workbookViewId="0">
      <selection activeCell="K37" sqref="K37"/>
    </sheetView>
  </sheetViews>
  <sheetFormatPr defaultRowHeight="12.75" x14ac:dyDescent="0.2"/>
  <cols>
    <col min="1" max="1" width="4.42578125" style="1" customWidth="1"/>
    <col min="2" max="2" width="1" style="1" customWidth="1"/>
    <col min="3" max="3" width="44.28515625" style="1" customWidth="1"/>
    <col min="4" max="4" width="1" style="1" customWidth="1"/>
    <col min="5" max="5" width="16.85546875" style="1" bestFit="1" customWidth="1"/>
    <col min="6" max="6" width="1" style="1" customWidth="1"/>
    <col min="7" max="7" width="15.140625" style="1" bestFit="1" customWidth="1"/>
    <col min="8" max="8" width="1.42578125" style="1" customWidth="1"/>
    <col min="9" max="9" width="16.7109375" style="1" bestFit="1" customWidth="1"/>
    <col min="10" max="10" width="9.140625" style="1"/>
    <col min="11" max="11" width="12.85546875" style="1" bestFit="1" customWidth="1"/>
    <col min="12" max="16384" width="9.140625" style="1"/>
  </cols>
  <sheetData>
    <row r="1" spans="1:9" x14ac:dyDescent="0.2">
      <c r="A1" s="1" t="str">
        <f>A!$A$1</f>
        <v>Kentucky Utilities Company</v>
      </c>
      <c r="G1" s="10"/>
      <c r="I1" s="10" t="str">
        <f>Contents!$S$4</f>
        <v>Exhibit RCS-1</v>
      </c>
    </row>
    <row r="2" spans="1:9" x14ac:dyDescent="0.2">
      <c r="A2" s="1" t="s">
        <v>31</v>
      </c>
      <c r="G2" s="10"/>
      <c r="I2" s="10" t="s">
        <v>98</v>
      </c>
    </row>
    <row r="3" spans="1:9" x14ac:dyDescent="0.2">
      <c r="G3" s="10"/>
      <c r="I3" s="10" t="str">
        <f>A!$K$3</f>
        <v>Case No. 2016-00370</v>
      </c>
    </row>
    <row r="4" spans="1:9" x14ac:dyDescent="0.2">
      <c r="A4" s="1" t="s">
        <v>328</v>
      </c>
      <c r="B4" s="67"/>
      <c r="C4" s="67"/>
      <c r="D4" s="67"/>
      <c r="E4" s="67"/>
      <c r="F4" s="12"/>
      <c r="G4" s="10"/>
      <c r="I4" s="10" t="s">
        <v>37</v>
      </c>
    </row>
    <row r="7" spans="1:9" x14ac:dyDescent="0.2">
      <c r="A7" s="99" t="s">
        <v>0</v>
      </c>
      <c r="E7" s="99" t="s">
        <v>45</v>
      </c>
      <c r="G7" s="99" t="s">
        <v>160</v>
      </c>
      <c r="I7" s="99" t="s">
        <v>160</v>
      </c>
    </row>
    <row r="8" spans="1:9" x14ac:dyDescent="0.2">
      <c r="A8" s="11" t="s">
        <v>2</v>
      </c>
      <c r="C8" s="2" t="s">
        <v>3</v>
      </c>
      <c r="E8" s="11" t="s">
        <v>1</v>
      </c>
      <c r="F8" s="99"/>
      <c r="G8" s="11" t="s">
        <v>4</v>
      </c>
      <c r="I8" s="11" t="s">
        <v>1</v>
      </c>
    </row>
    <row r="9" spans="1:9" x14ac:dyDescent="0.2">
      <c r="A9" s="99"/>
      <c r="C9" s="1" t="s">
        <v>203</v>
      </c>
      <c r="E9" s="99" t="s">
        <v>6</v>
      </c>
      <c r="G9" s="99" t="s">
        <v>7</v>
      </c>
      <c r="I9" s="99" t="s">
        <v>18</v>
      </c>
    </row>
    <row r="10" spans="1:9" x14ac:dyDescent="0.2">
      <c r="A10" s="99"/>
      <c r="C10" s="1" t="s">
        <v>204</v>
      </c>
      <c r="E10" s="4"/>
      <c r="G10" s="99"/>
    </row>
    <row r="11" spans="1:9" x14ac:dyDescent="0.2">
      <c r="A11" s="99">
        <v>1</v>
      </c>
      <c r="C11" s="1" t="s">
        <v>302</v>
      </c>
      <c r="E11" s="4">
        <f>7089457180-118703941</f>
        <v>6970753239</v>
      </c>
      <c r="G11" s="16">
        <f>B.1!E10</f>
        <v>-10047899.741439404</v>
      </c>
      <c r="I11" s="44">
        <f>E11+G11</f>
        <v>6960705339.2585602</v>
      </c>
    </row>
    <row r="13" spans="1:9" x14ac:dyDescent="0.2">
      <c r="A13" s="99"/>
      <c r="C13" s="1" t="s">
        <v>304</v>
      </c>
      <c r="E13" s="4"/>
      <c r="G13" s="99"/>
    </row>
    <row r="14" spans="1:9" x14ac:dyDescent="0.2">
      <c r="A14" s="99">
        <f>A11+1</f>
        <v>2</v>
      </c>
      <c r="C14" s="107" t="s">
        <v>305</v>
      </c>
      <c r="E14" s="4">
        <v>2699542764</v>
      </c>
      <c r="G14" s="16">
        <f>B.1!E13</f>
        <v>0</v>
      </c>
      <c r="I14" s="44">
        <f t="shared" ref="I14" si="0">E14+G14</f>
        <v>2699542764</v>
      </c>
    </row>
    <row r="15" spans="1:9" x14ac:dyDescent="0.2">
      <c r="A15" s="99"/>
      <c r="E15" s="4"/>
      <c r="G15" s="16"/>
      <c r="I15" s="44"/>
    </row>
    <row r="16" spans="1:9" x14ac:dyDescent="0.2">
      <c r="A16" s="99">
        <f t="shared" ref="A16" si="1">A14+1</f>
        <v>3</v>
      </c>
      <c r="C16" s="1" t="s">
        <v>205</v>
      </c>
      <c r="E16" s="49">
        <f>E11-E14</f>
        <v>4271210475</v>
      </c>
      <c r="G16" s="49">
        <f>G11-G14</f>
        <v>-10047899.741439404</v>
      </c>
      <c r="I16" s="49">
        <f>I11-I14</f>
        <v>4261162575.2585602</v>
      </c>
    </row>
    <row r="17" spans="1:9" x14ac:dyDescent="0.2">
      <c r="A17" s="99"/>
      <c r="E17" s="19"/>
      <c r="G17" s="19"/>
      <c r="I17" s="19"/>
    </row>
    <row r="18" spans="1:9" x14ac:dyDescent="0.2">
      <c r="A18" s="99">
        <f>A16+1</f>
        <v>4</v>
      </c>
      <c r="C18" s="1" t="s">
        <v>346</v>
      </c>
      <c r="E18" s="19">
        <v>118703941.05026913</v>
      </c>
      <c r="G18" s="19">
        <f>B.1!E17</f>
        <v>-25507301.640000001</v>
      </c>
      <c r="I18" s="44">
        <f t="shared" ref="I18" si="2">E18+G18</f>
        <v>93196639.410269126</v>
      </c>
    </row>
    <row r="19" spans="1:9" x14ac:dyDescent="0.2">
      <c r="A19" s="99"/>
      <c r="E19" s="4"/>
    </row>
    <row r="20" spans="1:9" x14ac:dyDescent="0.2">
      <c r="A20" s="99"/>
      <c r="C20" s="1" t="s">
        <v>307</v>
      </c>
      <c r="E20" s="4"/>
    </row>
    <row r="21" spans="1:9" x14ac:dyDescent="0.2">
      <c r="A21" s="99">
        <f>A18+1</f>
        <v>5</v>
      </c>
      <c r="C21" s="107" t="s">
        <v>308</v>
      </c>
      <c r="E21" s="4">
        <v>1549704</v>
      </c>
      <c r="G21" s="16">
        <f>B.1!E20</f>
        <v>0</v>
      </c>
      <c r="I21" s="44">
        <f t="shared" ref="I21:I23" si="3">E21+G21</f>
        <v>1549704</v>
      </c>
    </row>
    <row r="22" spans="1:9" x14ac:dyDescent="0.2">
      <c r="A22" s="99">
        <f t="shared" ref="A22:A24" si="4">A21+1</f>
        <v>6</v>
      </c>
      <c r="C22" s="107" t="s">
        <v>309</v>
      </c>
      <c r="E22" s="4">
        <v>910427698</v>
      </c>
      <c r="G22" s="16">
        <f>B.1!E21</f>
        <v>-1834000</v>
      </c>
      <c r="I22" s="44">
        <f>E22+G22</f>
        <v>908593698</v>
      </c>
    </row>
    <row r="23" spans="1:9" x14ac:dyDescent="0.2">
      <c r="A23" s="99">
        <f t="shared" si="4"/>
        <v>7</v>
      </c>
      <c r="C23" s="107" t="s">
        <v>310</v>
      </c>
      <c r="E23" s="4">
        <v>81185411</v>
      </c>
      <c r="G23" s="16">
        <f>B.1!E22</f>
        <v>0</v>
      </c>
      <c r="I23" s="44">
        <f t="shared" si="3"/>
        <v>81185411</v>
      </c>
    </row>
    <row r="24" spans="1:9" x14ac:dyDescent="0.2">
      <c r="A24" s="99">
        <f t="shared" si="4"/>
        <v>8</v>
      </c>
      <c r="C24" s="1" t="s">
        <v>311</v>
      </c>
      <c r="E24" s="152">
        <f>SUM(E21:E23)</f>
        <v>993162813</v>
      </c>
      <c r="G24" s="50">
        <f>SUM(G21:G23)</f>
        <v>-1834000</v>
      </c>
      <c r="I24" s="50">
        <f>SUM(I21:I23)</f>
        <v>991328813</v>
      </c>
    </row>
    <row r="25" spans="1:9" x14ac:dyDescent="0.2">
      <c r="A25" s="99"/>
      <c r="E25" s="153"/>
      <c r="G25" s="40"/>
      <c r="I25" s="40"/>
    </row>
    <row r="26" spans="1:9" x14ac:dyDescent="0.2">
      <c r="A26" s="99">
        <f>A24+1</f>
        <v>9</v>
      </c>
      <c r="C26" s="1" t="s">
        <v>318</v>
      </c>
      <c r="E26" s="152">
        <f>E16+E18-E24</f>
        <v>3396751603.0502691</v>
      </c>
      <c r="G26" s="152">
        <f>G16+G18-G24</f>
        <v>-33721201.381439403</v>
      </c>
      <c r="I26" s="152">
        <f>I16+I18-I24</f>
        <v>3363030401.668829</v>
      </c>
    </row>
    <row r="27" spans="1:9" x14ac:dyDescent="0.2">
      <c r="A27" s="99"/>
      <c r="E27" s="40"/>
    </row>
    <row r="28" spans="1:9" x14ac:dyDescent="0.2">
      <c r="A28" s="99"/>
      <c r="C28" s="1" t="s">
        <v>312</v>
      </c>
    </row>
    <row r="29" spans="1:9" x14ac:dyDescent="0.2">
      <c r="A29" s="99">
        <f>A26+1</f>
        <v>10</v>
      </c>
      <c r="C29" s="107" t="s">
        <v>206</v>
      </c>
      <c r="E29" s="4">
        <v>119808344</v>
      </c>
      <c r="G29" s="16">
        <f>B.1!E28</f>
        <v>0</v>
      </c>
      <c r="I29" s="44">
        <f t="shared" ref="I29:I33" si="5">E29+G29</f>
        <v>119808344</v>
      </c>
    </row>
    <row r="30" spans="1:9" x14ac:dyDescent="0.2">
      <c r="A30" s="99">
        <f t="shared" ref="A30:A34" si="6">A29+1</f>
        <v>11</v>
      </c>
      <c r="C30" s="107" t="s">
        <v>313</v>
      </c>
      <c r="E30" s="4">
        <v>16171254</v>
      </c>
      <c r="G30" s="16">
        <f>B.1!E29</f>
        <v>0</v>
      </c>
      <c r="I30" s="44">
        <f t="shared" si="5"/>
        <v>16171254</v>
      </c>
    </row>
    <row r="31" spans="1:9" x14ac:dyDescent="0.2">
      <c r="A31" s="99">
        <f t="shared" si="6"/>
        <v>12</v>
      </c>
      <c r="C31" s="107" t="s">
        <v>314</v>
      </c>
      <c r="E31" s="4">
        <v>0</v>
      </c>
      <c r="G31" s="16">
        <f>B.1!E30</f>
        <v>0</v>
      </c>
      <c r="I31" s="44">
        <f t="shared" si="5"/>
        <v>0</v>
      </c>
    </row>
    <row r="32" spans="1:9" x14ac:dyDescent="0.2">
      <c r="A32" s="99">
        <f t="shared" si="6"/>
        <v>13</v>
      </c>
      <c r="C32" s="107" t="s">
        <v>132</v>
      </c>
      <c r="E32" s="4">
        <v>106348560</v>
      </c>
      <c r="G32" s="16">
        <f>B.1!E31</f>
        <v>-1774884</v>
      </c>
      <c r="I32" s="44">
        <f t="shared" si="5"/>
        <v>104573676</v>
      </c>
    </row>
    <row r="33" spans="1:11" x14ac:dyDescent="0.2">
      <c r="A33" s="99">
        <f t="shared" si="6"/>
        <v>14</v>
      </c>
      <c r="C33" s="107" t="s">
        <v>315</v>
      </c>
      <c r="E33" s="4">
        <v>0</v>
      </c>
      <c r="G33" s="16">
        <f>B.1!E32</f>
        <v>0</v>
      </c>
      <c r="I33" s="44">
        <f t="shared" si="5"/>
        <v>0</v>
      </c>
    </row>
    <row r="34" spans="1:11" x14ac:dyDescent="0.2">
      <c r="A34" s="99">
        <f t="shared" si="6"/>
        <v>15</v>
      </c>
      <c r="C34" s="1" t="s">
        <v>316</v>
      </c>
      <c r="E34" s="49">
        <f>SUM(E29:E33)</f>
        <v>242328158</v>
      </c>
      <c r="G34" s="49">
        <f>SUM(G29:G33)</f>
        <v>-1774884</v>
      </c>
      <c r="I34" s="49">
        <f>SUM(I29:I33)</f>
        <v>240553274</v>
      </c>
    </row>
    <row r="35" spans="1:11" x14ac:dyDescent="0.2">
      <c r="A35" s="99"/>
      <c r="E35" s="19"/>
      <c r="G35" s="19"/>
      <c r="I35" s="19"/>
    </row>
    <row r="36" spans="1:11" ht="13.5" thickBot="1" x14ac:dyDescent="0.25">
      <c r="A36" s="99">
        <f>A34+1</f>
        <v>16</v>
      </c>
      <c r="C36" s="1" t="s">
        <v>317</v>
      </c>
      <c r="E36" s="18">
        <f>E26+E34</f>
        <v>3639079761.0502691</v>
      </c>
      <c r="F36" s="1">
        <f t="shared" ref="F36:I36" si="7">F26+F34</f>
        <v>0</v>
      </c>
      <c r="G36" s="18">
        <f>G26+G34</f>
        <v>-35496085.381439403</v>
      </c>
      <c r="H36" s="1">
        <f t="shared" si="7"/>
        <v>0</v>
      </c>
      <c r="I36" s="18">
        <f t="shared" si="7"/>
        <v>3603583675.668829</v>
      </c>
      <c r="K36" s="44"/>
    </row>
    <row r="37" spans="1:11" ht="13.5" thickTop="1" x14ac:dyDescent="0.2">
      <c r="A37" s="99"/>
      <c r="E37" s="19"/>
      <c r="G37" s="19"/>
      <c r="I37" s="19"/>
    </row>
    <row r="38" spans="1:11" x14ac:dyDescent="0.2">
      <c r="A38" s="99">
        <f>A36+1</f>
        <v>17</v>
      </c>
      <c r="C38" s="1" t="s">
        <v>319</v>
      </c>
      <c r="E38" s="19">
        <v>166187055</v>
      </c>
      <c r="G38" s="19">
        <f>B.1!E37</f>
        <v>0</v>
      </c>
      <c r="I38" s="19">
        <f>E38+G38</f>
        <v>166187055</v>
      </c>
    </row>
    <row r="39" spans="1:11" x14ac:dyDescent="0.2">
      <c r="A39" s="99"/>
      <c r="E39" s="19"/>
      <c r="G39" s="19"/>
      <c r="I39" s="19"/>
    </row>
    <row r="40" spans="1:11" ht="13.5" thickBot="1" x14ac:dyDescent="0.25">
      <c r="A40" s="99">
        <f>A38+1</f>
        <v>18</v>
      </c>
      <c r="C40" s="1" t="s">
        <v>320</v>
      </c>
      <c r="E40" s="18">
        <f>E36+E38</f>
        <v>3805266816.0502691</v>
      </c>
      <c r="G40" s="18">
        <f>G36+G38</f>
        <v>-35496085.381439403</v>
      </c>
      <c r="I40" s="18">
        <f t="shared" ref="I40" si="8">I36+I38</f>
        <v>3769770730.668829</v>
      </c>
      <c r="K40" s="44"/>
    </row>
    <row r="41" spans="1:11" ht="13.5" thickTop="1" x14ac:dyDescent="0.2">
      <c r="A41" s="99"/>
      <c r="E41" s="19"/>
      <c r="G41" s="19"/>
      <c r="I41" s="19"/>
    </row>
    <row r="42" spans="1:11" ht="13.5" thickBot="1" x14ac:dyDescent="0.25">
      <c r="A42" s="99">
        <f>A40+1</f>
        <v>19</v>
      </c>
      <c r="C42" s="1" t="s">
        <v>268</v>
      </c>
      <c r="E42" s="20">
        <f>'D P2 '!Q15</f>
        <v>3638800730.0279121</v>
      </c>
      <c r="G42" s="20">
        <f>'D P3'!O16</f>
        <v>-35496085.381439403</v>
      </c>
      <c r="I42" s="20">
        <f>E42+G42</f>
        <v>3603304644.6464729</v>
      </c>
    </row>
    <row r="43" spans="1:11" ht="13.5" thickTop="1" x14ac:dyDescent="0.2">
      <c r="A43" s="99"/>
      <c r="E43" s="5"/>
    </row>
    <row r="44" spans="1:11" x14ac:dyDescent="0.2">
      <c r="G44" s="44"/>
    </row>
    <row r="45" spans="1:11" x14ac:dyDescent="0.2">
      <c r="A45" s="2" t="s">
        <v>9</v>
      </c>
      <c r="B45" s="2"/>
      <c r="C45" s="2"/>
      <c r="D45" s="2"/>
      <c r="E45" s="2"/>
      <c r="F45" s="2"/>
      <c r="G45" s="2"/>
      <c r="H45" s="2"/>
      <c r="I45" s="2"/>
    </row>
    <row r="46" spans="1:11" x14ac:dyDescent="0.2">
      <c r="A46" s="1" t="s">
        <v>306</v>
      </c>
    </row>
    <row r="47" spans="1:11" x14ac:dyDescent="0.2">
      <c r="A47" s="1" t="s">
        <v>379</v>
      </c>
      <c r="G47" s="44"/>
    </row>
  </sheetData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993"/>
  <sheetViews>
    <sheetView topLeftCell="A4" zoomScaleSheetLayoutView="90" workbookViewId="0">
      <selection activeCell="P46" sqref="P46"/>
    </sheetView>
  </sheetViews>
  <sheetFormatPr defaultColWidth="12.42578125" defaultRowHeight="12.75" x14ac:dyDescent="0.2"/>
  <cols>
    <col min="1" max="1" width="4.7109375" style="67" customWidth="1"/>
    <col min="2" max="2" width="1" style="67" customWidth="1"/>
    <col min="3" max="3" width="45.5703125" style="67" bestFit="1" customWidth="1"/>
    <col min="4" max="4" width="1.28515625" style="67" customWidth="1"/>
    <col min="5" max="5" width="15.5703125" style="67" bestFit="1" customWidth="1"/>
    <col min="6" max="6" width="1.140625" style="67" customWidth="1"/>
    <col min="7" max="7" width="15.5703125" style="67" bestFit="1" customWidth="1"/>
    <col min="8" max="8" width="14.140625" style="67" customWidth="1"/>
    <col min="9" max="9" width="12.85546875" style="67" bestFit="1" customWidth="1"/>
    <col min="10" max="10" width="13.5703125" style="67" bestFit="1" customWidth="1"/>
    <col min="11" max="16384" width="12.42578125" style="67"/>
  </cols>
  <sheetData>
    <row r="1" spans="1:20" x14ac:dyDescent="0.2">
      <c r="A1" s="1" t="str">
        <f>Contents!A1</f>
        <v>Kentucky Utilities Company</v>
      </c>
      <c r="B1" s="1"/>
      <c r="C1" s="1"/>
      <c r="D1" s="1"/>
      <c r="E1" s="1"/>
      <c r="F1" s="1"/>
      <c r="G1" s="1"/>
      <c r="H1" s="1"/>
      <c r="I1" s="68"/>
      <c r="J1" s="265" t="str">
        <f>Contents!A3</f>
        <v>Exhibit RCS-1</v>
      </c>
    </row>
    <row r="2" spans="1:20" x14ac:dyDescent="0.2">
      <c r="A2" s="1" t="s">
        <v>33</v>
      </c>
      <c r="B2" s="1"/>
      <c r="C2" s="1"/>
      <c r="D2" s="1"/>
      <c r="E2" s="1"/>
      <c r="F2" s="1"/>
      <c r="G2" s="1"/>
      <c r="H2" s="1"/>
      <c r="I2" s="68"/>
      <c r="J2" s="117" t="s">
        <v>100</v>
      </c>
    </row>
    <row r="3" spans="1:20" x14ac:dyDescent="0.2">
      <c r="A3" s="41"/>
      <c r="B3" s="1"/>
      <c r="C3" s="1"/>
      <c r="D3" s="1"/>
      <c r="E3" s="1"/>
      <c r="F3" s="1"/>
      <c r="G3" s="1"/>
      <c r="H3" s="1"/>
      <c r="I3" s="68"/>
      <c r="J3" s="265" t="str">
        <f>Contents!A2</f>
        <v>Case No. 2016-00370</v>
      </c>
    </row>
    <row r="4" spans="1:20" x14ac:dyDescent="0.2">
      <c r="A4" s="1" t="s">
        <v>328</v>
      </c>
      <c r="B4" s="1"/>
      <c r="C4" s="1"/>
      <c r="D4" s="1"/>
      <c r="E4" s="1"/>
      <c r="F4" s="1"/>
      <c r="G4" s="1"/>
      <c r="H4" s="1"/>
      <c r="I4" s="68"/>
      <c r="J4" s="117" t="s">
        <v>37</v>
      </c>
    </row>
    <row r="5" spans="1:20" x14ac:dyDescent="0.2">
      <c r="F5" s="12"/>
      <c r="G5" s="12"/>
      <c r="H5" s="12"/>
    </row>
    <row r="6" spans="1:20" ht="39" customHeight="1" x14ac:dyDescent="0.2">
      <c r="A6" s="64" t="s">
        <v>40</v>
      </c>
      <c r="B6" s="1"/>
      <c r="C6" s="2" t="s">
        <v>3</v>
      </c>
      <c r="D6" s="1"/>
      <c r="E6" s="64" t="s">
        <v>170</v>
      </c>
      <c r="F6" s="1"/>
      <c r="G6" s="64" t="s">
        <v>330</v>
      </c>
      <c r="H6" s="90" t="s">
        <v>560</v>
      </c>
      <c r="I6" s="90" t="s">
        <v>132</v>
      </c>
      <c r="J6" s="90" t="s">
        <v>583</v>
      </c>
    </row>
    <row r="7" spans="1:20" x14ac:dyDescent="0.2">
      <c r="A7" s="1"/>
      <c r="B7" s="1"/>
      <c r="C7" s="1"/>
      <c r="D7" s="1"/>
      <c r="E7" s="1"/>
      <c r="F7" s="1"/>
      <c r="G7" s="70" t="str">
        <f>Contents!$A16</f>
        <v>B-1</v>
      </c>
      <c r="H7" s="70" t="str">
        <f>Contents!$A17</f>
        <v>B-2</v>
      </c>
      <c r="I7" s="70" t="str">
        <f>Contents!$A18</f>
        <v>B-3</v>
      </c>
      <c r="J7" s="232" t="s">
        <v>600</v>
      </c>
    </row>
    <row r="8" spans="1:20" x14ac:dyDescent="0.2">
      <c r="A8" s="99"/>
      <c r="B8" s="1"/>
      <c r="C8" s="1" t="s">
        <v>203</v>
      </c>
      <c r="D8" s="1"/>
      <c r="E8" s="1"/>
      <c r="F8" s="1"/>
      <c r="G8" s="1"/>
      <c r="H8" s="99" t="s">
        <v>571</v>
      </c>
      <c r="I8" s="1"/>
      <c r="J8" s="99" t="s">
        <v>599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">
      <c r="A9" s="99"/>
      <c r="B9" s="1"/>
      <c r="C9" s="1" t="s">
        <v>204</v>
      </c>
      <c r="D9" s="1"/>
      <c r="E9" s="4"/>
      <c r="F9" s="1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">
      <c r="A10" s="99">
        <v>1</v>
      </c>
      <c r="B10" s="1"/>
      <c r="C10" s="1" t="s">
        <v>302</v>
      </c>
      <c r="D10" s="1"/>
      <c r="E10" s="16">
        <f>SUM(G10:L10)</f>
        <v>-10047899.741439404</v>
      </c>
      <c r="F10" s="1"/>
      <c r="G10" s="4">
        <f>'B-1'!O24</f>
        <v>-7142892.1027194038</v>
      </c>
      <c r="H10" s="4">
        <f>'B-2'!E11</f>
        <v>-2905007.6387200002</v>
      </c>
      <c r="I10" s="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4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99">
        <f>A10+1</f>
        <v>2</v>
      </c>
      <c r="B12" s="1"/>
      <c r="C12" s="1" t="s">
        <v>304</v>
      </c>
      <c r="D12" s="1"/>
      <c r="E12" s="99"/>
      <c r="F12" s="1"/>
      <c r="G12" s="4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99">
        <f>A12+1</f>
        <v>3</v>
      </c>
      <c r="B13" s="1"/>
      <c r="C13" s="107" t="s">
        <v>305</v>
      </c>
      <c r="D13" s="1"/>
      <c r="E13" s="16">
        <f>SUM(G13:L13)</f>
        <v>0</v>
      </c>
      <c r="F13" s="13"/>
      <c r="G13" s="19"/>
      <c r="H13" s="19"/>
      <c r="I13" s="19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A14" s="99"/>
      <c r="B14" s="1"/>
      <c r="C14" s="1"/>
      <c r="D14" s="1"/>
      <c r="E14" s="16"/>
      <c r="F14" s="1"/>
      <c r="G14" s="4"/>
      <c r="H14" s="4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">
      <c r="A15" s="99">
        <f t="shared" ref="A15" si="0">A13+1</f>
        <v>4</v>
      </c>
      <c r="B15" s="1"/>
      <c r="C15" s="1" t="s">
        <v>205</v>
      </c>
      <c r="D15" s="1"/>
      <c r="E15" s="49">
        <f>SUM(E9:E14)</f>
        <v>-10047899.741439404</v>
      </c>
      <c r="F15" s="1"/>
      <c r="G15" s="49">
        <f t="shared" ref="G15:J15" si="1">SUM(G9:G14)</f>
        <v>-7142892.1027194038</v>
      </c>
      <c r="H15" s="49">
        <f t="shared" si="1"/>
        <v>-2905007.6387200002</v>
      </c>
      <c r="I15" s="49">
        <f t="shared" si="1"/>
        <v>0</v>
      </c>
      <c r="J15" s="49">
        <f t="shared" si="1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">
      <c r="A16" s="99"/>
      <c r="B16" s="1"/>
      <c r="C16" s="1"/>
      <c r="D16" s="1"/>
      <c r="E16" s="19"/>
      <c r="F16" s="1"/>
      <c r="G16" s="19"/>
      <c r="H16" s="19"/>
      <c r="I16" s="1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">
      <c r="A17" s="99">
        <f>A15+1</f>
        <v>5</v>
      </c>
      <c r="B17" s="1"/>
      <c r="C17" s="1" t="s">
        <v>346</v>
      </c>
      <c r="D17" s="1"/>
      <c r="E17" s="16">
        <f>SUM(G17:L17)</f>
        <v>-25507301.640000001</v>
      </c>
      <c r="F17" s="1"/>
      <c r="G17" s="19"/>
      <c r="H17" s="19"/>
      <c r="I17" s="19"/>
      <c r="J17" s="4">
        <f>'B-4'!E12</f>
        <v>-25507301.640000001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">
      <c r="A18" s="99"/>
      <c r="B18" s="1"/>
      <c r="C18" s="1"/>
      <c r="D18" s="1"/>
      <c r="E18" s="1"/>
      <c r="F18" s="1"/>
      <c r="G18" s="4"/>
      <c r="H18" s="4"/>
      <c r="I18" s="4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">
      <c r="A19" s="99"/>
      <c r="B19" s="1"/>
      <c r="C19" s="1" t="s">
        <v>307</v>
      </c>
      <c r="D19" s="1"/>
      <c r="E19" s="1"/>
      <c r="F19" s="1"/>
      <c r="G19" s="4"/>
      <c r="H19" s="4"/>
      <c r="I19" s="4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">
      <c r="A20" s="99">
        <f>A17+1</f>
        <v>6</v>
      </c>
      <c r="B20" s="1"/>
      <c r="C20" s="107" t="s">
        <v>308</v>
      </c>
      <c r="D20" s="1"/>
      <c r="E20" s="16">
        <f t="shared" ref="E20:E22" si="2">SUM(G20:L20)</f>
        <v>0</v>
      </c>
      <c r="F20" s="1"/>
      <c r="G20" s="4"/>
      <c r="H20" s="4"/>
      <c r="I20" s="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">
      <c r="A21" s="99">
        <f t="shared" ref="A21:A23" si="3">A20+1</f>
        <v>7</v>
      </c>
      <c r="B21" s="1"/>
      <c r="C21" s="107" t="s">
        <v>309</v>
      </c>
      <c r="D21" s="1"/>
      <c r="E21" s="16">
        <f t="shared" si="2"/>
        <v>-1834000</v>
      </c>
      <c r="J21" s="4">
        <f>-'B-4'!E14</f>
        <v>-1834000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">
      <c r="A22" s="99">
        <f t="shared" si="3"/>
        <v>8</v>
      </c>
      <c r="B22" s="1"/>
      <c r="C22" s="107" t="s">
        <v>310</v>
      </c>
      <c r="D22" s="1"/>
      <c r="E22" s="16">
        <f t="shared" si="2"/>
        <v>0</v>
      </c>
      <c r="F22" s="1"/>
      <c r="G22" s="4"/>
      <c r="H22" s="4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">
      <c r="A23" s="99">
        <f t="shared" si="3"/>
        <v>9</v>
      </c>
      <c r="B23" s="1"/>
      <c r="C23" s="1" t="s">
        <v>311</v>
      </c>
      <c r="D23" s="1"/>
      <c r="E23" s="50">
        <f>SUM(E20:E22)</f>
        <v>-1834000</v>
      </c>
      <c r="F23" s="1"/>
      <c r="G23" s="50">
        <f t="shared" ref="G23:J23" si="4">SUM(G20:G22)</f>
        <v>0</v>
      </c>
      <c r="H23" s="50">
        <f t="shared" si="4"/>
        <v>0</v>
      </c>
      <c r="I23" s="50">
        <f t="shared" si="4"/>
        <v>0</v>
      </c>
      <c r="J23" s="50">
        <f t="shared" si="4"/>
        <v>-1834000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">
      <c r="A24" s="99"/>
      <c r="B24" s="1"/>
      <c r="C24" s="1"/>
      <c r="D24" s="1"/>
      <c r="E24" s="40"/>
      <c r="F24" s="1"/>
      <c r="G24" s="4"/>
      <c r="H24" s="4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">
      <c r="A25" s="99">
        <f>A23+1</f>
        <v>10</v>
      </c>
      <c r="B25" s="1"/>
      <c r="C25" s="1" t="s">
        <v>318</v>
      </c>
      <c r="D25" s="1"/>
      <c r="E25" s="50">
        <f>E15+E17+E23</f>
        <v>-37389201.381439403</v>
      </c>
      <c r="F25" s="1"/>
      <c r="G25" s="50">
        <f>G15+G17-G23</f>
        <v>-7142892.1027194038</v>
      </c>
      <c r="H25" s="50">
        <f>H15+H17-H23</f>
        <v>-2905007.6387200002</v>
      </c>
      <c r="I25" s="50">
        <f>I15+I17-I23</f>
        <v>0</v>
      </c>
      <c r="J25" s="50">
        <f>J15+J17-J23</f>
        <v>-23673301.640000001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">
      <c r="A26" s="99"/>
      <c r="B26" s="1"/>
      <c r="C26" s="1"/>
      <c r="D26" s="1"/>
      <c r="E26" s="1"/>
      <c r="F26" s="1"/>
      <c r="G26" s="4"/>
      <c r="H26" s="4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">
      <c r="A27" s="99"/>
      <c r="B27" s="1"/>
      <c r="C27" s="1" t="s">
        <v>312</v>
      </c>
      <c r="D27" s="1"/>
      <c r="E27" s="1"/>
      <c r="F27" s="1"/>
      <c r="G27" s="4"/>
      <c r="H27" s="4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">
      <c r="A28" s="99">
        <f>A25+1</f>
        <v>11</v>
      </c>
      <c r="B28" s="1"/>
      <c r="C28" s="107" t="s">
        <v>206</v>
      </c>
      <c r="D28" s="1"/>
      <c r="E28" s="16">
        <f t="shared" ref="E28:E32" si="5">SUM(G28:L28)</f>
        <v>0</v>
      </c>
      <c r="F28" s="1"/>
      <c r="G28" s="4"/>
      <c r="H28" s="4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">
      <c r="A29" s="99">
        <f t="shared" ref="A29:A33" si="6">A28+1</f>
        <v>12</v>
      </c>
      <c r="B29" s="1"/>
      <c r="C29" s="107" t="s">
        <v>313</v>
      </c>
      <c r="D29" s="1"/>
      <c r="E29" s="16">
        <f t="shared" si="5"/>
        <v>0</v>
      </c>
      <c r="F29" s="13"/>
      <c r="G29" s="19"/>
      <c r="H29" s="19"/>
      <c r="I29" s="1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">
      <c r="A30" s="99">
        <f t="shared" si="6"/>
        <v>13</v>
      </c>
      <c r="B30" s="1"/>
      <c r="C30" s="107" t="s">
        <v>314</v>
      </c>
      <c r="D30" s="1"/>
      <c r="E30" s="16">
        <f t="shared" si="5"/>
        <v>0</v>
      </c>
      <c r="F30" s="13"/>
      <c r="G30" s="40"/>
      <c r="H30" s="40"/>
      <c r="I30" s="4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">
      <c r="A31" s="99">
        <f t="shared" si="6"/>
        <v>14</v>
      </c>
      <c r="B31" s="1"/>
      <c r="C31" s="107" t="s">
        <v>132</v>
      </c>
      <c r="D31" s="1"/>
      <c r="E31" s="16">
        <f t="shared" si="5"/>
        <v>-1774884</v>
      </c>
      <c r="F31" s="1"/>
      <c r="G31" s="1"/>
      <c r="H31" s="1"/>
      <c r="I31" s="4">
        <f>'B-3'!G20</f>
        <v>-1774884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">
      <c r="A32" s="99">
        <f t="shared" si="6"/>
        <v>15</v>
      </c>
      <c r="B32" s="1"/>
      <c r="C32" s="107" t="s">
        <v>315</v>
      </c>
      <c r="D32" s="1"/>
      <c r="E32" s="16">
        <f t="shared" si="5"/>
        <v>0</v>
      </c>
      <c r="F32" s="1"/>
      <c r="G32" s="4"/>
      <c r="H32" s="4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">
      <c r="A33" s="99">
        <f t="shared" si="6"/>
        <v>16</v>
      </c>
      <c r="B33" s="1"/>
      <c r="C33" s="1" t="s">
        <v>316</v>
      </c>
      <c r="D33" s="1"/>
      <c r="E33" s="49">
        <f>SUM(E28:E32)</f>
        <v>-1774884</v>
      </c>
      <c r="F33" s="13"/>
      <c r="G33" s="49">
        <f t="shared" ref="G33:J33" si="7">SUM(G28:G32)</f>
        <v>0</v>
      </c>
      <c r="H33" s="49">
        <f t="shared" si="7"/>
        <v>0</v>
      </c>
      <c r="I33" s="49">
        <f t="shared" si="7"/>
        <v>-1774884</v>
      </c>
      <c r="J33" s="49">
        <f t="shared" si="7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">
      <c r="A34" s="99"/>
      <c r="B34" s="1"/>
      <c r="C34" s="1"/>
      <c r="D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thickBot="1" x14ac:dyDescent="0.25">
      <c r="A35" s="99">
        <f>A33+1</f>
        <v>17</v>
      </c>
      <c r="B35" s="1"/>
      <c r="C35" s="1" t="s">
        <v>317</v>
      </c>
      <c r="D35" s="1"/>
      <c r="E35" s="45">
        <f>E25+E33</f>
        <v>-39164085.381439403</v>
      </c>
      <c r="F35" s="1"/>
      <c r="G35" s="45">
        <f>G25+G33</f>
        <v>-7142892.1027194038</v>
      </c>
      <c r="H35" s="45">
        <f>H25+H33</f>
        <v>-2905007.6387200002</v>
      </c>
      <c r="I35" s="45">
        <f>I25+I33</f>
        <v>-1774884</v>
      </c>
      <c r="J35" s="45">
        <f>J25+J33</f>
        <v>-23673301.640000001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thickTop="1" x14ac:dyDescent="0.2">
      <c r="A36" s="9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">
      <c r="A37" s="99">
        <f>A35+1</f>
        <v>18</v>
      </c>
      <c r="B37" s="1"/>
      <c r="C37" s="1" t="s">
        <v>319</v>
      </c>
      <c r="D37" s="1"/>
      <c r="E37" s="16">
        <f>SUM(G37:L37)</f>
        <v>0</v>
      </c>
      <c r="F37" s="1"/>
      <c r="G37" s="4"/>
      <c r="H37" s="4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">
      <c r="A38" s="99"/>
      <c r="B38" s="1"/>
      <c r="C38" s="1"/>
      <c r="D38" s="1"/>
      <c r="E38" s="4"/>
      <c r="F38" s="1"/>
      <c r="G38" s="4"/>
      <c r="H38" s="4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thickBot="1" x14ac:dyDescent="0.25">
      <c r="A39" s="99">
        <f>A37+1</f>
        <v>19</v>
      </c>
      <c r="B39" s="1"/>
      <c r="C39" s="1" t="s">
        <v>320</v>
      </c>
      <c r="D39" s="1"/>
      <c r="E39" s="45">
        <f>E35+E37</f>
        <v>-39164085.381439403</v>
      </c>
      <c r="F39" s="1"/>
      <c r="G39" s="45">
        <f>G35+G37</f>
        <v>-7142892.1027194038</v>
      </c>
      <c r="H39" s="45">
        <f>H35+H37</f>
        <v>-2905007.6387200002</v>
      </c>
      <c r="I39" s="45">
        <f>I35+I37</f>
        <v>-1774884</v>
      </c>
      <c r="J39" s="45">
        <f>J35+J37</f>
        <v>-23673301.640000001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thickTop="1" x14ac:dyDescent="0.2">
      <c r="A40" s="9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">
      <c r="A41" s="9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">
      <c r="A42" s="2" t="s">
        <v>9</v>
      </c>
      <c r="B42" s="2"/>
      <c r="C42" s="2"/>
      <c r="D42" s="2"/>
      <c r="E42" s="2"/>
      <c r="F42" s="2"/>
      <c r="G42" s="2"/>
      <c r="H42" s="2"/>
      <c r="I42" s="71"/>
      <c r="J42" s="71"/>
    </row>
    <row r="43" spans="1:20" x14ac:dyDescent="0.2">
      <c r="A43" s="1" t="s">
        <v>128</v>
      </c>
      <c r="B43" s="1"/>
      <c r="C43" s="51"/>
      <c r="D43" s="1"/>
      <c r="E43" s="1"/>
      <c r="F43" s="1"/>
      <c r="G43" s="1"/>
      <c r="H43" s="1"/>
      <c r="J43" s="69"/>
    </row>
    <row r="44" spans="1:20" x14ac:dyDescent="0.2">
      <c r="A44" s="1"/>
      <c r="B44" s="1"/>
      <c r="C44" s="51"/>
      <c r="D44" s="1"/>
      <c r="E44" s="44"/>
      <c r="F44" s="1"/>
      <c r="G44" s="1"/>
      <c r="H44" s="1"/>
    </row>
    <row r="45" spans="1:20" x14ac:dyDescent="0.2">
      <c r="A45" s="1"/>
      <c r="B45" s="1"/>
      <c r="C45" s="1"/>
      <c r="D45" s="1"/>
      <c r="E45" s="1"/>
      <c r="F45" s="1"/>
      <c r="G45" s="1"/>
      <c r="H45" s="1"/>
    </row>
    <row r="46" spans="1:20" x14ac:dyDescent="0.2">
      <c r="A46" s="1"/>
      <c r="B46" s="1"/>
      <c r="C46" s="1"/>
      <c r="D46" s="1"/>
      <c r="E46" s="1"/>
      <c r="F46" s="1"/>
      <c r="G46" s="1"/>
      <c r="H46" s="1"/>
    </row>
    <row r="47" spans="1:20" x14ac:dyDescent="0.2">
      <c r="A47" s="1"/>
      <c r="B47" s="1"/>
      <c r="C47" s="1"/>
      <c r="D47" s="1"/>
      <c r="E47" s="1"/>
      <c r="F47" s="1"/>
      <c r="G47" s="1"/>
      <c r="H47" s="1"/>
    </row>
    <row r="48" spans="1:20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ht="15" customHeight="1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s="1" customFormat="1" x14ac:dyDescent="0.2"/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  <row r="134" spans="1:8" x14ac:dyDescent="0.2">
      <c r="A134" s="1"/>
      <c r="B134" s="1"/>
      <c r="C134" s="1"/>
      <c r="D134" s="1"/>
      <c r="E134" s="1"/>
      <c r="F134" s="1"/>
      <c r="G134" s="1"/>
      <c r="H134" s="1"/>
    </row>
    <row r="135" spans="1:8" x14ac:dyDescent="0.2">
      <c r="A135" s="1"/>
      <c r="B135" s="1"/>
      <c r="C135" s="1"/>
      <c r="D135" s="1"/>
      <c r="E135" s="1"/>
      <c r="F135" s="1"/>
      <c r="G135" s="1"/>
      <c r="H135" s="1"/>
    </row>
    <row r="136" spans="1:8" x14ac:dyDescent="0.2">
      <c r="A136" s="1"/>
      <c r="B136" s="1"/>
      <c r="C136" s="1"/>
      <c r="D136" s="1"/>
      <c r="E136" s="1"/>
      <c r="F136" s="1"/>
      <c r="G136" s="1"/>
      <c r="H136" s="1"/>
    </row>
    <row r="137" spans="1:8" x14ac:dyDescent="0.2">
      <c r="A137" s="1"/>
      <c r="B137" s="1"/>
      <c r="C137" s="1"/>
      <c r="D137" s="1"/>
      <c r="E137" s="1"/>
      <c r="F137" s="1"/>
      <c r="G137" s="1"/>
      <c r="H137" s="1"/>
    </row>
    <row r="138" spans="1:8" x14ac:dyDescent="0.2">
      <c r="A138" s="1"/>
      <c r="B138" s="1"/>
      <c r="C138" s="1"/>
      <c r="D138" s="1"/>
      <c r="E138" s="1"/>
      <c r="F138" s="1"/>
      <c r="G138" s="1"/>
      <c r="H138" s="1"/>
    </row>
    <row r="139" spans="1:8" x14ac:dyDescent="0.2">
      <c r="A139" s="1"/>
      <c r="B139" s="1"/>
      <c r="C139" s="1"/>
      <c r="D139" s="1"/>
      <c r="E139" s="1"/>
      <c r="F139" s="1"/>
      <c r="G139" s="1"/>
      <c r="H139" s="1"/>
    </row>
    <row r="140" spans="1:8" x14ac:dyDescent="0.2">
      <c r="A140" s="1"/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2" spans="1:8" x14ac:dyDescent="0.2">
      <c r="A142" s="1"/>
      <c r="B142" s="1"/>
      <c r="C142" s="1"/>
      <c r="D142" s="1"/>
      <c r="E142" s="1"/>
      <c r="F142" s="1"/>
      <c r="G142" s="1"/>
      <c r="H142" s="1"/>
    </row>
    <row r="143" spans="1:8" x14ac:dyDescent="0.2">
      <c r="A143" s="1"/>
      <c r="B143" s="1"/>
      <c r="C143" s="1"/>
      <c r="D143" s="1"/>
      <c r="E143" s="1"/>
      <c r="F143" s="1"/>
      <c r="G143" s="1"/>
      <c r="H143" s="1"/>
    </row>
    <row r="144" spans="1:8" x14ac:dyDescent="0.2">
      <c r="A144" s="1"/>
      <c r="B144" s="1"/>
      <c r="C144" s="1"/>
      <c r="D144" s="1"/>
      <c r="E144" s="1"/>
      <c r="F144" s="1"/>
      <c r="G144" s="1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  <c r="H149" s="1"/>
    </row>
    <row r="150" spans="1:8" x14ac:dyDescent="0.2">
      <c r="A150" s="1"/>
      <c r="B150" s="1"/>
      <c r="C150" s="1"/>
      <c r="D150" s="1"/>
      <c r="E150" s="1"/>
      <c r="F150" s="1"/>
      <c r="G150" s="1"/>
      <c r="H150" s="1"/>
    </row>
    <row r="151" spans="1:8" x14ac:dyDescent="0.2">
      <c r="A151" s="1"/>
      <c r="B151" s="1"/>
      <c r="C151" s="1"/>
      <c r="D151" s="1"/>
      <c r="E151" s="1"/>
      <c r="F151" s="1"/>
      <c r="G151" s="1"/>
      <c r="H151" s="1"/>
    </row>
    <row r="152" spans="1:8" x14ac:dyDescent="0.2">
      <c r="A152" s="1"/>
      <c r="B152" s="1"/>
      <c r="C152" s="1"/>
      <c r="D152" s="1"/>
      <c r="E152" s="1"/>
      <c r="F152" s="1"/>
      <c r="G152" s="1"/>
      <c r="H152" s="1"/>
    </row>
    <row r="153" spans="1:8" x14ac:dyDescent="0.2">
      <c r="A153" s="1"/>
      <c r="B153" s="1"/>
      <c r="C153" s="1"/>
      <c r="D153" s="1"/>
      <c r="E153" s="1"/>
      <c r="F153" s="1"/>
      <c r="G153" s="1"/>
      <c r="H153" s="1"/>
    </row>
    <row r="154" spans="1:8" x14ac:dyDescent="0.2">
      <c r="A154" s="1"/>
      <c r="B154" s="1"/>
      <c r="C154" s="1"/>
      <c r="D154" s="1"/>
      <c r="E154" s="1"/>
      <c r="F154" s="1"/>
      <c r="G154" s="1"/>
      <c r="H154" s="1"/>
    </row>
    <row r="155" spans="1:8" x14ac:dyDescent="0.2">
      <c r="A155" s="1"/>
      <c r="B155" s="1"/>
      <c r="C155" s="1"/>
      <c r="D155" s="1"/>
      <c r="E155" s="1"/>
      <c r="F155" s="1"/>
      <c r="G155" s="1"/>
      <c r="H155" s="1"/>
    </row>
    <row r="156" spans="1:8" x14ac:dyDescent="0.2">
      <c r="A156" s="1"/>
      <c r="B156" s="1"/>
      <c r="C156" s="1"/>
      <c r="D156" s="1"/>
      <c r="E156" s="1"/>
      <c r="F156" s="1"/>
      <c r="G156" s="1"/>
      <c r="H156" s="1"/>
    </row>
    <row r="157" spans="1:8" x14ac:dyDescent="0.2">
      <c r="A157" s="1"/>
      <c r="B157" s="1"/>
      <c r="C157" s="1"/>
      <c r="D157" s="1"/>
      <c r="E157" s="1"/>
      <c r="F157" s="1"/>
      <c r="G157" s="1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  <row r="202" spans="1:8" x14ac:dyDescent="0.2">
      <c r="A202" s="1"/>
      <c r="B202" s="1"/>
      <c r="C202" s="1"/>
      <c r="D202" s="1"/>
      <c r="E202" s="1"/>
      <c r="F202" s="1"/>
      <c r="G202" s="1"/>
      <c r="H202" s="1"/>
    </row>
    <row r="203" spans="1:8" x14ac:dyDescent="0.2">
      <c r="A203" s="1"/>
      <c r="B203" s="1"/>
      <c r="C203" s="1"/>
      <c r="D203" s="1"/>
      <c r="E203" s="1"/>
      <c r="F203" s="1"/>
      <c r="G203" s="1"/>
      <c r="H203" s="1"/>
    </row>
    <row r="204" spans="1:8" x14ac:dyDescent="0.2">
      <c r="A204" s="1"/>
      <c r="B204" s="1"/>
      <c r="C204" s="1"/>
      <c r="D204" s="1"/>
      <c r="E204" s="1"/>
      <c r="F204" s="1"/>
      <c r="G204" s="1"/>
      <c r="H204" s="1"/>
    </row>
    <row r="205" spans="1:8" x14ac:dyDescent="0.2">
      <c r="A205" s="1"/>
      <c r="B205" s="1"/>
      <c r="C205" s="1"/>
      <c r="D205" s="1"/>
      <c r="E205" s="1"/>
      <c r="F205" s="1"/>
      <c r="G205" s="1"/>
      <c r="H205" s="1"/>
    </row>
    <row r="206" spans="1:8" x14ac:dyDescent="0.2">
      <c r="A206" s="1"/>
      <c r="B206" s="1"/>
      <c r="C206" s="1"/>
      <c r="D206" s="1"/>
      <c r="E206" s="1"/>
      <c r="F206" s="1"/>
      <c r="G206" s="1"/>
      <c r="H206" s="1"/>
    </row>
    <row r="207" spans="1:8" x14ac:dyDescent="0.2">
      <c r="A207" s="1"/>
      <c r="B207" s="1"/>
      <c r="C207" s="1"/>
      <c r="D207" s="1"/>
      <c r="E207" s="1"/>
      <c r="F207" s="1"/>
      <c r="G207" s="1"/>
      <c r="H207" s="1"/>
    </row>
    <row r="208" spans="1:8" x14ac:dyDescent="0.2">
      <c r="A208" s="1"/>
      <c r="B208" s="1"/>
      <c r="C208" s="1"/>
      <c r="D208" s="1"/>
      <c r="E208" s="1"/>
      <c r="F208" s="1"/>
      <c r="G208" s="1"/>
      <c r="H208" s="1"/>
    </row>
    <row r="209" spans="1:8" x14ac:dyDescent="0.2">
      <c r="A209" s="1"/>
      <c r="B209" s="1"/>
      <c r="C209" s="1"/>
      <c r="D209" s="1"/>
      <c r="E209" s="1"/>
      <c r="F209" s="1"/>
      <c r="G209" s="1"/>
      <c r="H209" s="1"/>
    </row>
    <row r="210" spans="1:8" x14ac:dyDescent="0.2">
      <c r="A210" s="1"/>
      <c r="B210" s="1"/>
      <c r="C210" s="1"/>
      <c r="D210" s="1"/>
      <c r="E210" s="1"/>
      <c r="F210" s="1"/>
      <c r="G210" s="1"/>
      <c r="H210" s="1"/>
    </row>
    <row r="211" spans="1:8" x14ac:dyDescent="0.2">
      <c r="A211" s="1"/>
      <c r="B211" s="1"/>
      <c r="C211" s="1"/>
      <c r="D211" s="1"/>
      <c r="E211" s="1"/>
      <c r="F211" s="1"/>
      <c r="G211" s="1"/>
      <c r="H211" s="1"/>
    </row>
    <row r="212" spans="1:8" x14ac:dyDescent="0.2">
      <c r="A212" s="1"/>
      <c r="B212" s="1"/>
      <c r="C212" s="1"/>
      <c r="D212" s="1"/>
      <c r="E212" s="1"/>
      <c r="F212" s="1"/>
      <c r="G212" s="1"/>
      <c r="H212" s="1"/>
    </row>
    <row r="213" spans="1:8" x14ac:dyDescent="0.2">
      <c r="A213" s="1"/>
      <c r="B213" s="1"/>
      <c r="C213" s="1"/>
      <c r="D213" s="1"/>
      <c r="E213" s="1"/>
      <c r="F213" s="1"/>
      <c r="G213" s="1"/>
      <c r="H213" s="1"/>
    </row>
    <row r="214" spans="1:8" x14ac:dyDescent="0.2">
      <c r="A214" s="1"/>
      <c r="B214" s="1"/>
      <c r="C214" s="1"/>
      <c r="D214" s="1"/>
      <c r="E214" s="1"/>
      <c r="F214" s="1"/>
      <c r="G214" s="1"/>
      <c r="H214" s="1"/>
    </row>
    <row r="215" spans="1:8" x14ac:dyDescent="0.2">
      <c r="A215" s="1"/>
      <c r="B215" s="1"/>
      <c r="C215" s="1"/>
      <c r="D215" s="1"/>
      <c r="E215" s="1"/>
      <c r="F215" s="1"/>
      <c r="G215" s="1"/>
      <c r="H215" s="1"/>
    </row>
    <row r="216" spans="1:8" x14ac:dyDescent="0.2">
      <c r="A216" s="1"/>
      <c r="B216" s="1"/>
      <c r="C216" s="1"/>
      <c r="D216" s="1"/>
      <c r="E216" s="1"/>
      <c r="F216" s="1"/>
      <c r="G216" s="1"/>
      <c r="H216" s="1"/>
    </row>
    <row r="217" spans="1:8" x14ac:dyDescent="0.2">
      <c r="A217" s="1"/>
      <c r="B217" s="1"/>
      <c r="C217" s="1"/>
      <c r="D217" s="1"/>
      <c r="E217" s="1"/>
      <c r="F217" s="1"/>
      <c r="G217" s="1"/>
      <c r="H217" s="1"/>
    </row>
    <row r="218" spans="1:8" x14ac:dyDescent="0.2">
      <c r="A218" s="1"/>
      <c r="B218" s="1"/>
      <c r="C218" s="1"/>
      <c r="D218" s="1"/>
      <c r="E218" s="1"/>
      <c r="F218" s="1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x14ac:dyDescent="0.2">
      <c r="A220" s="1"/>
      <c r="B220" s="1"/>
      <c r="C220" s="1"/>
      <c r="D220" s="1"/>
      <c r="E220" s="1"/>
      <c r="F220" s="1"/>
      <c r="G220" s="1"/>
      <c r="H220" s="1"/>
    </row>
    <row r="221" spans="1:8" x14ac:dyDescent="0.2">
      <c r="A221" s="1"/>
      <c r="B221" s="1"/>
      <c r="C221" s="1"/>
      <c r="D221" s="1"/>
      <c r="E221" s="1"/>
      <c r="F221" s="1"/>
      <c r="G221" s="1"/>
      <c r="H221" s="1"/>
    </row>
    <row r="222" spans="1:8" x14ac:dyDescent="0.2">
      <c r="A222" s="1"/>
      <c r="B222" s="1"/>
      <c r="C222" s="1"/>
      <c r="D222" s="1"/>
      <c r="E222" s="1"/>
      <c r="F222" s="1"/>
      <c r="G222" s="1"/>
      <c r="H222" s="1"/>
    </row>
    <row r="223" spans="1:8" x14ac:dyDescent="0.2">
      <c r="A223" s="1"/>
      <c r="B223" s="1"/>
      <c r="C223" s="1"/>
      <c r="D223" s="1"/>
      <c r="E223" s="1"/>
      <c r="F223" s="1"/>
      <c r="G223" s="1"/>
      <c r="H223" s="1"/>
    </row>
    <row r="224" spans="1:8" x14ac:dyDescent="0.2">
      <c r="A224" s="1"/>
      <c r="B224" s="1"/>
      <c r="C224" s="1"/>
      <c r="D224" s="1"/>
      <c r="E224" s="1"/>
      <c r="F224" s="1"/>
      <c r="G224" s="1"/>
      <c r="H224" s="1"/>
    </row>
    <row r="225" spans="1:8" x14ac:dyDescent="0.2">
      <c r="A225" s="1"/>
      <c r="B225" s="1"/>
      <c r="C225" s="1"/>
      <c r="D225" s="1"/>
      <c r="E225" s="1"/>
      <c r="F225" s="1"/>
      <c r="G225" s="1"/>
      <c r="H225" s="1"/>
    </row>
    <row r="226" spans="1:8" x14ac:dyDescent="0.2">
      <c r="A226" s="1"/>
      <c r="B226" s="1"/>
      <c r="C226" s="1"/>
      <c r="D226" s="1"/>
      <c r="E226" s="1"/>
      <c r="F226" s="1"/>
      <c r="G226" s="1"/>
      <c r="H226" s="1"/>
    </row>
    <row r="227" spans="1:8" x14ac:dyDescent="0.2">
      <c r="A227" s="1"/>
      <c r="B227" s="1"/>
      <c r="C227" s="1"/>
      <c r="D227" s="1"/>
      <c r="E227" s="1"/>
      <c r="F227" s="1"/>
      <c r="G227" s="1"/>
      <c r="H227" s="1"/>
    </row>
    <row r="228" spans="1:8" x14ac:dyDescent="0.2">
      <c r="A228" s="1"/>
      <c r="B228" s="1"/>
      <c r="C228" s="1"/>
      <c r="D228" s="1"/>
      <c r="E228" s="1"/>
      <c r="F228" s="1"/>
      <c r="G228" s="1"/>
      <c r="H228" s="1"/>
    </row>
    <row r="229" spans="1:8" x14ac:dyDescent="0.2">
      <c r="A229" s="1"/>
      <c r="B229" s="1"/>
      <c r="C229" s="1"/>
      <c r="D229" s="1"/>
      <c r="E229" s="1"/>
      <c r="F229" s="1"/>
      <c r="G229" s="1"/>
      <c r="H229" s="1"/>
    </row>
    <row r="230" spans="1:8" x14ac:dyDescent="0.2">
      <c r="A230" s="1"/>
      <c r="B230" s="1"/>
      <c r="C230" s="1"/>
      <c r="D230" s="1"/>
      <c r="E230" s="1"/>
      <c r="F230" s="1"/>
      <c r="G230" s="1"/>
      <c r="H230" s="1"/>
    </row>
    <row r="231" spans="1:8" x14ac:dyDescent="0.2">
      <c r="A231" s="1"/>
      <c r="B231" s="1"/>
      <c r="C231" s="1"/>
      <c r="D231" s="1"/>
      <c r="E231" s="1"/>
      <c r="F231" s="1"/>
      <c r="G231" s="1"/>
      <c r="H231" s="1"/>
    </row>
    <row r="232" spans="1:8" x14ac:dyDescent="0.2">
      <c r="A232" s="1"/>
      <c r="B232" s="1"/>
      <c r="C232" s="1"/>
      <c r="D232" s="1"/>
      <c r="E232" s="1"/>
      <c r="F232" s="1"/>
      <c r="G232" s="1"/>
      <c r="H232" s="1"/>
    </row>
    <row r="233" spans="1:8" x14ac:dyDescent="0.2">
      <c r="A233" s="1"/>
      <c r="B233" s="1"/>
      <c r="C233" s="1"/>
      <c r="D233" s="1"/>
      <c r="E233" s="1"/>
      <c r="F233" s="1"/>
      <c r="G233" s="1"/>
      <c r="H233" s="1"/>
    </row>
    <row r="234" spans="1:8" x14ac:dyDescent="0.2">
      <c r="A234" s="1"/>
      <c r="B234" s="1"/>
      <c r="C234" s="1"/>
      <c r="D234" s="1"/>
      <c r="E234" s="1"/>
      <c r="F234" s="1"/>
      <c r="G234" s="1"/>
      <c r="H234" s="1"/>
    </row>
    <row r="235" spans="1:8" x14ac:dyDescent="0.2">
      <c r="A235" s="1"/>
      <c r="B235" s="1"/>
      <c r="C235" s="1"/>
      <c r="D235" s="1"/>
      <c r="E235" s="1"/>
      <c r="F235" s="1"/>
      <c r="G235" s="1"/>
      <c r="H235" s="1"/>
    </row>
    <row r="236" spans="1:8" x14ac:dyDescent="0.2">
      <c r="A236" s="1"/>
      <c r="B236" s="1"/>
      <c r="C236" s="1"/>
      <c r="D236" s="1"/>
      <c r="E236" s="1"/>
      <c r="F236" s="1"/>
      <c r="G236" s="1"/>
      <c r="H236" s="1"/>
    </row>
    <row r="237" spans="1:8" x14ac:dyDescent="0.2">
      <c r="A237" s="1"/>
      <c r="B237" s="1"/>
      <c r="C237" s="1"/>
      <c r="D237" s="1"/>
      <c r="E237" s="1"/>
      <c r="F237" s="1"/>
      <c r="G237" s="1"/>
      <c r="H237" s="1"/>
    </row>
    <row r="238" spans="1:8" x14ac:dyDescent="0.2">
      <c r="A238" s="1"/>
      <c r="B238" s="1"/>
      <c r="C238" s="1"/>
      <c r="D238" s="1"/>
      <c r="E238" s="1"/>
      <c r="F238" s="1"/>
      <c r="G238" s="1"/>
      <c r="H238" s="1"/>
    </row>
    <row r="239" spans="1:8" x14ac:dyDescent="0.2">
      <c r="A239" s="1"/>
      <c r="B239" s="1"/>
      <c r="C239" s="1"/>
      <c r="D239" s="1"/>
      <c r="E239" s="1"/>
      <c r="F239" s="1"/>
      <c r="G239" s="1"/>
      <c r="H239" s="1"/>
    </row>
    <row r="240" spans="1:8" x14ac:dyDescent="0.2">
      <c r="A240" s="1"/>
      <c r="B240" s="1"/>
      <c r="C240" s="1"/>
      <c r="D240" s="1"/>
      <c r="E240" s="1"/>
      <c r="F240" s="1"/>
      <c r="G240" s="1"/>
      <c r="H240" s="1"/>
    </row>
    <row r="241" spans="1:8" x14ac:dyDescent="0.2">
      <c r="A241" s="1"/>
      <c r="B241" s="1"/>
      <c r="C241" s="1"/>
      <c r="D241" s="1"/>
      <c r="E241" s="1"/>
      <c r="F241" s="1"/>
      <c r="G241" s="1"/>
      <c r="H241" s="1"/>
    </row>
    <row r="242" spans="1:8" x14ac:dyDescent="0.2">
      <c r="A242" s="1"/>
      <c r="B242" s="1"/>
      <c r="C242" s="1"/>
      <c r="D242" s="1"/>
      <c r="E242" s="1"/>
      <c r="F242" s="1"/>
      <c r="G242" s="1"/>
      <c r="H242" s="1"/>
    </row>
    <row r="243" spans="1:8" x14ac:dyDescent="0.2">
      <c r="A243" s="1"/>
      <c r="B243" s="1"/>
      <c r="C243" s="1"/>
      <c r="D243" s="1"/>
      <c r="E243" s="1"/>
      <c r="F243" s="1"/>
      <c r="G243" s="1"/>
      <c r="H243" s="1"/>
    </row>
    <row r="244" spans="1:8" x14ac:dyDescent="0.2">
      <c r="A244" s="1"/>
      <c r="B244" s="1"/>
      <c r="C244" s="1"/>
      <c r="D244" s="1"/>
      <c r="E244" s="1"/>
      <c r="F244" s="1"/>
      <c r="G244" s="1"/>
      <c r="H244" s="1"/>
    </row>
    <row r="245" spans="1:8" x14ac:dyDescent="0.2">
      <c r="A245" s="1"/>
      <c r="B245" s="1"/>
      <c r="C245" s="1"/>
      <c r="D245" s="1"/>
      <c r="E245" s="1"/>
      <c r="F245" s="1"/>
      <c r="G245" s="1"/>
      <c r="H245" s="1"/>
    </row>
    <row r="246" spans="1:8" x14ac:dyDescent="0.2">
      <c r="A246" s="1"/>
      <c r="B246" s="1"/>
      <c r="C246" s="1"/>
      <c r="D246" s="1"/>
      <c r="E246" s="1"/>
      <c r="F246" s="1"/>
      <c r="G246" s="1"/>
      <c r="H246" s="1"/>
    </row>
    <row r="247" spans="1:8" x14ac:dyDescent="0.2">
      <c r="A247" s="1"/>
      <c r="B247" s="1"/>
      <c r="C247" s="1"/>
      <c r="D247" s="1"/>
      <c r="E247" s="1"/>
      <c r="F247" s="1"/>
      <c r="G247" s="1"/>
      <c r="H247" s="1"/>
    </row>
    <row r="248" spans="1:8" x14ac:dyDescent="0.2">
      <c r="A248" s="1"/>
      <c r="B248" s="1"/>
      <c r="C248" s="1"/>
      <c r="D248" s="1"/>
      <c r="E248" s="1"/>
      <c r="F248" s="1"/>
      <c r="G248" s="1"/>
      <c r="H248" s="1"/>
    </row>
    <row r="249" spans="1:8" x14ac:dyDescent="0.2">
      <c r="A249" s="1"/>
      <c r="B249" s="1"/>
      <c r="C249" s="1"/>
      <c r="D249" s="1"/>
      <c r="E249" s="1"/>
      <c r="F249" s="1"/>
      <c r="G249" s="1"/>
      <c r="H249" s="1"/>
    </row>
    <row r="250" spans="1:8" x14ac:dyDescent="0.2">
      <c r="A250" s="1"/>
      <c r="B250" s="1"/>
      <c r="C250" s="1"/>
      <c r="D250" s="1"/>
      <c r="E250" s="1"/>
      <c r="F250" s="1"/>
      <c r="G250" s="1"/>
      <c r="H250" s="1"/>
    </row>
    <row r="251" spans="1:8" x14ac:dyDescent="0.2">
      <c r="A251" s="1"/>
      <c r="B251" s="1"/>
      <c r="C251" s="1"/>
      <c r="D251" s="1"/>
      <c r="E251" s="1"/>
      <c r="F251" s="1"/>
      <c r="G251" s="1"/>
      <c r="H251" s="1"/>
    </row>
    <row r="252" spans="1:8" x14ac:dyDescent="0.2">
      <c r="A252" s="1"/>
      <c r="B252" s="1"/>
      <c r="C252" s="1"/>
      <c r="D252" s="1"/>
      <c r="E252" s="1"/>
      <c r="F252" s="1"/>
      <c r="G252" s="1"/>
      <c r="H252" s="1"/>
    </row>
    <row r="253" spans="1:8" x14ac:dyDescent="0.2">
      <c r="A253" s="1"/>
      <c r="B253" s="1"/>
      <c r="C253" s="1"/>
      <c r="D253" s="1"/>
      <c r="E253" s="1"/>
      <c r="F253" s="1"/>
      <c r="G253" s="1"/>
      <c r="H253" s="1"/>
    </row>
    <row r="254" spans="1:8" x14ac:dyDescent="0.2">
      <c r="A254" s="1"/>
      <c r="B254" s="1"/>
      <c r="C254" s="1"/>
      <c r="D254" s="1"/>
      <c r="E254" s="1"/>
      <c r="F254" s="1"/>
      <c r="G254" s="1"/>
      <c r="H254" s="1"/>
    </row>
    <row r="255" spans="1:8" x14ac:dyDescent="0.2">
      <c r="A255" s="1"/>
      <c r="B255" s="1"/>
      <c r="C255" s="1"/>
      <c r="D255" s="1"/>
      <c r="E255" s="1"/>
      <c r="F255" s="1"/>
      <c r="G255" s="1"/>
      <c r="H255" s="1"/>
    </row>
    <row r="256" spans="1:8" x14ac:dyDescent="0.2">
      <c r="A256" s="1"/>
      <c r="B256" s="1"/>
      <c r="C256" s="1"/>
      <c r="D256" s="1"/>
      <c r="E256" s="1"/>
      <c r="F256" s="1"/>
      <c r="G256" s="1"/>
      <c r="H256" s="1"/>
    </row>
    <row r="257" spans="1:8" x14ac:dyDescent="0.2">
      <c r="A257" s="1"/>
      <c r="B257" s="1"/>
      <c r="C257" s="1"/>
      <c r="D257" s="1"/>
      <c r="E257" s="1"/>
      <c r="F257" s="1"/>
      <c r="G257" s="1"/>
      <c r="H257" s="1"/>
    </row>
    <row r="258" spans="1:8" x14ac:dyDescent="0.2">
      <c r="A258" s="1"/>
      <c r="B258" s="1"/>
      <c r="C258" s="1"/>
      <c r="D258" s="1"/>
      <c r="E258" s="1"/>
      <c r="F258" s="1"/>
      <c r="G258" s="1"/>
      <c r="H258" s="1"/>
    </row>
    <row r="259" spans="1:8" x14ac:dyDescent="0.2">
      <c r="A259" s="1"/>
      <c r="B259" s="1"/>
      <c r="C259" s="1"/>
      <c r="D259" s="1"/>
      <c r="E259" s="1"/>
      <c r="F259" s="1"/>
      <c r="G259" s="1"/>
      <c r="H259" s="1"/>
    </row>
    <row r="260" spans="1:8" x14ac:dyDescent="0.2">
      <c r="A260" s="1"/>
      <c r="B260" s="1"/>
      <c r="C260" s="1"/>
      <c r="D260" s="1"/>
      <c r="E260" s="1"/>
      <c r="F260" s="1"/>
      <c r="G260" s="1"/>
      <c r="H260" s="1"/>
    </row>
    <row r="261" spans="1:8" x14ac:dyDescent="0.2">
      <c r="A261" s="1"/>
      <c r="B261" s="1"/>
      <c r="C261" s="1"/>
      <c r="D261" s="1"/>
      <c r="E261" s="1"/>
      <c r="F261" s="1"/>
      <c r="G261" s="1"/>
      <c r="H261" s="1"/>
    </row>
    <row r="262" spans="1:8" x14ac:dyDescent="0.2">
      <c r="A262" s="1"/>
      <c r="B262" s="1"/>
      <c r="C262" s="1"/>
      <c r="D262" s="1"/>
      <c r="E262" s="1"/>
      <c r="F262" s="1"/>
      <c r="G262" s="1"/>
      <c r="H262" s="1"/>
    </row>
    <row r="263" spans="1:8" x14ac:dyDescent="0.2">
      <c r="A263" s="1"/>
      <c r="B263" s="1"/>
      <c r="C263" s="1"/>
      <c r="D263" s="1"/>
      <c r="E263" s="1"/>
      <c r="F263" s="1"/>
      <c r="G263" s="1"/>
      <c r="H263" s="1"/>
    </row>
    <row r="264" spans="1:8" x14ac:dyDescent="0.2">
      <c r="A264" s="1"/>
      <c r="B264" s="1"/>
      <c r="C264" s="1"/>
      <c r="D264" s="1"/>
      <c r="E264" s="1"/>
      <c r="F264" s="1"/>
      <c r="G264" s="1"/>
      <c r="H264" s="1"/>
    </row>
    <row r="265" spans="1:8" x14ac:dyDescent="0.2">
      <c r="A265" s="1"/>
      <c r="B265" s="1"/>
      <c r="C265" s="1"/>
      <c r="D265" s="1"/>
      <c r="E265" s="1"/>
      <c r="F265" s="1"/>
      <c r="G265" s="1"/>
      <c r="H265" s="1"/>
    </row>
    <row r="266" spans="1:8" x14ac:dyDescent="0.2">
      <c r="A266" s="1"/>
      <c r="B266" s="1"/>
      <c r="C266" s="1"/>
      <c r="D266" s="1"/>
      <c r="E266" s="1"/>
      <c r="F266" s="1"/>
      <c r="G266" s="1"/>
      <c r="H266" s="1"/>
    </row>
    <row r="267" spans="1:8" x14ac:dyDescent="0.2">
      <c r="A267" s="1"/>
      <c r="B267" s="1"/>
      <c r="C267" s="1"/>
      <c r="D267" s="1"/>
      <c r="E267" s="1"/>
      <c r="F267" s="1"/>
      <c r="G267" s="1"/>
      <c r="H267" s="1"/>
    </row>
    <row r="268" spans="1:8" x14ac:dyDescent="0.2">
      <c r="A268" s="1"/>
      <c r="B268" s="1"/>
      <c r="C268" s="1"/>
      <c r="D268" s="1"/>
      <c r="E268" s="1"/>
      <c r="F268" s="1"/>
      <c r="G268" s="1"/>
      <c r="H268" s="1"/>
    </row>
    <row r="269" spans="1:8" x14ac:dyDescent="0.2">
      <c r="A269" s="1"/>
      <c r="B269" s="1"/>
      <c r="C269" s="1"/>
      <c r="D269" s="1"/>
      <c r="E269" s="1"/>
      <c r="F269" s="1"/>
      <c r="G269" s="1"/>
      <c r="H269" s="1"/>
    </row>
    <row r="270" spans="1:8" x14ac:dyDescent="0.2">
      <c r="A270" s="1"/>
      <c r="B270" s="1"/>
      <c r="C270" s="1"/>
      <c r="D270" s="1"/>
      <c r="E270" s="1"/>
      <c r="F270" s="1"/>
      <c r="G270" s="1"/>
      <c r="H270" s="1"/>
    </row>
    <row r="271" spans="1:8" x14ac:dyDescent="0.2">
      <c r="A271" s="1"/>
      <c r="B271" s="1"/>
      <c r="C271" s="1"/>
      <c r="D271" s="1"/>
      <c r="E271" s="1"/>
      <c r="F271" s="1"/>
      <c r="G271" s="1"/>
      <c r="H271" s="1"/>
    </row>
    <row r="272" spans="1:8" x14ac:dyDescent="0.2">
      <c r="A272" s="1"/>
      <c r="B272" s="1"/>
      <c r="C272" s="1"/>
      <c r="D272" s="1"/>
      <c r="E272" s="1"/>
      <c r="F272" s="1"/>
      <c r="G272" s="1"/>
      <c r="H272" s="1"/>
    </row>
    <row r="273" spans="1:8" x14ac:dyDescent="0.2">
      <c r="A273" s="1"/>
      <c r="B273" s="1"/>
      <c r="C273" s="1"/>
      <c r="D273" s="1"/>
      <c r="E273" s="1"/>
      <c r="F273" s="1"/>
      <c r="G273" s="1"/>
      <c r="H273" s="1"/>
    </row>
    <row r="274" spans="1:8" x14ac:dyDescent="0.2">
      <c r="A274" s="1"/>
      <c r="B274" s="1"/>
      <c r="C274" s="1"/>
      <c r="D274" s="1"/>
      <c r="E274" s="1"/>
      <c r="F274" s="1"/>
      <c r="G274" s="1"/>
      <c r="H274" s="1"/>
    </row>
    <row r="275" spans="1:8" x14ac:dyDescent="0.2">
      <c r="A275" s="1"/>
      <c r="B275" s="1"/>
      <c r="C275" s="1"/>
      <c r="D275" s="1"/>
      <c r="E275" s="1"/>
      <c r="F275" s="1"/>
      <c r="G275" s="1"/>
      <c r="H275" s="1"/>
    </row>
    <row r="276" spans="1:8" x14ac:dyDescent="0.2">
      <c r="A276" s="1"/>
      <c r="B276" s="1"/>
      <c r="C276" s="1"/>
      <c r="D276" s="1"/>
      <c r="E276" s="1"/>
      <c r="F276" s="1"/>
      <c r="G276" s="1"/>
      <c r="H276" s="1"/>
    </row>
    <row r="277" spans="1:8" x14ac:dyDescent="0.2">
      <c r="A277" s="1"/>
      <c r="B277" s="1"/>
      <c r="C277" s="1"/>
      <c r="D277" s="1"/>
      <c r="E277" s="1"/>
      <c r="F277" s="1"/>
      <c r="G277" s="1"/>
      <c r="H277" s="1"/>
    </row>
    <row r="278" spans="1:8" x14ac:dyDescent="0.2">
      <c r="A278" s="1"/>
      <c r="B278" s="1"/>
      <c r="C278" s="1"/>
      <c r="D278" s="1"/>
      <c r="E278" s="1"/>
      <c r="F278" s="1"/>
      <c r="G278" s="1"/>
      <c r="H278" s="1"/>
    </row>
    <row r="279" spans="1:8" x14ac:dyDescent="0.2">
      <c r="A279" s="1"/>
      <c r="B279" s="1"/>
      <c r="C279" s="1"/>
      <c r="D279" s="1"/>
      <c r="E279" s="1"/>
      <c r="F279" s="1"/>
      <c r="G279" s="1"/>
      <c r="H279" s="1"/>
    </row>
    <row r="280" spans="1:8" x14ac:dyDescent="0.2">
      <c r="A280" s="1"/>
      <c r="B280" s="1"/>
      <c r="C280" s="1"/>
      <c r="D280" s="1"/>
      <c r="E280" s="1"/>
      <c r="F280" s="1"/>
      <c r="G280" s="1"/>
      <c r="H280" s="1"/>
    </row>
    <row r="281" spans="1:8" x14ac:dyDescent="0.2">
      <c r="A281" s="1"/>
      <c r="B281" s="1"/>
      <c r="C281" s="1"/>
      <c r="D281" s="1"/>
      <c r="E281" s="1"/>
      <c r="F281" s="1"/>
      <c r="G281" s="1"/>
      <c r="H281" s="1"/>
    </row>
    <row r="282" spans="1:8" x14ac:dyDescent="0.2">
      <c r="A282" s="1"/>
      <c r="B282" s="1"/>
      <c r="C282" s="1"/>
      <c r="D282" s="1"/>
      <c r="E282" s="1"/>
      <c r="F282" s="1"/>
      <c r="G282" s="1"/>
      <c r="H282" s="1"/>
    </row>
    <row r="283" spans="1:8" x14ac:dyDescent="0.2">
      <c r="A283" s="1"/>
      <c r="B283" s="1"/>
      <c r="C283" s="1"/>
      <c r="D283" s="1"/>
      <c r="E283" s="1"/>
      <c r="F283" s="1"/>
      <c r="G283" s="1"/>
      <c r="H283" s="1"/>
    </row>
    <row r="284" spans="1:8" x14ac:dyDescent="0.2">
      <c r="A284" s="1"/>
      <c r="B284" s="1"/>
      <c r="C284" s="1"/>
      <c r="D284" s="1"/>
      <c r="E284" s="1"/>
      <c r="F284" s="1"/>
      <c r="G284" s="1"/>
      <c r="H284" s="1"/>
    </row>
    <row r="285" spans="1:8" x14ac:dyDescent="0.2">
      <c r="A285" s="1"/>
      <c r="B285" s="1"/>
      <c r="C285" s="1"/>
      <c r="D285" s="1"/>
      <c r="E285" s="1"/>
      <c r="F285" s="1"/>
      <c r="G285" s="1"/>
      <c r="H285" s="1"/>
    </row>
    <row r="286" spans="1:8" x14ac:dyDescent="0.2">
      <c r="A286" s="1"/>
      <c r="B286" s="1"/>
      <c r="C286" s="1"/>
      <c r="D286" s="1"/>
      <c r="E286" s="1"/>
      <c r="F286" s="1"/>
      <c r="G286" s="1"/>
      <c r="H286" s="1"/>
    </row>
    <row r="287" spans="1:8" x14ac:dyDescent="0.2">
      <c r="A287" s="1"/>
      <c r="B287" s="1"/>
      <c r="C287" s="1"/>
      <c r="D287" s="1"/>
      <c r="E287" s="1"/>
      <c r="F287" s="1"/>
      <c r="G287" s="1"/>
      <c r="H287" s="1"/>
    </row>
    <row r="288" spans="1:8" x14ac:dyDescent="0.2">
      <c r="A288" s="1"/>
      <c r="B288" s="1"/>
      <c r="C288" s="1"/>
      <c r="D288" s="1"/>
      <c r="E288" s="1"/>
      <c r="F288" s="1"/>
      <c r="G288" s="1"/>
      <c r="H288" s="1"/>
    </row>
    <row r="289" spans="1:8" x14ac:dyDescent="0.2">
      <c r="A289" s="1"/>
      <c r="B289" s="1"/>
      <c r="C289" s="1"/>
      <c r="D289" s="1"/>
      <c r="E289" s="1"/>
      <c r="F289" s="1"/>
      <c r="G289" s="1"/>
      <c r="H289" s="1"/>
    </row>
    <row r="290" spans="1:8" x14ac:dyDescent="0.2">
      <c r="A290" s="1"/>
      <c r="B290" s="1"/>
      <c r="C290" s="1"/>
      <c r="D290" s="1"/>
      <c r="E290" s="1"/>
      <c r="F290" s="1"/>
      <c r="G290" s="1"/>
      <c r="H290" s="1"/>
    </row>
    <row r="291" spans="1:8" x14ac:dyDescent="0.2">
      <c r="A291" s="1"/>
      <c r="B291" s="1"/>
      <c r="C291" s="1"/>
      <c r="D291" s="1"/>
      <c r="E291" s="1"/>
      <c r="F291" s="1"/>
      <c r="G291" s="1"/>
      <c r="H291" s="1"/>
    </row>
    <row r="292" spans="1:8" x14ac:dyDescent="0.2">
      <c r="A292" s="1"/>
      <c r="B292" s="1"/>
      <c r="C292" s="1"/>
      <c r="D292" s="1"/>
      <c r="E292" s="1"/>
      <c r="F292" s="1"/>
      <c r="G292" s="1"/>
      <c r="H292" s="1"/>
    </row>
    <row r="293" spans="1:8" x14ac:dyDescent="0.2">
      <c r="A293" s="1"/>
      <c r="B293" s="1"/>
      <c r="C293" s="1"/>
      <c r="D293" s="1"/>
      <c r="E293" s="1"/>
      <c r="F293" s="1"/>
      <c r="G293" s="1"/>
      <c r="H293" s="1"/>
    </row>
    <row r="294" spans="1:8" x14ac:dyDescent="0.2">
      <c r="A294" s="1"/>
      <c r="B294" s="1"/>
      <c r="C294" s="1"/>
      <c r="D294" s="1"/>
      <c r="E294" s="1"/>
      <c r="F294" s="1"/>
      <c r="G294" s="1"/>
      <c r="H294" s="1"/>
    </row>
    <row r="295" spans="1:8" x14ac:dyDescent="0.2">
      <c r="A295" s="1"/>
      <c r="B295" s="1"/>
      <c r="C295" s="1"/>
      <c r="D295" s="1"/>
      <c r="E295" s="1"/>
      <c r="F295" s="1"/>
      <c r="G295" s="1"/>
      <c r="H295" s="1"/>
    </row>
    <row r="296" spans="1:8" x14ac:dyDescent="0.2">
      <c r="A296" s="1"/>
      <c r="B296" s="1"/>
      <c r="C296" s="1"/>
      <c r="D296" s="1"/>
      <c r="E296" s="1"/>
      <c r="F296" s="1"/>
      <c r="G296" s="1"/>
      <c r="H296" s="1"/>
    </row>
    <row r="297" spans="1:8" x14ac:dyDescent="0.2">
      <c r="A297" s="1"/>
      <c r="B297" s="1"/>
      <c r="C297" s="1"/>
      <c r="D297" s="1"/>
      <c r="E297" s="1"/>
      <c r="F297" s="1"/>
      <c r="G297" s="1"/>
      <c r="H297" s="1"/>
    </row>
    <row r="298" spans="1:8" x14ac:dyDescent="0.2">
      <c r="A298" s="1"/>
      <c r="B298" s="1"/>
      <c r="C298" s="1"/>
      <c r="D298" s="1"/>
      <c r="E298" s="1"/>
      <c r="F298" s="1"/>
      <c r="G298" s="1"/>
      <c r="H298" s="1"/>
    </row>
    <row r="299" spans="1:8" x14ac:dyDescent="0.2">
      <c r="A299" s="1"/>
      <c r="B299" s="1"/>
      <c r="C299" s="1"/>
      <c r="D299" s="1"/>
      <c r="E299" s="1"/>
      <c r="F299" s="1"/>
      <c r="G299" s="1"/>
      <c r="H299" s="1"/>
    </row>
    <row r="300" spans="1:8" x14ac:dyDescent="0.2">
      <c r="A300" s="1"/>
      <c r="B300" s="1"/>
      <c r="C300" s="1"/>
      <c r="D300" s="1"/>
      <c r="E300" s="1"/>
      <c r="F300" s="1"/>
      <c r="G300" s="1"/>
      <c r="H300" s="1"/>
    </row>
    <row r="301" spans="1:8" x14ac:dyDescent="0.2">
      <c r="A301" s="1"/>
      <c r="B301" s="1"/>
      <c r="C301" s="1"/>
      <c r="D301" s="1"/>
      <c r="E301" s="1"/>
      <c r="F301" s="1"/>
      <c r="G301" s="1"/>
      <c r="H301" s="1"/>
    </row>
    <row r="302" spans="1:8" x14ac:dyDescent="0.2">
      <c r="A302" s="1"/>
      <c r="B302" s="1"/>
      <c r="C302" s="1"/>
      <c r="D302" s="1"/>
      <c r="E302" s="1"/>
      <c r="F302" s="1"/>
      <c r="G302" s="1"/>
      <c r="H302" s="1"/>
    </row>
    <row r="303" spans="1:8" x14ac:dyDescent="0.2">
      <c r="A303" s="1"/>
      <c r="B303" s="1"/>
      <c r="C303" s="1"/>
      <c r="D303" s="1"/>
      <c r="E303" s="1"/>
      <c r="F303" s="1"/>
      <c r="G303" s="1"/>
      <c r="H303" s="1"/>
    </row>
    <row r="304" spans="1:8" x14ac:dyDescent="0.2">
      <c r="A304" s="1"/>
      <c r="B304" s="1"/>
      <c r="C304" s="1"/>
      <c r="D304" s="1"/>
      <c r="E304" s="1"/>
      <c r="F304" s="1"/>
      <c r="G304" s="1"/>
      <c r="H304" s="1"/>
    </row>
    <row r="305" spans="1:8" x14ac:dyDescent="0.2">
      <c r="A305" s="1"/>
      <c r="B305" s="1"/>
      <c r="C305" s="1"/>
      <c r="D305" s="1"/>
      <c r="E305" s="1"/>
      <c r="F305" s="1"/>
      <c r="G305" s="1"/>
      <c r="H305" s="1"/>
    </row>
    <row r="306" spans="1:8" x14ac:dyDescent="0.2">
      <c r="A306" s="1"/>
      <c r="B306" s="1"/>
      <c r="C306" s="1"/>
      <c r="D306" s="1"/>
      <c r="E306" s="1"/>
      <c r="F306" s="1"/>
      <c r="G306" s="1"/>
      <c r="H306" s="1"/>
    </row>
    <row r="307" spans="1:8" x14ac:dyDescent="0.2">
      <c r="A307" s="1"/>
      <c r="B307" s="1"/>
      <c r="C307" s="1"/>
      <c r="D307" s="1"/>
      <c r="E307" s="1"/>
      <c r="F307" s="1"/>
      <c r="G307" s="1"/>
      <c r="H307" s="1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  <row r="331" spans="1:8" x14ac:dyDescent="0.2">
      <c r="A331" s="1"/>
      <c r="B331" s="1"/>
      <c r="C331" s="1"/>
      <c r="D331" s="1"/>
      <c r="E331" s="1"/>
      <c r="F331" s="1"/>
      <c r="G331" s="1"/>
      <c r="H331" s="1"/>
    </row>
    <row r="332" spans="1:8" x14ac:dyDescent="0.2">
      <c r="A332" s="1"/>
      <c r="B332" s="1"/>
      <c r="C332" s="1"/>
      <c r="D332" s="1"/>
      <c r="E332" s="1"/>
      <c r="F332" s="1"/>
      <c r="G332" s="1"/>
      <c r="H332" s="1"/>
    </row>
    <row r="333" spans="1:8" x14ac:dyDescent="0.2">
      <c r="A333" s="1"/>
      <c r="B333" s="1"/>
      <c r="C333" s="1"/>
      <c r="D333" s="1"/>
      <c r="E333" s="1"/>
      <c r="F333" s="1"/>
      <c r="G333" s="1"/>
      <c r="H333" s="1"/>
    </row>
    <row r="334" spans="1:8" x14ac:dyDescent="0.2">
      <c r="A334" s="1"/>
      <c r="B334" s="1"/>
      <c r="C334" s="1"/>
      <c r="D334" s="1"/>
      <c r="E334" s="1"/>
      <c r="F334" s="1"/>
      <c r="G334" s="1"/>
      <c r="H334" s="1"/>
    </row>
    <row r="335" spans="1:8" x14ac:dyDescent="0.2">
      <c r="A335" s="1"/>
      <c r="B335" s="1"/>
      <c r="C335" s="1"/>
      <c r="D335" s="1"/>
      <c r="E335" s="1"/>
      <c r="F335" s="1"/>
      <c r="G335" s="1"/>
      <c r="H335" s="1"/>
    </row>
    <row r="336" spans="1:8" x14ac:dyDescent="0.2">
      <c r="A336" s="1"/>
      <c r="B336" s="1"/>
      <c r="C336" s="1"/>
      <c r="D336" s="1"/>
      <c r="E336" s="1"/>
      <c r="F336" s="1"/>
      <c r="G336" s="1"/>
      <c r="H336" s="1"/>
    </row>
    <row r="337" spans="1:8" x14ac:dyDescent="0.2">
      <c r="A337" s="1"/>
      <c r="B337" s="1"/>
      <c r="C337" s="1"/>
      <c r="D337" s="1"/>
      <c r="E337" s="1"/>
      <c r="F337" s="1"/>
      <c r="G337" s="1"/>
      <c r="H337" s="1"/>
    </row>
    <row r="338" spans="1:8" x14ac:dyDescent="0.2">
      <c r="A338" s="1"/>
      <c r="B338" s="1"/>
      <c r="C338" s="1"/>
      <c r="D338" s="1"/>
      <c r="E338" s="1"/>
      <c r="F338" s="1"/>
      <c r="G338" s="1"/>
      <c r="H338" s="1"/>
    </row>
    <row r="339" spans="1:8" x14ac:dyDescent="0.2">
      <c r="A339" s="1"/>
      <c r="B339" s="1"/>
      <c r="C339" s="1"/>
      <c r="D339" s="1"/>
      <c r="E339" s="1"/>
      <c r="F339" s="1"/>
      <c r="G339" s="1"/>
      <c r="H339" s="1"/>
    </row>
    <row r="340" spans="1:8" x14ac:dyDescent="0.2">
      <c r="A340" s="1"/>
      <c r="B340" s="1"/>
      <c r="C340" s="1"/>
      <c r="D340" s="1"/>
      <c r="E340" s="1"/>
      <c r="F340" s="1"/>
      <c r="G340" s="1"/>
      <c r="H340" s="1"/>
    </row>
    <row r="341" spans="1:8" x14ac:dyDescent="0.2">
      <c r="A341" s="1"/>
      <c r="B341" s="1"/>
      <c r="C341" s="1"/>
      <c r="D341" s="1"/>
      <c r="E341" s="1"/>
      <c r="F341" s="1"/>
      <c r="G341" s="1"/>
      <c r="H341" s="1"/>
    </row>
    <row r="342" spans="1:8" x14ac:dyDescent="0.2">
      <c r="A342" s="1"/>
      <c r="B342" s="1"/>
      <c r="C342" s="1"/>
      <c r="D342" s="1"/>
      <c r="E342" s="1"/>
      <c r="F342" s="1"/>
      <c r="G342" s="1"/>
      <c r="H342" s="1"/>
    </row>
    <row r="343" spans="1:8" x14ac:dyDescent="0.2">
      <c r="A343" s="1"/>
      <c r="B343" s="1"/>
      <c r="C343" s="1"/>
      <c r="D343" s="1"/>
      <c r="E343" s="1"/>
      <c r="F343" s="1"/>
      <c r="G343" s="1"/>
      <c r="H343" s="1"/>
    </row>
    <row r="344" spans="1:8" x14ac:dyDescent="0.2">
      <c r="A344" s="1"/>
      <c r="B344" s="1"/>
      <c r="C344" s="1"/>
      <c r="D344" s="1"/>
      <c r="E344" s="1"/>
      <c r="F344" s="1"/>
      <c r="G344" s="1"/>
      <c r="H344" s="1"/>
    </row>
    <row r="345" spans="1:8" x14ac:dyDescent="0.2">
      <c r="A345" s="1"/>
      <c r="B345" s="1"/>
      <c r="C345" s="1"/>
      <c r="D345" s="1"/>
      <c r="E345" s="1"/>
      <c r="F345" s="1"/>
      <c r="G345" s="1"/>
      <c r="H345" s="1"/>
    </row>
    <row r="346" spans="1:8" x14ac:dyDescent="0.2">
      <c r="A346" s="1"/>
      <c r="B346" s="1"/>
      <c r="C346" s="1"/>
      <c r="D346" s="1"/>
      <c r="E346" s="1"/>
      <c r="F346" s="1"/>
      <c r="G346" s="1"/>
      <c r="H346" s="1"/>
    </row>
    <row r="347" spans="1:8" x14ac:dyDescent="0.2">
      <c r="A347" s="1"/>
      <c r="B347" s="1"/>
      <c r="C347" s="1"/>
      <c r="D347" s="1"/>
      <c r="E347" s="1"/>
      <c r="F347" s="1"/>
      <c r="G347" s="1"/>
      <c r="H347" s="1"/>
    </row>
    <row r="348" spans="1:8" x14ac:dyDescent="0.2">
      <c r="A348" s="1"/>
      <c r="B348" s="1"/>
      <c r="C348" s="1"/>
      <c r="D348" s="1"/>
      <c r="E348" s="1"/>
      <c r="F348" s="1"/>
      <c r="G348" s="1"/>
      <c r="H348" s="1"/>
    </row>
    <row r="349" spans="1:8" x14ac:dyDescent="0.2">
      <c r="A349" s="1"/>
      <c r="B349" s="1"/>
      <c r="C349" s="1"/>
      <c r="D349" s="1"/>
      <c r="E349" s="1"/>
      <c r="F349" s="1"/>
      <c r="G349" s="1"/>
      <c r="H349" s="1"/>
    </row>
    <row r="350" spans="1:8" x14ac:dyDescent="0.2">
      <c r="A350" s="1"/>
      <c r="B350" s="1"/>
      <c r="C350" s="1"/>
      <c r="D350" s="1"/>
      <c r="E350" s="1"/>
      <c r="F350" s="1"/>
      <c r="G350" s="1"/>
      <c r="H350" s="1"/>
    </row>
    <row r="351" spans="1:8" x14ac:dyDescent="0.2">
      <c r="A351" s="1"/>
      <c r="B351" s="1"/>
      <c r="C351" s="1"/>
      <c r="D351" s="1"/>
      <c r="E351" s="1"/>
      <c r="F351" s="1"/>
      <c r="G351" s="1"/>
      <c r="H351" s="1"/>
    </row>
    <row r="352" spans="1:8" x14ac:dyDescent="0.2">
      <c r="A352" s="1"/>
      <c r="B352" s="1"/>
      <c r="C352" s="1"/>
      <c r="D352" s="1"/>
      <c r="E352" s="1"/>
      <c r="F352" s="1"/>
      <c r="G352" s="1"/>
      <c r="H352" s="1"/>
    </row>
    <row r="353" spans="1:8" x14ac:dyDescent="0.2">
      <c r="A353" s="1"/>
      <c r="B353" s="1"/>
      <c r="C353" s="1"/>
      <c r="D353" s="1"/>
      <c r="E353" s="1"/>
      <c r="F353" s="1"/>
      <c r="G353" s="1"/>
      <c r="H353" s="1"/>
    </row>
    <row r="354" spans="1:8" x14ac:dyDescent="0.2">
      <c r="A354" s="1"/>
      <c r="B354" s="1"/>
      <c r="C354" s="1"/>
      <c r="D354" s="1"/>
      <c r="E354" s="1"/>
      <c r="F354" s="1"/>
      <c r="G354" s="1"/>
      <c r="H354" s="1"/>
    </row>
    <row r="355" spans="1:8" x14ac:dyDescent="0.2">
      <c r="A355" s="1"/>
      <c r="B355" s="1"/>
      <c r="C355" s="1"/>
      <c r="D355" s="1"/>
      <c r="E355" s="1"/>
      <c r="F355" s="1"/>
      <c r="G355" s="1"/>
      <c r="H355" s="1"/>
    </row>
    <row r="356" spans="1:8" x14ac:dyDescent="0.2">
      <c r="A356" s="1"/>
      <c r="B356" s="1"/>
      <c r="C356" s="1"/>
      <c r="D356" s="1"/>
      <c r="E356" s="1"/>
      <c r="F356" s="1"/>
      <c r="G356" s="1"/>
      <c r="H356" s="1"/>
    </row>
    <row r="357" spans="1:8" x14ac:dyDescent="0.2">
      <c r="A357" s="1"/>
      <c r="B357" s="1"/>
      <c r="C357" s="1"/>
      <c r="D357" s="1"/>
      <c r="E357" s="1"/>
      <c r="F357" s="1"/>
      <c r="G357" s="1"/>
      <c r="H357" s="1"/>
    </row>
    <row r="358" spans="1:8" x14ac:dyDescent="0.2">
      <c r="A358" s="1"/>
      <c r="B358" s="1"/>
      <c r="C358" s="1"/>
      <c r="D358" s="1"/>
      <c r="E358" s="1"/>
      <c r="F358" s="1"/>
      <c r="G358" s="1"/>
      <c r="H358" s="1"/>
    </row>
    <row r="359" spans="1:8" x14ac:dyDescent="0.2">
      <c r="A359" s="1"/>
      <c r="B359" s="1"/>
      <c r="C359" s="1"/>
      <c r="D359" s="1"/>
      <c r="E359" s="1"/>
      <c r="F359" s="1"/>
      <c r="G359" s="1"/>
      <c r="H359" s="1"/>
    </row>
    <row r="360" spans="1:8" x14ac:dyDescent="0.2">
      <c r="A360" s="1"/>
      <c r="B360" s="1"/>
      <c r="C360" s="1"/>
      <c r="D360" s="1"/>
      <c r="E360" s="1"/>
      <c r="F360" s="1"/>
      <c r="G360" s="1"/>
      <c r="H360" s="1"/>
    </row>
    <row r="361" spans="1:8" x14ac:dyDescent="0.2">
      <c r="A361" s="1"/>
      <c r="B361" s="1"/>
      <c r="C361" s="1"/>
      <c r="D361" s="1"/>
      <c r="E361" s="1"/>
      <c r="F361" s="1"/>
      <c r="G361" s="1"/>
      <c r="H361" s="1"/>
    </row>
    <row r="362" spans="1:8" x14ac:dyDescent="0.2">
      <c r="A362" s="1"/>
      <c r="B362" s="1"/>
      <c r="C362" s="1"/>
      <c r="D362" s="1"/>
      <c r="E362" s="1"/>
      <c r="F362" s="1"/>
      <c r="G362" s="1"/>
      <c r="H362" s="1"/>
    </row>
    <row r="363" spans="1:8" x14ac:dyDescent="0.2">
      <c r="A363" s="1"/>
      <c r="B363" s="1"/>
      <c r="C363" s="1"/>
      <c r="D363" s="1"/>
      <c r="E363" s="1"/>
      <c r="F363" s="1"/>
      <c r="G363" s="1"/>
      <c r="H363" s="1"/>
    </row>
    <row r="364" spans="1:8" x14ac:dyDescent="0.2">
      <c r="A364" s="1"/>
      <c r="B364" s="1"/>
      <c r="C364" s="1"/>
      <c r="D364" s="1"/>
      <c r="E364" s="1"/>
      <c r="F364" s="1"/>
      <c r="G364" s="1"/>
      <c r="H364" s="1"/>
    </row>
    <row r="365" spans="1:8" x14ac:dyDescent="0.2">
      <c r="A365" s="1"/>
      <c r="B365" s="1"/>
      <c r="C365" s="1"/>
      <c r="D365" s="1"/>
      <c r="E365" s="1"/>
      <c r="F365" s="1"/>
      <c r="G365" s="1"/>
      <c r="H365" s="1"/>
    </row>
    <row r="366" spans="1:8" x14ac:dyDescent="0.2">
      <c r="A366" s="1"/>
      <c r="B366" s="1"/>
      <c r="C366" s="1"/>
      <c r="D366" s="1"/>
      <c r="E366" s="1"/>
      <c r="F366" s="1"/>
      <c r="G366" s="1"/>
      <c r="H366" s="1"/>
    </row>
    <row r="367" spans="1:8" x14ac:dyDescent="0.2">
      <c r="A367" s="1"/>
      <c r="B367" s="1"/>
      <c r="C367" s="1"/>
      <c r="D367" s="1"/>
      <c r="E367" s="1"/>
      <c r="F367" s="1"/>
      <c r="G367" s="1"/>
      <c r="H367" s="1"/>
    </row>
    <row r="368" spans="1:8" x14ac:dyDescent="0.2">
      <c r="A368" s="1"/>
      <c r="B368" s="1"/>
      <c r="C368" s="1"/>
      <c r="D368" s="1"/>
      <c r="E368" s="1"/>
      <c r="F368" s="1"/>
      <c r="G368" s="1"/>
      <c r="H368" s="1"/>
    </row>
    <row r="369" spans="1:8" x14ac:dyDescent="0.2">
      <c r="A369" s="1"/>
      <c r="B369" s="1"/>
      <c r="C369" s="1"/>
      <c r="D369" s="1"/>
      <c r="E369" s="1"/>
      <c r="F369" s="1"/>
      <c r="G369" s="1"/>
      <c r="H369" s="1"/>
    </row>
    <row r="370" spans="1:8" x14ac:dyDescent="0.2">
      <c r="A370" s="1"/>
      <c r="B370" s="1"/>
      <c r="C370" s="1"/>
      <c r="D370" s="1"/>
      <c r="E370" s="1"/>
      <c r="F370" s="1"/>
      <c r="G370" s="1"/>
      <c r="H370" s="1"/>
    </row>
    <row r="371" spans="1:8" x14ac:dyDescent="0.2">
      <c r="A371" s="1"/>
      <c r="B371" s="1"/>
      <c r="C371" s="1"/>
      <c r="D371" s="1"/>
      <c r="E371" s="1"/>
      <c r="F371" s="1"/>
      <c r="G371" s="1"/>
      <c r="H371" s="1"/>
    </row>
    <row r="372" spans="1:8" x14ac:dyDescent="0.2">
      <c r="A372" s="1"/>
      <c r="B372" s="1"/>
      <c r="C372" s="1"/>
      <c r="D372" s="1"/>
      <c r="E372" s="1"/>
      <c r="F372" s="1"/>
      <c r="G372" s="1"/>
      <c r="H372" s="1"/>
    </row>
    <row r="373" spans="1:8" x14ac:dyDescent="0.2">
      <c r="A373" s="1"/>
      <c r="B373" s="1"/>
      <c r="C373" s="1"/>
      <c r="D373" s="1"/>
      <c r="E373" s="1"/>
      <c r="F373" s="1"/>
      <c r="G373" s="1"/>
      <c r="H373" s="1"/>
    </row>
    <row r="374" spans="1:8" x14ac:dyDescent="0.2">
      <c r="A374" s="1"/>
      <c r="B374" s="1"/>
      <c r="C374" s="1"/>
      <c r="D374" s="1"/>
      <c r="E374" s="1"/>
      <c r="F374" s="1"/>
      <c r="G374" s="1"/>
      <c r="H374" s="1"/>
    </row>
    <row r="375" spans="1:8" x14ac:dyDescent="0.2">
      <c r="A375" s="1"/>
      <c r="B375" s="1"/>
      <c r="C375" s="1"/>
      <c r="D375" s="1"/>
      <c r="E375" s="1"/>
      <c r="F375" s="1"/>
      <c r="G375" s="1"/>
      <c r="H375" s="1"/>
    </row>
    <row r="376" spans="1:8" x14ac:dyDescent="0.2">
      <c r="A376" s="1"/>
      <c r="B376" s="1"/>
      <c r="C376" s="1"/>
      <c r="D376" s="1"/>
      <c r="E376" s="1"/>
      <c r="F376" s="1"/>
      <c r="G376" s="1"/>
      <c r="H376" s="1"/>
    </row>
    <row r="377" spans="1:8" x14ac:dyDescent="0.2">
      <c r="A377" s="1"/>
      <c r="B377" s="1"/>
      <c r="C377" s="1"/>
      <c r="D377" s="1"/>
      <c r="E377" s="1"/>
      <c r="F377" s="1"/>
      <c r="G377" s="1"/>
      <c r="H377" s="1"/>
    </row>
    <row r="378" spans="1:8" x14ac:dyDescent="0.2">
      <c r="A378" s="1"/>
      <c r="B378" s="1"/>
      <c r="C378" s="1"/>
      <c r="D378" s="1"/>
      <c r="E378" s="1"/>
      <c r="F378" s="1"/>
      <c r="G378" s="1"/>
      <c r="H378" s="1"/>
    </row>
    <row r="379" spans="1:8" x14ac:dyDescent="0.2">
      <c r="A379" s="1"/>
      <c r="B379" s="1"/>
      <c r="C379" s="1"/>
      <c r="D379" s="1"/>
      <c r="E379" s="1"/>
      <c r="F379" s="1"/>
      <c r="G379" s="1"/>
      <c r="H379" s="1"/>
    </row>
    <row r="380" spans="1:8" x14ac:dyDescent="0.2">
      <c r="A380" s="1"/>
      <c r="B380" s="1"/>
      <c r="C380" s="1"/>
      <c r="D380" s="1"/>
      <c r="E380" s="1"/>
      <c r="F380" s="1"/>
      <c r="G380" s="1"/>
      <c r="H380" s="1"/>
    </row>
    <row r="381" spans="1:8" x14ac:dyDescent="0.2">
      <c r="A381" s="1"/>
      <c r="B381" s="1"/>
      <c r="C381" s="1"/>
      <c r="D381" s="1"/>
      <c r="E381" s="1"/>
      <c r="F381" s="1"/>
      <c r="G381" s="1"/>
      <c r="H381" s="1"/>
    </row>
    <row r="382" spans="1:8" x14ac:dyDescent="0.2">
      <c r="A382" s="1"/>
      <c r="B382" s="1"/>
      <c r="C382" s="1"/>
      <c r="D382" s="1"/>
      <c r="E382" s="1"/>
      <c r="F382" s="1"/>
      <c r="G382" s="1"/>
      <c r="H382" s="1"/>
    </row>
    <row r="383" spans="1:8" x14ac:dyDescent="0.2">
      <c r="A383" s="1"/>
      <c r="B383" s="1"/>
      <c r="C383" s="1"/>
      <c r="D383" s="1"/>
      <c r="E383" s="1"/>
      <c r="F383" s="1"/>
      <c r="G383" s="1"/>
      <c r="H383" s="1"/>
    </row>
    <row r="384" spans="1:8" x14ac:dyDescent="0.2">
      <c r="A384" s="1"/>
      <c r="B384" s="1"/>
      <c r="C384" s="1"/>
      <c r="D384" s="1"/>
      <c r="E384" s="1"/>
      <c r="F384" s="1"/>
      <c r="G384" s="1"/>
      <c r="H384" s="1"/>
    </row>
    <row r="385" spans="1:8" x14ac:dyDescent="0.2">
      <c r="A385" s="1"/>
      <c r="B385" s="1"/>
      <c r="C385" s="1"/>
      <c r="D385" s="1"/>
      <c r="E385" s="1"/>
      <c r="F385" s="1"/>
      <c r="G385" s="1"/>
      <c r="H385" s="1"/>
    </row>
    <row r="386" spans="1:8" x14ac:dyDescent="0.2">
      <c r="A386" s="1"/>
      <c r="B386" s="1"/>
      <c r="C386" s="1"/>
      <c r="D386" s="1"/>
      <c r="E386" s="1"/>
      <c r="F386" s="1"/>
      <c r="G386" s="1"/>
      <c r="H386" s="1"/>
    </row>
    <row r="387" spans="1:8" x14ac:dyDescent="0.2">
      <c r="A387" s="1"/>
      <c r="B387" s="1"/>
      <c r="C387" s="1"/>
      <c r="D387" s="1"/>
      <c r="E387" s="1"/>
      <c r="F387" s="1"/>
      <c r="G387" s="1"/>
      <c r="H387" s="1"/>
    </row>
    <row r="388" spans="1:8" x14ac:dyDescent="0.2">
      <c r="A388" s="1"/>
      <c r="B388" s="1"/>
      <c r="C388" s="1"/>
      <c r="D388" s="1"/>
      <c r="E388" s="1"/>
      <c r="F388" s="1"/>
      <c r="G388" s="1"/>
      <c r="H388" s="1"/>
    </row>
    <row r="389" spans="1:8" x14ac:dyDescent="0.2">
      <c r="A389" s="1"/>
      <c r="B389" s="1"/>
      <c r="C389" s="1"/>
      <c r="D389" s="1"/>
      <c r="E389" s="1"/>
      <c r="F389" s="1"/>
      <c r="G389" s="1"/>
      <c r="H389" s="1"/>
    </row>
    <row r="390" spans="1:8" x14ac:dyDescent="0.2">
      <c r="A390" s="1"/>
      <c r="B390" s="1"/>
      <c r="C390" s="1"/>
      <c r="D390" s="1"/>
      <c r="E390" s="1"/>
      <c r="F390" s="1"/>
      <c r="G390" s="1"/>
      <c r="H390" s="1"/>
    </row>
    <row r="391" spans="1:8" x14ac:dyDescent="0.2">
      <c r="A391" s="1"/>
      <c r="B391" s="1"/>
      <c r="C391" s="1"/>
      <c r="D391" s="1"/>
      <c r="E391" s="1"/>
      <c r="F391" s="1"/>
      <c r="G391" s="1"/>
      <c r="H391" s="1"/>
    </row>
    <row r="392" spans="1:8" x14ac:dyDescent="0.2">
      <c r="A392" s="1"/>
      <c r="B392" s="1"/>
      <c r="C392" s="1"/>
      <c r="D392" s="1"/>
      <c r="E392" s="1"/>
      <c r="F392" s="1"/>
      <c r="G392" s="1"/>
      <c r="H392" s="1"/>
    </row>
    <row r="393" spans="1:8" x14ac:dyDescent="0.2">
      <c r="A393" s="1"/>
      <c r="B393" s="1"/>
      <c r="C393" s="1"/>
      <c r="D393" s="1"/>
      <c r="E393" s="1"/>
      <c r="F393" s="1"/>
      <c r="G393" s="1"/>
      <c r="H393" s="1"/>
    </row>
    <row r="394" spans="1:8" x14ac:dyDescent="0.2">
      <c r="A394" s="1"/>
      <c r="B394" s="1"/>
      <c r="C394" s="1"/>
      <c r="D394" s="1"/>
      <c r="E394" s="1"/>
      <c r="F394" s="1"/>
      <c r="G394" s="1"/>
      <c r="H394" s="1"/>
    </row>
    <row r="395" spans="1:8" x14ac:dyDescent="0.2">
      <c r="A395" s="1"/>
      <c r="B395" s="1"/>
      <c r="C395" s="1"/>
      <c r="D395" s="1"/>
      <c r="E395" s="1"/>
      <c r="F395" s="1"/>
      <c r="G395" s="1"/>
      <c r="H395" s="1"/>
    </row>
    <row r="396" spans="1:8" x14ac:dyDescent="0.2">
      <c r="A396" s="1"/>
      <c r="B396" s="1"/>
      <c r="C396" s="1"/>
      <c r="D396" s="1"/>
      <c r="E396" s="1"/>
      <c r="F396" s="1"/>
      <c r="G396" s="1"/>
      <c r="H396" s="1"/>
    </row>
    <row r="397" spans="1:8" x14ac:dyDescent="0.2">
      <c r="A397" s="1"/>
      <c r="B397" s="1"/>
      <c r="C397" s="1"/>
      <c r="D397" s="1"/>
      <c r="E397" s="1"/>
      <c r="F397" s="1"/>
      <c r="G397" s="1"/>
      <c r="H397" s="1"/>
    </row>
    <row r="398" spans="1:8" x14ac:dyDescent="0.2">
      <c r="A398" s="1"/>
      <c r="B398" s="1"/>
      <c r="C398" s="1"/>
      <c r="D398" s="1"/>
      <c r="E398" s="1"/>
      <c r="F398" s="1"/>
      <c r="G398" s="1"/>
      <c r="H398" s="1"/>
    </row>
    <row r="399" spans="1:8" x14ac:dyDescent="0.2">
      <c r="A399" s="1"/>
      <c r="B399" s="1"/>
      <c r="C399" s="1"/>
      <c r="D399" s="1"/>
      <c r="E399" s="1"/>
      <c r="F399" s="1"/>
      <c r="G399" s="1"/>
      <c r="H399" s="1"/>
    </row>
    <row r="400" spans="1:8" x14ac:dyDescent="0.2">
      <c r="A400" s="1"/>
      <c r="B400" s="1"/>
      <c r="C400" s="1"/>
      <c r="D400" s="1"/>
      <c r="E400" s="1"/>
      <c r="F400" s="1"/>
      <c r="G400" s="1"/>
      <c r="H400" s="1"/>
    </row>
    <row r="401" spans="1:8" x14ac:dyDescent="0.2">
      <c r="A401" s="1"/>
      <c r="B401" s="1"/>
      <c r="C401" s="1"/>
      <c r="D401" s="1"/>
      <c r="E401" s="1"/>
      <c r="F401" s="1"/>
      <c r="G401" s="1"/>
      <c r="H401" s="1"/>
    </row>
    <row r="402" spans="1:8" x14ac:dyDescent="0.2">
      <c r="A402" s="1"/>
      <c r="B402" s="1"/>
      <c r="C402" s="1"/>
      <c r="D402" s="1"/>
      <c r="E402" s="1"/>
      <c r="F402" s="1"/>
      <c r="G402" s="1"/>
      <c r="H402" s="1"/>
    </row>
    <row r="403" spans="1:8" x14ac:dyDescent="0.2">
      <c r="A403" s="1"/>
      <c r="B403" s="1"/>
      <c r="C403" s="1"/>
      <c r="D403" s="1"/>
      <c r="E403" s="1"/>
      <c r="F403" s="1"/>
      <c r="G403" s="1"/>
      <c r="H403" s="1"/>
    </row>
    <row r="404" spans="1:8" x14ac:dyDescent="0.2">
      <c r="A404" s="1"/>
      <c r="B404" s="1"/>
      <c r="C404" s="1"/>
      <c r="D404" s="1"/>
      <c r="E404" s="1"/>
      <c r="F404" s="1"/>
      <c r="G404" s="1"/>
      <c r="H404" s="1"/>
    </row>
    <row r="405" spans="1:8" x14ac:dyDescent="0.2">
      <c r="A405" s="1"/>
      <c r="B405" s="1"/>
      <c r="C405" s="1"/>
      <c r="D405" s="1"/>
      <c r="E405" s="1"/>
      <c r="F405" s="1"/>
      <c r="G405" s="1"/>
      <c r="H405" s="1"/>
    </row>
    <row r="406" spans="1:8" x14ac:dyDescent="0.2">
      <c r="A406" s="1"/>
      <c r="B406" s="1"/>
      <c r="C406" s="1"/>
      <c r="D406" s="1"/>
      <c r="E406" s="1"/>
      <c r="F406" s="1"/>
      <c r="G406" s="1"/>
      <c r="H406" s="1"/>
    </row>
    <row r="407" spans="1:8" x14ac:dyDescent="0.2">
      <c r="A407" s="1"/>
      <c r="B407" s="1"/>
      <c r="C407" s="1"/>
      <c r="D407" s="1"/>
      <c r="E407" s="1"/>
      <c r="F407" s="1"/>
      <c r="G407" s="1"/>
      <c r="H407" s="1"/>
    </row>
    <row r="408" spans="1:8" x14ac:dyDescent="0.2">
      <c r="A408" s="1"/>
      <c r="B408" s="1"/>
      <c r="C408" s="1"/>
      <c r="D408" s="1"/>
      <c r="E408" s="1"/>
      <c r="F408" s="1"/>
      <c r="G408" s="1"/>
      <c r="H408" s="1"/>
    </row>
    <row r="409" spans="1:8" x14ac:dyDescent="0.2">
      <c r="A409" s="1"/>
      <c r="B409" s="1"/>
      <c r="C409" s="1"/>
      <c r="D409" s="1"/>
      <c r="E409" s="1"/>
      <c r="F409" s="1"/>
      <c r="G409" s="1"/>
      <c r="H409" s="1"/>
    </row>
    <row r="410" spans="1:8" x14ac:dyDescent="0.2">
      <c r="A410" s="1"/>
      <c r="B410" s="1"/>
      <c r="C410" s="1"/>
      <c r="D410" s="1"/>
      <c r="E410" s="1"/>
      <c r="F410" s="1"/>
      <c r="G410" s="1"/>
      <c r="H410" s="1"/>
    </row>
    <row r="411" spans="1:8" x14ac:dyDescent="0.2">
      <c r="A411" s="1"/>
      <c r="B411" s="1"/>
      <c r="C411" s="1"/>
      <c r="D411" s="1"/>
      <c r="E411" s="1"/>
      <c r="F411" s="1"/>
      <c r="G411" s="1"/>
      <c r="H411" s="1"/>
    </row>
    <row r="412" spans="1:8" x14ac:dyDescent="0.2">
      <c r="A412" s="1"/>
      <c r="B412" s="1"/>
      <c r="C412" s="1"/>
      <c r="D412" s="1"/>
      <c r="E412" s="1"/>
      <c r="F412" s="1"/>
      <c r="G412" s="1"/>
      <c r="H412" s="1"/>
    </row>
    <row r="413" spans="1:8" x14ac:dyDescent="0.2">
      <c r="A413" s="1"/>
      <c r="B413" s="1"/>
      <c r="C413" s="1"/>
      <c r="D413" s="1"/>
      <c r="E413" s="1"/>
      <c r="F413" s="1"/>
      <c r="G413" s="1"/>
      <c r="H413" s="1"/>
    </row>
    <row r="414" spans="1:8" x14ac:dyDescent="0.2">
      <c r="A414" s="1"/>
      <c r="B414" s="1"/>
      <c r="C414" s="1"/>
      <c r="D414" s="1"/>
      <c r="E414" s="1"/>
      <c r="F414" s="1"/>
      <c r="G414" s="1"/>
      <c r="H414" s="1"/>
    </row>
    <row r="415" spans="1:8" x14ac:dyDescent="0.2">
      <c r="A415" s="1"/>
      <c r="B415" s="1"/>
      <c r="C415" s="1"/>
      <c r="D415" s="1"/>
      <c r="E415" s="1"/>
      <c r="F415" s="1"/>
      <c r="G415" s="1"/>
      <c r="H415" s="1"/>
    </row>
    <row r="416" spans="1:8" x14ac:dyDescent="0.2">
      <c r="A416" s="1"/>
      <c r="B416" s="1"/>
      <c r="C416" s="1"/>
      <c r="D416" s="1"/>
      <c r="E416" s="1"/>
      <c r="F416" s="1"/>
      <c r="G416" s="1"/>
      <c r="H416" s="1"/>
    </row>
    <row r="417" spans="1:8" x14ac:dyDescent="0.2">
      <c r="A417" s="1"/>
      <c r="B417" s="1"/>
      <c r="C417" s="1"/>
      <c r="D417" s="1"/>
      <c r="E417" s="1"/>
      <c r="F417" s="1"/>
      <c r="G417" s="1"/>
      <c r="H417" s="1"/>
    </row>
    <row r="418" spans="1:8" x14ac:dyDescent="0.2">
      <c r="A418" s="1"/>
      <c r="B418" s="1"/>
      <c r="C418" s="1"/>
      <c r="D418" s="1"/>
      <c r="E418" s="1"/>
      <c r="F418" s="1"/>
      <c r="G418" s="1"/>
      <c r="H418" s="1"/>
    </row>
    <row r="419" spans="1:8" x14ac:dyDescent="0.2">
      <c r="A419" s="1"/>
      <c r="B419" s="1"/>
      <c r="C419" s="1"/>
      <c r="D419" s="1"/>
      <c r="E419" s="1"/>
      <c r="F419" s="1"/>
      <c r="G419" s="1"/>
      <c r="H419" s="1"/>
    </row>
    <row r="420" spans="1:8" x14ac:dyDescent="0.2">
      <c r="A420" s="1"/>
      <c r="B420" s="1"/>
      <c r="C420" s="1"/>
      <c r="D420" s="1"/>
      <c r="E420" s="1"/>
      <c r="F420" s="1"/>
      <c r="G420" s="1"/>
      <c r="H420" s="1"/>
    </row>
    <row r="421" spans="1:8" x14ac:dyDescent="0.2">
      <c r="A421" s="1"/>
      <c r="B421" s="1"/>
      <c r="C421" s="1"/>
      <c r="D421" s="1"/>
      <c r="E421" s="1"/>
      <c r="F421" s="1"/>
      <c r="G421" s="1"/>
      <c r="H421" s="1"/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1"/>
      <c r="B423" s="1"/>
      <c r="C423" s="1"/>
      <c r="D423" s="1"/>
      <c r="E423" s="1"/>
      <c r="F423" s="1"/>
      <c r="G423" s="1"/>
      <c r="H423" s="1"/>
    </row>
    <row r="424" spans="1:8" x14ac:dyDescent="0.2">
      <c r="A424" s="1"/>
      <c r="B424" s="1"/>
      <c r="C424" s="1"/>
      <c r="D424" s="1"/>
      <c r="E424" s="1"/>
      <c r="F424" s="1"/>
      <c r="G424" s="1"/>
      <c r="H424" s="1"/>
    </row>
    <row r="425" spans="1:8" x14ac:dyDescent="0.2">
      <c r="A425" s="1"/>
      <c r="B425" s="1"/>
      <c r="C425" s="1"/>
      <c r="D425" s="1"/>
      <c r="E425" s="1"/>
      <c r="F425" s="1"/>
      <c r="G425" s="1"/>
      <c r="H425" s="1"/>
    </row>
    <row r="426" spans="1:8" x14ac:dyDescent="0.2">
      <c r="A426" s="1"/>
      <c r="B426" s="1"/>
      <c r="C426" s="1"/>
      <c r="D426" s="1"/>
      <c r="E426" s="1"/>
      <c r="F426" s="1"/>
      <c r="G426" s="1"/>
      <c r="H426" s="1"/>
    </row>
    <row r="427" spans="1:8" x14ac:dyDescent="0.2">
      <c r="A427" s="1"/>
      <c r="B427" s="1"/>
      <c r="C427" s="1"/>
      <c r="D427" s="1"/>
      <c r="E427" s="1"/>
      <c r="F427" s="1"/>
      <c r="G427" s="1"/>
      <c r="H427" s="1"/>
    </row>
    <row r="428" spans="1:8" x14ac:dyDescent="0.2">
      <c r="A428" s="1"/>
      <c r="B428" s="1"/>
      <c r="C428" s="1"/>
      <c r="D428" s="1"/>
      <c r="E428" s="1"/>
      <c r="F428" s="1"/>
      <c r="G428" s="1"/>
      <c r="H428" s="1"/>
    </row>
    <row r="429" spans="1:8" x14ac:dyDescent="0.2">
      <c r="A429" s="1"/>
      <c r="B429" s="1"/>
      <c r="C429" s="1"/>
      <c r="D429" s="1"/>
      <c r="E429" s="1"/>
      <c r="F429" s="1"/>
      <c r="G429" s="1"/>
      <c r="H429" s="1"/>
    </row>
    <row r="430" spans="1:8" x14ac:dyDescent="0.2">
      <c r="A430" s="1"/>
      <c r="B430" s="1"/>
      <c r="C430" s="1"/>
      <c r="D430" s="1"/>
      <c r="E430" s="1"/>
      <c r="F430" s="1"/>
      <c r="G430" s="1"/>
      <c r="H430" s="1"/>
    </row>
    <row r="431" spans="1:8" x14ac:dyDescent="0.2">
      <c r="A431" s="1"/>
      <c r="B431" s="1"/>
      <c r="C431" s="1"/>
      <c r="D431" s="1"/>
      <c r="E431" s="1"/>
      <c r="F431" s="1"/>
      <c r="G431" s="1"/>
      <c r="H431" s="1"/>
    </row>
    <row r="432" spans="1:8" x14ac:dyDescent="0.2">
      <c r="A432" s="1"/>
      <c r="B432" s="1"/>
      <c r="C432" s="1"/>
      <c r="D432" s="1"/>
      <c r="E432" s="1"/>
      <c r="F432" s="1"/>
      <c r="G432" s="1"/>
      <c r="H432" s="1"/>
    </row>
    <row r="433" spans="1:8" x14ac:dyDescent="0.2">
      <c r="A433" s="1"/>
      <c r="B433" s="1"/>
      <c r="C433" s="1"/>
      <c r="D433" s="1"/>
      <c r="E433" s="1"/>
      <c r="F433" s="1"/>
      <c r="G433" s="1"/>
      <c r="H433" s="1"/>
    </row>
    <row r="434" spans="1:8" x14ac:dyDescent="0.2">
      <c r="A434" s="1"/>
      <c r="B434" s="1"/>
      <c r="C434" s="1"/>
      <c r="D434" s="1"/>
      <c r="E434" s="1"/>
      <c r="F434" s="1"/>
      <c r="G434" s="1"/>
      <c r="H434" s="1"/>
    </row>
    <row r="435" spans="1:8" x14ac:dyDescent="0.2">
      <c r="A435" s="1"/>
      <c r="B435" s="1"/>
      <c r="C435" s="1"/>
      <c r="D435" s="1"/>
      <c r="E435" s="1"/>
      <c r="F435" s="1"/>
      <c r="G435" s="1"/>
      <c r="H435" s="1"/>
    </row>
    <row r="436" spans="1:8" x14ac:dyDescent="0.2">
      <c r="A436" s="1"/>
      <c r="B436" s="1"/>
      <c r="C436" s="1"/>
      <c r="D436" s="1"/>
      <c r="E436" s="1"/>
      <c r="F436" s="1"/>
      <c r="G436" s="1"/>
      <c r="H436" s="1"/>
    </row>
    <row r="437" spans="1:8" x14ac:dyDescent="0.2">
      <c r="A437" s="1"/>
      <c r="B437" s="1"/>
      <c r="C437" s="1"/>
      <c r="D437" s="1"/>
      <c r="E437" s="1"/>
      <c r="F437" s="1"/>
      <c r="G437" s="1"/>
      <c r="H437" s="1"/>
    </row>
    <row r="438" spans="1:8" x14ac:dyDescent="0.2">
      <c r="A438" s="1"/>
      <c r="B438" s="1"/>
      <c r="C438" s="1"/>
      <c r="D438" s="1"/>
      <c r="E438" s="1"/>
      <c r="F438" s="1"/>
      <c r="G438" s="1"/>
      <c r="H438" s="1"/>
    </row>
    <row r="439" spans="1:8" x14ac:dyDescent="0.2">
      <c r="A439" s="1"/>
      <c r="B439" s="1"/>
      <c r="C439" s="1"/>
      <c r="D439" s="1"/>
      <c r="E439" s="1"/>
      <c r="F439" s="1"/>
      <c r="G439" s="1"/>
      <c r="H439" s="1"/>
    </row>
    <row r="440" spans="1:8" x14ac:dyDescent="0.2">
      <c r="A440" s="1"/>
      <c r="B440" s="1"/>
      <c r="C440" s="1"/>
      <c r="D440" s="1"/>
      <c r="E440" s="1"/>
      <c r="F440" s="1"/>
      <c r="G440" s="1"/>
      <c r="H440" s="1"/>
    </row>
    <row r="441" spans="1:8" x14ac:dyDescent="0.2">
      <c r="A441" s="1"/>
      <c r="B441" s="1"/>
      <c r="C441" s="1"/>
      <c r="D441" s="1"/>
      <c r="E441" s="1"/>
      <c r="F441" s="1"/>
      <c r="G441" s="1"/>
      <c r="H441" s="1"/>
    </row>
    <row r="442" spans="1:8" x14ac:dyDescent="0.2">
      <c r="A442" s="1"/>
      <c r="B442" s="1"/>
      <c r="C442" s="1"/>
      <c r="D442" s="1"/>
      <c r="E442" s="1"/>
      <c r="F442" s="1"/>
      <c r="G442" s="1"/>
      <c r="H442" s="1"/>
    </row>
    <row r="443" spans="1:8" x14ac:dyDescent="0.2">
      <c r="A443" s="1"/>
      <c r="B443" s="1"/>
      <c r="C443" s="1"/>
      <c r="D443" s="1"/>
      <c r="E443" s="1"/>
      <c r="F443" s="1"/>
      <c r="G443" s="1"/>
      <c r="H443" s="1"/>
    </row>
    <row r="444" spans="1:8" x14ac:dyDescent="0.2">
      <c r="A444" s="1"/>
      <c r="B444" s="1"/>
      <c r="C444" s="1"/>
      <c r="D444" s="1"/>
      <c r="E444" s="1"/>
      <c r="F444" s="1"/>
      <c r="G444" s="1"/>
      <c r="H444" s="1"/>
    </row>
    <row r="445" spans="1:8" x14ac:dyDescent="0.2">
      <c r="A445" s="1"/>
      <c r="B445" s="1"/>
      <c r="C445" s="1"/>
      <c r="D445" s="1"/>
      <c r="E445" s="1"/>
      <c r="F445" s="1"/>
      <c r="G445" s="1"/>
      <c r="H445" s="1"/>
    </row>
    <row r="446" spans="1:8" x14ac:dyDescent="0.2">
      <c r="A446" s="1"/>
      <c r="B446" s="1"/>
      <c r="C446" s="1"/>
      <c r="D446" s="1"/>
      <c r="E446" s="1"/>
      <c r="F446" s="1"/>
      <c r="G446" s="1"/>
      <c r="H446" s="1"/>
    </row>
    <row r="447" spans="1:8" x14ac:dyDescent="0.2">
      <c r="A447" s="1"/>
      <c r="B447" s="1"/>
      <c r="C447" s="1"/>
      <c r="D447" s="1"/>
      <c r="E447" s="1"/>
      <c r="F447" s="1"/>
      <c r="G447" s="1"/>
      <c r="H447" s="1"/>
    </row>
    <row r="448" spans="1:8" x14ac:dyDescent="0.2">
      <c r="A448" s="1"/>
      <c r="B448" s="1"/>
      <c r="C448" s="1"/>
      <c r="D448" s="1"/>
      <c r="E448" s="1"/>
      <c r="F448" s="1"/>
      <c r="G448" s="1"/>
      <c r="H448" s="1"/>
    </row>
    <row r="449" spans="1:8" x14ac:dyDescent="0.2">
      <c r="A449" s="1"/>
      <c r="B449" s="1"/>
      <c r="C449" s="1"/>
      <c r="D449" s="1"/>
      <c r="E449" s="1"/>
      <c r="F449" s="1"/>
      <c r="G449" s="1"/>
      <c r="H449" s="1"/>
    </row>
    <row r="450" spans="1:8" x14ac:dyDescent="0.2">
      <c r="A450" s="1"/>
      <c r="B450" s="1"/>
      <c r="C450" s="1"/>
      <c r="D450" s="1"/>
      <c r="E450" s="1"/>
      <c r="F450" s="1"/>
      <c r="G450" s="1"/>
      <c r="H450" s="1"/>
    </row>
    <row r="451" spans="1:8" x14ac:dyDescent="0.2">
      <c r="A451" s="1"/>
      <c r="B451" s="1"/>
      <c r="C451" s="1"/>
      <c r="D451" s="1"/>
      <c r="E451" s="1"/>
      <c r="F451" s="1"/>
      <c r="G451" s="1"/>
      <c r="H451" s="1"/>
    </row>
    <row r="452" spans="1:8" x14ac:dyDescent="0.2">
      <c r="A452" s="1"/>
      <c r="B452" s="1"/>
      <c r="C452" s="1"/>
      <c r="D452" s="1"/>
      <c r="E452" s="1"/>
      <c r="F452" s="1"/>
      <c r="G452" s="1"/>
      <c r="H452" s="1"/>
    </row>
    <row r="453" spans="1:8" x14ac:dyDescent="0.2">
      <c r="A453" s="1"/>
      <c r="B453" s="1"/>
      <c r="C453" s="1"/>
      <c r="D453" s="1"/>
      <c r="E453" s="1"/>
      <c r="F453" s="1"/>
      <c r="G453" s="1"/>
      <c r="H453" s="1"/>
    </row>
    <row r="454" spans="1:8" x14ac:dyDescent="0.2">
      <c r="A454" s="1"/>
      <c r="B454" s="1"/>
      <c r="C454" s="1"/>
      <c r="D454" s="1"/>
      <c r="E454" s="1"/>
      <c r="F454" s="1"/>
      <c r="G454" s="1"/>
      <c r="H454" s="1"/>
    </row>
    <row r="455" spans="1:8" x14ac:dyDescent="0.2">
      <c r="A455" s="1"/>
      <c r="B455" s="1"/>
      <c r="C455" s="1"/>
      <c r="D455" s="1"/>
      <c r="E455" s="1"/>
      <c r="F455" s="1"/>
      <c r="G455" s="1"/>
      <c r="H455" s="1"/>
    </row>
    <row r="456" spans="1:8" x14ac:dyDescent="0.2">
      <c r="A456" s="1"/>
      <c r="B456" s="1"/>
      <c r="C456" s="1"/>
      <c r="D456" s="1"/>
      <c r="E456" s="1"/>
      <c r="F456" s="1"/>
      <c r="G456" s="1"/>
      <c r="H456" s="1"/>
    </row>
    <row r="457" spans="1:8" x14ac:dyDescent="0.2">
      <c r="A457" s="1"/>
      <c r="B457" s="1"/>
      <c r="C457" s="1"/>
      <c r="D457" s="1"/>
      <c r="E457" s="1"/>
      <c r="F457" s="1"/>
      <c r="G457" s="1"/>
      <c r="H457" s="1"/>
    </row>
    <row r="458" spans="1:8" x14ac:dyDescent="0.2">
      <c r="A458" s="1"/>
      <c r="B458" s="1"/>
      <c r="C458" s="1"/>
      <c r="D458" s="1"/>
      <c r="E458" s="1"/>
      <c r="F458" s="1"/>
      <c r="G458" s="1"/>
      <c r="H458" s="1"/>
    </row>
    <row r="459" spans="1:8" x14ac:dyDescent="0.2">
      <c r="A459" s="1"/>
      <c r="B459" s="1"/>
      <c r="C459" s="1"/>
      <c r="D459" s="1"/>
      <c r="E459" s="1"/>
      <c r="F459" s="1"/>
      <c r="G459" s="1"/>
      <c r="H459" s="1"/>
    </row>
    <row r="460" spans="1:8" x14ac:dyDescent="0.2">
      <c r="A460" s="1"/>
      <c r="B460" s="1"/>
      <c r="C460" s="1"/>
      <c r="D460" s="1"/>
      <c r="E460" s="1"/>
      <c r="F460" s="1"/>
      <c r="G460" s="1"/>
      <c r="H460" s="1"/>
    </row>
    <row r="461" spans="1:8" x14ac:dyDescent="0.2">
      <c r="A461" s="1"/>
      <c r="B461" s="1"/>
      <c r="C461" s="1"/>
      <c r="D461" s="1"/>
      <c r="E461" s="1"/>
      <c r="F461" s="1"/>
      <c r="G461" s="1"/>
      <c r="H461" s="1"/>
    </row>
    <row r="462" spans="1:8" x14ac:dyDescent="0.2">
      <c r="A462" s="1"/>
      <c r="B462" s="1"/>
      <c r="C462" s="1"/>
      <c r="D462" s="1"/>
      <c r="E462" s="1"/>
      <c r="F462" s="1"/>
      <c r="G462" s="1"/>
      <c r="H462" s="1"/>
    </row>
    <row r="463" spans="1:8" x14ac:dyDescent="0.2">
      <c r="A463" s="1"/>
      <c r="B463" s="1"/>
      <c r="C463" s="1"/>
      <c r="D463" s="1"/>
      <c r="E463" s="1"/>
      <c r="F463" s="1"/>
      <c r="G463" s="1"/>
      <c r="H463" s="1"/>
    </row>
    <row r="464" spans="1:8" x14ac:dyDescent="0.2">
      <c r="A464" s="1"/>
      <c r="B464" s="1"/>
      <c r="C464" s="1"/>
      <c r="D464" s="1"/>
      <c r="E464" s="1"/>
      <c r="F464" s="1"/>
      <c r="G464" s="1"/>
      <c r="H464" s="1"/>
    </row>
    <row r="465" spans="1:8" x14ac:dyDescent="0.2">
      <c r="A465" s="1"/>
      <c r="B465" s="1"/>
      <c r="C465" s="1"/>
      <c r="D465" s="1"/>
      <c r="E465" s="1"/>
      <c r="F465" s="1"/>
      <c r="G465" s="1"/>
      <c r="H465" s="1"/>
    </row>
    <row r="466" spans="1:8" x14ac:dyDescent="0.2">
      <c r="A466" s="1"/>
      <c r="B466" s="1"/>
      <c r="C466" s="1"/>
      <c r="D466" s="1"/>
      <c r="E466" s="1"/>
      <c r="F466" s="1"/>
      <c r="G466" s="1"/>
      <c r="H466" s="1"/>
    </row>
    <row r="467" spans="1:8" x14ac:dyDescent="0.2">
      <c r="A467" s="1"/>
      <c r="B467" s="1"/>
      <c r="C467" s="1"/>
      <c r="D467" s="1"/>
      <c r="E467" s="1"/>
      <c r="F467" s="1"/>
      <c r="G467" s="1"/>
      <c r="H467" s="1"/>
    </row>
    <row r="468" spans="1:8" x14ac:dyDescent="0.2">
      <c r="A468" s="1"/>
      <c r="B468" s="1"/>
      <c r="C468" s="1"/>
      <c r="D468" s="1"/>
      <c r="E468" s="1"/>
      <c r="F468" s="1"/>
      <c r="G468" s="1"/>
      <c r="H468" s="1"/>
    </row>
    <row r="469" spans="1:8" x14ac:dyDescent="0.2">
      <c r="A469" s="1"/>
      <c r="B469" s="1"/>
      <c r="C469" s="1"/>
      <c r="D469" s="1"/>
      <c r="E469" s="1"/>
      <c r="F469" s="1"/>
      <c r="G469" s="1"/>
      <c r="H469" s="1"/>
    </row>
    <row r="470" spans="1:8" x14ac:dyDescent="0.2">
      <c r="A470" s="1"/>
      <c r="B470" s="1"/>
      <c r="C470" s="1"/>
      <c r="D470" s="1"/>
      <c r="E470" s="1"/>
      <c r="F470" s="1"/>
      <c r="G470" s="1"/>
      <c r="H470" s="1"/>
    </row>
    <row r="471" spans="1:8" x14ac:dyDescent="0.2">
      <c r="A471" s="1"/>
      <c r="B471" s="1"/>
      <c r="C471" s="1"/>
      <c r="D471" s="1"/>
      <c r="E471" s="1"/>
      <c r="F471" s="1"/>
      <c r="G471" s="1"/>
      <c r="H471" s="1"/>
    </row>
    <row r="472" spans="1:8" x14ac:dyDescent="0.2">
      <c r="A472" s="1"/>
      <c r="B472" s="1"/>
      <c r="C472" s="1"/>
      <c r="D472" s="1"/>
      <c r="E472" s="1"/>
      <c r="F472" s="1"/>
      <c r="G472" s="1"/>
      <c r="H472" s="1"/>
    </row>
    <row r="473" spans="1:8" x14ac:dyDescent="0.2">
      <c r="A473" s="1"/>
      <c r="B473" s="1"/>
      <c r="C473" s="1"/>
      <c r="D473" s="1"/>
      <c r="E473" s="1"/>
      <c r="F473" s="1"/>
      <c r="G473" s="1"/>
      <c r="H473" s="1"/>
    </row>
    <row r="474" spans="1:8" x14ac:dyDescent="0.2">
      <c r="A474" s="1"/>
      <c r="B474" s="1"/>
      <c r="C474" s="1"/>
      <c r="D474" s="1"/>
      <c r="E474" s="1"/>
      <c r="F474" s="1"/>
      <c r="G474" s="1"/>
      <c r="H474" s="1"/>
    </row>
    <row r="475" spans="1:8" x14ac:dyDescent="0.2">
      <c r="A475" s="1"/>
      <c r="B475" s="1"/>
      <c r="C475" s="1"/>
      <c r="D475" s="1"/>
      <c r="E475" s="1"/>
      <c r="F475" s="1"/>
      <c r="G475" s="1"/>
      <c r="H475" s="1"/>
    </row>
    <row r="476" spans="1:8" x14ac:dyDescent="0.2">
      <c r="A476" s="1"/>
      <c r="B476" s="1"/>
      <c r="C476" s="1"/>
      <c r="D476" s="1"/>
      <c r="E476" s="1"/>
      <c r="F476" s="1"/>
      <c r="G476" s="1"/>
      <c r="H476" s="1"/>
    </row>
    <row r="477" spans="1:8" x14ac:dyDescent="0.2">
      <c r="A477" s="1"/>
      <c r="B477" s="1"/>
      <c r="C477" s="1"/>
      <c r="D477" s="1"/>
      <c r="E477" s="1"/>
      <c r="F477" s="1"/>
      <c r="G477" s="1"/>
      <c r="H477" s="1"/>
    </row>
    <row r="478" spans="1:8" x14ac:dyDescent="0.2">
      <c r="A478" s="1"/>
      <c r="B478" s="1"/>
      <c r="C478" s="1"/>
      <c r="D478" s="1"/>
      <c r="E478" s="1"/>
      <c r="F478" s="1"/>
      <c r="G478" s="1"/>
      <c r="H478" s="1"/>
    </row>
    <row r="479" spans="1:8" x14ac:dyDescent="0.2">
      <c r="A479" s="1"/>
      <c r="B479" s="1"/>
      <c r="C479" s="1"/>
      <c r="D479" s="1"/>
      <c r="E479" s="1"/>
      <c r="F479" s="1"/>
      <c r="G479" s="1"/>
      <c r="H479" s="1"/>
    </row>
    <row r="480" spans="1:8" x14ac:dyDescent="0.2">
      <c r="A480" s="1"/>
      <c r="B480" s="1"/>
      <c r="C480" s="1"/>
      <c r="D480" s="1"/>
      <c r="E480" s="1"/>
      <c r="F480" s="1"/>
      <c r="G480" s="1"/>
      <c r="H480" s="1"/>
    </row>
    <row r="481" spans="1:8" x14ac:dyDescent="0.2">
      <c r="A481" s="1"/>
      <c r="B481" s="1"/>
      <c r="C481" s="1"/>
      <c r="D481" s="1"/>
      <c r="E481" s="1"/>
      <c r="F481" s="1"/>
      <c r="G481" s="1"/>
      <c r="H481" s="1"/>
    </row>
    <row r="482" spans="1:8" x14ac:dyDescent="0.2">
      <c r="A482" s="1"/>
      <c r="B482" s="1"/>
      <c r="C482" s="1"/>
      <c r="D482" s="1"/>
      <c r="E482" s="1"/>
      <c r="F482" s="1"/>
      <c r="G482" s="1"/>
      <c r="H482" s="1"/>
    </row>
    <row r="483" spans="1:8" x14ac:dyDescent="0.2">
      <c r="A483" s="1"/>
      <c r="B483" s="1"/>
      <c r="C483" s="1"/>
      <c r="D483" s="1"/>
      <c r="E483" s="1"/>
      <c r="F483" s="1"/>
      <c r="G483" s="1"/>
      <c r="H483" s="1"/>
    </row>
    <row r="484" spans="1:8" x14ac:dyDescent="0.2">
      <c r="A484" s="1"/>
      <c r="B484" s="1"/>
      <c r="C484" s="1"/>
      <c r="D484" s="1"/>
      <c r="E484" s="1"/>
      <c r="F484" s="1"/>
      <c r="G484" s="1"/>
      <c r="H484" s="1"/>
    </row>
    <row r="485" spans="1:8" x14ac:dyDescent="0.2">
      <c r="A485" s="1"/>
      <c r="B485" s="1"/>
      <c r="C485" s="1"/>
      <c r="D485" s="1"/>
      <c r="E485" s="1"/>
      <c r="F485" s="1"/>
      <c r="G485" s="1"/>
      <c r="H485" s="1"/>
    </row>
    <row r="486" spans="1:8" x14ac:dyDescent="0.2">
      <c r="A486" s="1"/>
      <c r="B486" s="1"/>
      <c r="C486" s="1"/>
      <c r="D486" s="1"/>
      <c r="E486" s="1"/>
      <c r="F486" s="1"/>
      <c r="G486" s="1"/>
      <c r="H486" s="1"/>
    </row>
    <row r="487" spans="1:8" x14ac:dyDescent="0.2">
      <c r="A487" s="1"/>
      <c r="B487" s="1"/>
      <c r="C487" s="1"/>
      <c r="D487" s="1"/>
      <c r="E487" s="1"/>
      <c r="F487" s="1"/>
      <c r="G487" s="1"/>
      <c r="H487" s="1"/>
    </row>
    <row r="488" spans="1:8" x14ac:dyDescent="0.2">
      <c r="A488" s="1"/>
      <c r="B488" s="1"/>
      <c r="C488" s="1"/>
      <c r="D488" s="1"/>
      <c r="E488" s="1"/>
      <c r="F488" s="1"/>
      <c r="G488" s="1"/>
      <c r="H488" s="1"/>
    </row>
    <row r="489" spans="1:8" x14ac:dyDescent="0.2">
      <c r="A489" s="1"/>
      <c r="B489" s="1"/>
      <c r="C489" s="1"/>
      <c r="D489" s="1"/>
      <c r="E489" s="1"/>
      <c r="F489" s="1"/>
      <c r="G489" s="1"/>
      <c r="H489" s="1"/>
    </row>
    <row r="490" spans="1:8" x14ac:dyDescent="0.2">
      <c r="A490" s="1"/>
      <c r="B490" s="1"/>
      <c r="C490" s="1"/>
      <c r="D490" s="1"/>
      <c r="E490" s="1"/>
      <c r="F490" s="1"/>
      <c r="G490" s="1"/>
      <c r="H490" s="1"/>
    </row>
    <row r="491" spans="1:8" x14ac:dyDescent="0.2">
      <c r="A491" s="1"/>
      <c r="B491" s="1"/>
      <c r="C491" s="1"/>
      <c r="D491" s="1"/>
      <c r="E491" s="1"/>
      <c r="F491" s="1"/>
      <c r="G491" s="1"/>
      <c r="H491" s="1"/>
    </row>
    <row r="492" spans="1:8" x14ac:dyDescent="0.2">
      <c r="A492" s="1"/>
      <c r="B492" s="1"/>
      <c r="C492" s="1"/>
      <c r="D492" s="1"/>
      <c r="E492" s="1"/>
      <c r="F492" s="1"/>
      <c r="G492" s="1"/>
      <c r="H492" s="1"/>
    </row>
    <row r="493" spans="1:8" x14ac:dyDescent="0.2">
      <c r="A493" s="1"/>
      <c r="B493" s="1"/>
      <c r="C493" s="1"/>
      <c r="D493" s="1"/>
      <c r="E493" s="1"/>
      <c r="F493" s="1"/>
      <c r="G493" s="1"/>
      <c r="H493" s="1"/>
    </row>
    <row r="494" spans="1:8" x14ac:dyDescent="0.2">
      <c r="A494" s="1"/>
      <c r="B494" s="1"/>
      <c r="C494" s="1"/>
      <c r="D494" s="1"/>
      <c r="E494" s="1"/>
      <c r="F494" s="1"/>
      <c r="G494" s="1"/>
      <c r="H494" s="1"/>
    </row>
    <row r="495" spans="1:8" x14ac:dyDescent="0.2">
      <c r="A495" s="1"/>
      <c r="B495" s="1"/>
      <c r="C495" s="1"/>
      <c r="D495" s="1"/>
      <c r="E495" s="1"/>
      <c r="F495" s="1"/>
      <c r="G495" s="1"/>
      <c r="H495" s="1"/>
    </row>
    <row r="496" spans="1:8" x14ac:dyDescent="0.2">
      <c r="A496" s="1"/>
      <c r="B496" s="1"/>
      <c r="C496" s="1"/>
      <c r="D496" s="1"/>
      <c r="E496" s="1"/>
      <c r="F496" s="1"/>
      <c r="G496" s="1"/>
      <c r="H496" s="1"/>
    </row>
    <row r="497" spans="1:8" x14ac:dyDescent="0.2">
      <c r="A497" s="1"/>
      <c r="B497" s="1"/>
      <c r="C497" s="1"/>
      <c r="D497" s="1"/>
      <c r="E497" s="1"/>
      <c r="F497" s="1"/>
      <c r="G497" s="1"/>
      <c r="H497" s="1"/>
    </row>
    <row r="498" spans="1:8" x14ac:dyDescent="0.2">
      <c r="A498" s="1"/>
      <c r="B498" s="1"/>
      <c r="C498" s="1"/>
      <c r="D498" s="1"/>
      <c r="E498" s="1"/>
      <c r="F498" s="1"/>
      <c r="G498" s="1"/>
      <c r="H498" s="1"/>
    </row>
    <row r="499" spans="1:8" x14ac:dyDescent="0.2">
      <c r="A499" s="1"/>
      <c r="B499" s="1"/>
      <c r="C499" s="1"/>
      <c r="D499" s="1"/>
      <c r="E499" s="1"/>
      <c r="F499" s="1"/>
      <c r="G499" s="1"/>
      <c r="H499" s="1"/>
    </row>
    <row r="500" spans="1:8" x14ac:dyDescent="0.2">
      <c r="A500" s="1"/>
      <c r="B500" s="1"/>
      <c r="C500" s="1"/>
      <c r="D500" s="1"/>
      <c r="E500" s="1"/>
      <c r="F500" s="1"/>
      <c r="G500" s="1"/>
      <c r="H500" s="1"/>
    </row>
    <row r="501" spans="1:8" x14ac:dyDescent="0.2">
      <c r="A501" s="1"/>
      <c r="B501" s="1"/>
      <c r="C501" s="1"/>
      <c r="D501" s="1"/>
      <c r="E501" s="1"/>
      <c r="F501" s="1"/>
      <c r="G501" s="1"/>
      <c r="H501" s="1"/>
    </row>
    <row r="502" spans="1:8" x14ac:dyDescent="0.2">
      <c r="A502" s="1"/>
      <c r="B502" s="1"/>
      <c r="C502" s="1"/>
      <c r="D502" s="1"/>
      <c r="E502" s="1"/>
      <c r="F502" s="1"/>
      <c r="G502" s="1"/>
      <c r="H502" s="1"/>
    </row>
    <row r="503" spans="1:8" x14ac:dyDescent="0.2">
      <c r="A503" s="1"/>
      <c r="B503" s="1"/>
      <c r="C503" s="1"/>
      <c r="D503" s="1"/>
      <c r="E503" s="1"/>
      <c r="F503" s="1"/>
      <c r="G503" s="1"/>
      <c r="H503" s="1"/>
    </row>
    <row r="504" spans="1:8" x14ac:dyDescent="0.2">
      <c r="A504" s="1"/>
      <c r="B504" s="1"/>
      <c r="C504" s="1"/>
      <c r="D504" s="1"/>
      <c r="E504" s="1"/>
      <c r="F504" s="1"/>
      <c r="G504" s="1"/>
      <c r="H504" s="1"/>
    </row>
    <row r="505" spans="1:8" x14ac:dyDescent="0.2">
      <c r="A505" s="1"/>
      <c r="B505" s="1"/>
      <c r="C505" s="1"/>
      <c r="D505" s="1"/>
      <c r="E505" s="1"/>
      <c r="F505" s="1"/>
      <c r="G505" s="1"/>
      <c r="H505" s="1"/>
    </row>
    <row r="506" spans="1:8" x14ac:dyDescent="0.2">
      <c r="A506" s="1"/>
      <c r="B506" s="1"/>
      <c r="C506" s="1"/>
      <c r="D506" s="1"/>
      <c r="E506" s="1"/>
      <c r="F506" s="1"/>
      <c r="G506" s="1"/>
      <c r="H506" s="1"/>
    </row>
    <row r="507" spans="1:8" x14ac:dyDescent="0.2">
      <c r="A507" s="1"/>
      <c r="B507" s="1"/>
      <c r="C507" s="1"/>
      <c r="D507" s="1"/>
      <c r="E507" s="1"/>
      <c r="F507" s="1"/>
      <c r="G507" s="1"/>
      <c r="H507" s="1"/>
    </row>
    <row r="508" spans="1:8" x14ac:dyDescent="0.2">
      <c r="A508" s="1"/>
      <c r="B508" s="1"/>
      <c r="C508" s="1"/>
      <c r="D508" s="1"/>
      <c r="E508" s="1"/>
      <c r="F508" s="1"/>
      <c r="G508" s="1"/>
      <c r="H508" s="1"/>
    </row>
    <row r="509" spans="1:8" x14ac:dyDescent="0.2">
      <c r="A509" s="1"/>
      <c r="B509" s="1"/>
      <c r="C509" s="1"/>
      <c r="D509" s="1"/>
      <c r="E509" s="1"/>
      <c r="F509" s="1"/>
      <c r="G509" s="1"/>
      <c r="H509" s="1"/>
    </row>
    <row r="510" spans="1:8" x14ac:dyDescent="0.2">
      <c r="A510" s="1"/>
      <c r="B510" s="1"/>
      <c r="C510" s="1"/>
      <c r="D510" s="1"/>
      <c r="E510" s="1"/>
      <c r="F510" s="1"/>
      <c r="G510" s="1"/>
      <c r="H510" s="1"/>
    </row>
    <row r="511" spans="1:8" x14ac:dyDescent="0.2">
      <c r="A511" s="1"/>
      <c r="B511" s="1"/>
      <c r="C511" s="1"/>
      <c r="D511" s="1"/>
      <c r="E511" s="1"/>
      <c r="F511" s="1"/>
      <c r="G511" s="1"/>
      <c r="H511" s="1"/>
    </row>
    <row r="512" spans="1:8" x14ac:dyDescent="0.2">
      <c r="A512" s="1"/>
      <c r="B512" s="1"/>
      <c r="C512" s="1"/>
      <c r="D512" s="1"/>
      <c r="E512" s="1"/>
      <c r="F512" s="1"/>
      <c r="G512" s="1"/>
      <c r="H512" s="1"/>
    </row>
    <row r="513" spans="1:8" x14ac:dyDescent="0.2">
      <c r="A513" s="1"/>
      <c r="B513" s="1"/>
      <c r="C513" s="1"/>
      <c r="D513" s="1"/>
      <c r="E513" s="1"/>
      <c r="F513" s="1"/>
      <c r="G513" s="1"/>
      <c r="H513" s="1"/>
    </row>
    <row r="514" spans="1:8" x14ac:dyDescent="0.2">
      <c r="A514" s="1"/>
      <c r="B514" s="1"/>
      <c r="C514" s="1"/>
      <c r="D514" s="1"/>
      <c r="E514" s="1"/>
      <c r="F514" s="1"/>
      <c r="G514" s="1"/>
      <c r="H514" s="1"/>
    </row>
    <row r="515" spans="1:8" x14ac:dyDescent="0.2">
      <c r="A515" s="1"/>
      <c r="B515" s="1"/>
      <c r="C515" s="1"/>
      <c r="D515" s="1"/>
      <c r="E515" s="1"/>
      <c r="F515" s="1"/>
      <c r="G515" s="1"/>
      <c r="H515" s="1"/>
    </row>
    <row r="516" spans="1:8" x14ac:dyDescent="0.2">
      <c r="A516" s="1"/>
      <c r="B516" s="1"/>
      <c r="C516" s="1"/>
      <c r="D516" s="1"/>
      <c r="E516" s="1"/>
      <c r="F516" s="1"/>
      <c r="G516" s="1"/>
      <c r="H516" s="1"/>
    </row>
    <row r="517" spans="1:8" x14ac:dyDescent="0.2">
      <c r="A517" s="1"/>
      <c r="B517" s="1"/>
      <c r="C517" s="1"/>
      <c r="D517" s="1"/>
      <c r="E517" s="1"/>
      <c r="F517" s="1"/>
      <c r="G517" s="1"/>
      <c r="H517" s="1"/>
    </row>
    <row r="518" spans="1:8" x14ac:dyDescent="0.2">
      <c r="A518" s="1"/>
      <c r="B518" s="1"/>
      <c r="C518" s="1"/>
      <c r="D518" s="1"/>
      <c r="E518" s="1"/>
      <c r="F518" s="1"/>
      <c r="G518" s="1"/>
      <c r="H518" s="1"/>
    </row>
    <row r="519" spans="1:8" x14ac:dyDescent="0.2">
      <c r="A519" s="1"/>
      <c r="B519" s="1"/>
      <c r="C519" s="1"/>
      <c r="D519" s="1"/>
      <c r="E519" s="1"/>
      <c r="F519" s="1"/>
      <c r="G519" s="1"/>
      <c r="H519" s="1"/>
    </row>
    <row r="520" spans="1:8" x14ac:dyDescent="0.2">
      <c r="A520" s="1"/>
      <c r="B520" s="1"/>
      <c r="C520" s="1"/>
      <c r="D520" s="1"/>
      <c r="E520" s="1"/>
      <c r="F520" s="1"/>
      <c r="G520" s="1"/>
      <c r="H520" s="1"/>
    </row>
    <row r="521" spans="1:8" x14ac:dyDescent="0.2">
      <c r="A521" s="1"/>
      <c r="B521" s="1"/>
      <c r="C521" s="1"/>
      <c r="D521" s="1"/>
      <c r="E521" s="1"/>
      <c r="F521" s="1"/>
      <c r="G521" s="1"/>
      <c r="H521" s="1"/>
    </row>
    <row r="522" spans="1:8" x14ac:dyDescent="0.2">
      <c r="A522" s="1"/>
      <c r="B522" s="1"/>
      <c r="C522" s="1"/>
      <c r="D522" s="1"/>
      <c r="E522" s="1"/>
      <c r="F522" s="1"/>
      <c r="G522" s="1"/>
      <c r="H522" s="1"/>
    </row>
    <row r="523" spans="1:8" x14ac:dyDescent="0.2">
      <c r="A523" s="1"/>
      <c r="B523" s="1"/>
      <c r="C523" s="1"/>
      <c r="D523" s="1"/>
      <c r="E523" s="1"/>
      <c r="F523" s="1"/>
      <c r="G523" s="1"/>
      <c r="H523" s="1"/>
    </row>
    <row r="524" spans="1:8" x14ac:dyDescent="0.2">
      <c r="A524" s="1"/>
      <c r="B524" s="1"/>
      <c r="C524" s="1"/>
      <c r="D524" s="1"/>
      <c r="E524" s="1"/>
      <c r="F524" s="1"/>
      <c r="G524" s="1"/>
      <c r="H524" s="1"/>
    </row>
    <row r="525" spans="1:8" x14ac:dyDescent="0.2">
      <c r="A525" s="1"/>
      <c r="B525" s="1"/>
      <c r="C525" s="1"/>
      <c r="D525" s="1"/>
      <c r="E525" s="1"/>
      <c r="F525" s="1"/>
      <c r="G525" s="1"/>
      <c r="H525" s="1"/>
    </row>
    <row r="526" spans="1:8" x14ac:dyDescent="0.2">
      <c r="A526" s="1"/>
      <c r="B526" s="1"/>
      <c r="C526" s="1"/>
      <c r="D526" s="1"/>
      <c r="E526" s="1"/>
      <c r="F526" s="1"/>
      <c r="G526" s="1"/>
      <c r="H526" s="1"/>
    </row>
    <row r="527" spans="1:8" x14ac:dyDescent="0.2">
      <c r="A527" s="1"/>
      <c r="B527" s="1"/>
      <c r="C527" s="1"/>
      <c r="D527" s="1"/>
      <c r="E527" s="1"/>
      <c r="F527" s="1"/>
      <c r="G527" s="1"/>
      <c r="H527" s="1"/>
    </row>
    <row r="528" spans="1:8" x14ac:dyDescent="0.2">
      <c r="A528" s="1"/>
      <c r="B528" s="1"/>
      <c r="C528" s="1"/>
      <c r="D528" s="1"/>
      <c r="E528" s="1"/>
      <c r="F528" s="1"/>
      <c r="G528" s="1"/>
      <c r="H528" s="1"/>
    </row>
    <row r="529" spans="1:8" x14ac:dyDescent="0.2">
      <c r="A529" s="1"/>
      <c r="B529" s="1"/>
      <c r="C529" s="1"/>
      <c r="D529" s="1"/>
      <c r="E529" s="1"/>
      <c r="F529" s="1"/>
      <c r="G529" s="1"/>
      <c r="H529" s="1"/>
    </row>
    <row r="530" spans="1:8" x14ac:dyDescent="0.2">
      <c r="A530" s="1"/>
      <c r="B530" s="1"/>
      <c r="C530" s="1"/>
      <c r="D530" s="1"/>
      <c r="E530" s="1"/>
      <c r="F530" s="1"/>
      <c r="G530" s="1"/>
      <c r="H530" s="1"/>
    </row>
    <row r="531" spans="1:8" x14ac:dyDescent="0.2">
      <c r="A531" s="1"/>
      <c r="B531" s="1"/>
      <c r="C531" s="1"/>
      <c r="D531" s="1"/>
      <c r="E531" s="1"/>
      <c r="F531" s="1"/>
      <c r="G531" s="1"/>
      <c r="H531" s="1"/>
    </row>
    <row r="532" spans="1:8" x14ac:dyDescent="0.2">
      <c r="A532" s="1"/>
      <c r="B532" s="1"/>
      <c r="C532" s="1"/>
      <c r="D532" s="1"/>
      <c r="E532" s="1"/>
      <c r="F532" s="1"/>
      <c r="G532" s="1"/>
      <c r="H532" s="1"/>
    </row>
    <row r="533" spans="1:8" x14ac:dyDescent="0.2">
      <c r="A533" s="1"/>
      <c r="B533" s="1"/>
      <c r="C533" s="1"/>
      <c r="D533" s="1"/>
      <c r="E533" s="1"/>
      <c r="F533" s="1"/>
      <c r="G533" s="1"/>
      <c r="H533" s="1"/>
    </row>
    <row r="534" spans="1:8" x14ac:dyDescent="0.2">
      <c r="A534" s="1"/>
      <c r="B534" s="1"/>
      <c r="C534" s="1"/>
      <c r="D534" s="1"/>
      <c r="E534" s="1"/>
      <c r="F534" s="1"/>
      <c r="G534" s="1"/>
      <c r="H534" s="1"/>
    </row>
    <row r="535" spans="1:8" x14ac:dyDescent="0.2">
      <c r="A535" s="1"/>
      <c r="B535" s="1"/>
      <c r="C535" s="1"/>
      <c r="D535" s="1"/>
      <c r="E535" s="1"/>
      <c r="F535" s="1"/>
      <c r="G535" s="1"/>
      <c r="H535" s="1"/>
    </row>
    <row r="536" spans="1:8" x14ac:dyDescent="0.2">
      <c r="A536" s="1"/>
      <c r="B536" s="1"/>
      <c r="C536" s="1"/>
      <c r="D536" s="1"/>
      <c r="E536" s="1"/>
      <c r="F536" s="1"/>
      <c r="G536" s="1"/>
      <c r="H536" s="1"/>
    </row>
    <row r="537" spans="1:8" x14ac:dyDescent="0.2">
      <c r="A537" s="1"/>
      <c r="B537" s="1"/>
      <c r="C537" s="1"/>
      <c r="D537" s="1"/>
      <c r="E537" s="1"/>
      <c r="F537" s="1"/>
      <c r="G537" s="1"/>
      <c r="H537" s="1"/>
    </row>
    <row r="538" spans="1:8" x14ac:dyDescent="0.2">
      <c r="A538" s="1"/>
      <c r="B538" s="1"/>
      <c r="C538" s="1"/>
      <c r="D538" s="1"/>
      <c r="E538" s="1"/>
      <c r="F538" s="1"/>
      <c r="G538" s="1"/>
      <c r="H538" s="1"/>
    </row>
    <row r="539" spans="1:8" x14ac:dyDescent="0.2">
      <c r="A539" s="1"/>
      <c r="B539" s="1"/>
      <c r="C539" s="1"/>
      <c r="D539" s="1"/>
      <c r="E539" s="1"/>
      <c r="F539" s="1"/>
      <c r="G539" s="1"/>
      <c r="H539" s="1"/>
    </row>
    <row r="540" spans="1:8" x14ac:dyDescent="0.2">
      <c r="A540" s="1"/>
      <c r="B540" s="1"/>
      <c r="C540" s="1"/>
      <c r="D540" s="1"/>
      <c r="E540" s="1"/>
      <c r="F540" s="1"/>
      <c r="G540" s="1"/>
      <c r="H540" s="1"/>
    </row>
    <row r="541" spans="1:8" x14ac:dyDescent="0.2">
      <c r="A541" s="1"/>
      <c r="B541" s="1"/>
      <c r="C541" s="1"/>
      <c r="D541" s="1"/>
      <c r="E541" s="1"/>
      <c r="F541" s="1"/>
      <c r="G541" s="1"/>
      <c r="H541" s="1"/>
    </row>
    <row r="542" spans="1:8" x14ac:dyDescent="0.2">
      <c r="A542" s="1"/>
      <c r="B542" s="1"/>
      <c r="C542" s="1"/>
      <c r="D542" s="1"/>
      <c r="E542" s="1"/>
      <c r="F542" s="1"/>
      <c r="G542" s="1"/>
      <c r="H542" s="1"/>
    </row>
    <row r="543" spans="1:8" x14ac:dyDescent="0.2">
      <c r="A543" s="1"/>
      <c r="B543" s="1"/>
      <c r="C543" s="1"/>
      <c r="D543" s="1"/>
      <c r="E543" s="1"/>
      <c r="F543" s="1"/>
      <c r="G543" s="1"/>
      <c r="H543" s="1"/>
    </row>
    <row r="544" spans="1:8" x14ac:dyDescent="0.2">
      <c r="A544" s="1"/>
      <c r="B544" s="1"/>
      <c r="C544" s="1"/>
      <c r="D544" s="1"/>
      <c r="E544" s="1"/>
      <c r="F544" s="1"/>
      <c r="G544" s="1"/>
      <c r="H544" s="1"/>
    </row>
    <row r="545" spans="1:8" x14ac:dyDescent="0.2">
      <c r="A545" s="1"/>
      <c r="B545" s="1"/>
      <c r="C545" s="1"/>
      <c r="D545" s="1"/>
      <c r="E545" s="1"/>
      <c r="F545" s="1"/>
      <c r="G545" s="1"/>
      <c r="H545" s="1"/>
    </row>
    <row r="546" spans="1:8" x14ac:dyDescent="0.2">
      <c r="A546" s="1"/>
      <c r="B546" s="1"/>
      <c r="C546" s="1"/>
      <c r="D546" s="1"/>
      <c r="E546" s="1"/>
      <c r="F546" s="1"/>
      <c r="G546" s="1"/>
      <c r="H546" s="1"/>
    </row>
    <row r="547" spans="1:8" x14ac:dyDescent="0.2">
      <c r="A547" s="1"/>
      <c r="B547" s="1"/>
      <c r="C547" s="1"/>
      <c r="D547" s="1"/>
      <c r="E547" s="1"/>
      <c r="F547" s="1"/>
      <c r="G547" s="1"/>
      <c r="H547" s="1"/>
    </row>
    <row r="548" spans="1:8" x14ac:dyDescent="0.2">
      <c r="A548" s="1"/>
      <c r="B548" s="1"/>
      <c r="C548" s="1"/>
      <c r="D548" s="1"/>
      <c r="E548" s="1"/>
      <c r="F548" s="1"/>
      <c r="G548" s="1"/>
      <c r="H548" s="1"/>
    </row>
    <row r="549" spans="1:8" x14ac:dyDescent="0.2">
      <c r="A549" s="1"/>
      <c r="B549" s="1"/>
      <c r="C549" s="1"/>
      <c r="D549" s="1"/>
      <c r="E549" s="1"/>
      <c r="F549" s="1"/>
      <c r="G549" s="1"/>
      <c r="H549" s="1"/>
    </row>
    <row r="550" spans="1:8" x14ac:dyDescent="0.2">
      <c r="A550" s="1"/>
      <c r="B550" s="1"/>
      <c r="C550" s="1"/>
      <c r="D550" s="1"/>
      <c r="E550" s="1"/>
      <c r="F550" s="1"/>
      <c r="G550" s="1"/>
      <c r="H550" s="1"/>
    </row>
    <row r="551" spans="1:8" x14ac:dyDescent="0.2">
      <c r="A551" s="1"/>
      <c r="B551" s="1"/>
      <c r="C551" s="1"/>
      <c r="D551" s="1"/>
      <c r="E551" s="1"/>
      <c r="F551" s="1"/>
      <c r="G551" s="1"/>
      <c r="H551" s="1"/>
    </row>
    <row r="552" spans="1:8" x14ac:dyDescent="0.2">
      <c r="A552" s="1"/>
      <c r="B552" s="1"/>
      <c r="C552" s="1"/>
      <c r="D552" s="1"/>
      <c r="E552" s="1"/>
      <c r="F552" s="1"/>
      <c r="G552" s="1"/>
      <c r="H552" s="1"/>
    </row>
    <row r="553" spans="1:8" x14ac:dyDescent="0.2">
      <c r="A553" s="1"/>
      <c r="B553" s="1"/>
      <c r="C553" s="1"/>
      <c r="D553" s="1"/>
      <c r="E553" s="1"/>
      <c r="F553" s="1"/>
      <c r="G553" s="1"/>
      <c r="H553" s="1"/>
    </row>
    <row r="554" spans="1:8" x14ac:dyDescent="0.2">
      <c r="A554" s="1"/>
      <c r="B554" s="1"/>
      <c r="C554" s="1"/>
      <c r="D554" s="1"/>
      <c r="E554" s="1"/>
      <c r="F554" s="1"/>
      <c r="G554" s="1"/>
      <c r="H554" s="1"/>
    </row>
    <row r="555" spans="1:8" x14ac:dyDescent="0.2">
      <c r="A555" s="1"/>
      <c r="B555" s="1"/>
      <c r="C555" s="1"/>
      <c r="D555" s="1"/>
      <c r="E555" s="1"/>
      <c r="F555" s="1"/>
      <c r="G555" s="1"/>
      <c r="H555" s="1"/>
    </row>
    <row r="556" spans="1:8" x14ac:dyDescent="0.2">
      <c r="A556" s="1"/>
      <c r="B556" s="1"/>
      <c r="C556" s="1"/>
      <c r="D556" s="1"/>
      <c r="E556" s="1"/>
      <c r="F556" s="1"/>
      <c r="G556" s="1"/>
      <c r="H556" s="1"/>
    </row>
    <row r="557" spans="1:8" x14ac:dyDescent="0.2">
      <c r="A557" s="1"/>
      <c r="B557" s="1"/>
      <c r="C557" s="1"/>
      <c r="D557" s="1"/>
      <c r="E557" s="1"/>
      <c r="F557" s="1"/>
      <c r="G557" s="1"/>
      <c r="H557" s="1"/>
    </row>
    <row r="558" spans="1:8" x14ac:dyDescent="0.2">
      <c r="A558" s="1"/>
      <c r="B558" s="1"/>
      <c r="C558" s="1"/>
      <c r="D558" s="1"/>
      <c r="E558" s="1"/>
      <c r="F558" s="1"/>
      <c r="G558" s="1"/>
      <c r="H558" s="1"/>
    </row>
    <row r="559" spans="1:8" x14ac:dyDescent="0.2">
      <c r="A559" s="1"/>
      <c r="B559" s="1"/>
      <c r="C559" s="1"/>
      <c r="D559" s="1"/>
      <c r="E559" s="1"/>
      <c r="F559" s="1"/>
      <c r="G559" s="1"/>
      <c r="H559" s="1"/>
    </row>
    <row r="560" spans="1:8" x14ac:dyDescent="0.2">
      <c r="A560" s="1"/>
      <c r="B560" s="1"/>
      <c r="C560" s="1"/>
      <c r="D560" s="1"/>
      <c r="E560" s="1"/>
      <c r="F560" s="1"/>
      <c r="G560" s="1"/>
      <c r="H560" s="1"/>
    </row>
    <row r="561" spans="1:8" x14ac:dyDescent="0.2">
      <c r="A561" s="1"/>
      <c r="B561" s="1"/>
      <c r="C561" s="1"/>
      <c r="D561" s="1"/>
      <c r="E561" s="1"/>
      <c r="F561" s="1"/>
      <c r="G561" s="1"/>
      <c r="H561" s="1"/>
    </row>
    <row r="562" spans="1:8" x14ac:dyDescent="0.2">
      <c r="A562" s="1"/>
      <c r="B562" s="1"/>
      <c r="C562" s="1"/>
      <c r="D562" s="1"/>
      <c r="E562" s="1"/>
      <c r="F562" s="1"/>
      <c r="G562" s="1"/>
      <c r="H562" s="1"/>
    </row>
    <row r="563" spans="1:8" x14ac:dyDescent="0.2">
      <c r="A563" s="1"/>
      <c r="B563" s="1"/>
      <c r="C563" s="1"/>
      <c r="D563" s="1"/>
      <c r="E563" s="1"/>
      <c r="F563" s="1"/>
      <c r="G563" s="1"/>
      <c r="H563" s="1"/>
    </row>
    <row r="564" spans="1:8" x14ac:dyDescent="0.2">
      <c r="A564" s="1"/>
      <c r="B564" s="1"/>
      <c r="C564" s="1"/>
      <c r="D564" s="1"/>
      <c r="E564" s="1"/>
      <c r="F564" s="1"/>
      <c r="G564" s="1"/>
      <c r="H564" s="1"/>
    </row>
    <row r="565" spans="1:8" x14ac:dyDescent="0.2">
      <c r="A565" s="1"/>
      <c r="B565" s="1"/>
      <c r="C565" s="1"/>
      <c r="D565" s="1"/>
      <c r="E565" s="1"/>
      <c r="F565" s="1"/>
      <c r="G565" s="1"/>
      <c r="H565" s="1"/>
    </row>
    <row r="566" spans="1:8" x14ac:dyDescent="0.2">
      <c r="A566" s="1"/>
      <c r="B566" s="1"/>
      <c r="C566" s="1"/>
      <c r="D566" s="1"/>
      <c r="E566" s="1"/>
      <c r="F566" s="1"/>
      <c r="G566" s="1"/>
      <c r="H566" s="1"/>
    </row>
    <row r="567" spans="1:8" x14ac:dyDescent="0.2">
      <c r="A567" s="1"/>
      <c r="B567" s="1"/>
      <c r="C567" s="1"/>
      <c r="D567" s="1"/>
      <c r="E567" s="1"/>
      <c r="F567" s="1"/>
      <c r="G567" s="1"/>
      <c r="H567" s="1"/>
    </row>
    <row r="568" spans="1:8" x14ac:dyDescent="0.2">
      <c r="A568" s="1"/>
      <c r="B568" s="1"/>
      <c r="C568" s="1"/>
      <c r="D568" s="1"/>
      <c r="E568" s="1"/>
      <c r="F568" s="1"/>
      <c r="G568" s="1"/>
      <c r="H568" s="1"/>
    </row>
    <row r="569" spans="1:8" x14ac:dyDescent="0.2">
      <c r="A569" s="1"/>
      <c r="B569" s="1"/>
      <c r="C569" s="1"/>
      <c r="D569" s="1"/>
      <c r="E569" s="1"/>
      <c r="F569" s="1"/>
      <c r="G569" s="1"/>
      <c r="H569" s="1"/>
    </row>
    <row r="570" spans="1:8" x14ac:dyDescent="0.2">
      <c r="A570" s="1"/>
      <c r="B570" s="1"/>
      <c r="C570" s="1"/>
      <c r="D570" s="1"/>
      <c r="E570" s="1"/>
      <c r="F570" s="1"/>
      <c r="G570" s="1"/>
      <c r="H570" s="1"/>
    </row>
    <row r="571" spans="1:8" x14ac:dyDescent="0.2">
      <c r="A571" s="1"/>
      <c r="B571" s="1"/>
      <c r="C571" s="1"/>
      <c r="D571" s="1"/>
      <c r="E571" s="1"/>
      <c r="F571" s="1"/>
      <c r="G571" s="1"/>
      <c r="H571" s="1"/>
    </row>
    <row r="572" spans="1:8" x14ac:dyDescent="0.2">
      <c r="A572" s="1"/>
      <c r="B572" s="1"/>
      <c r="C572" s="1"/>
      <c r="D572" s="1"/>
      <c r="E572" s="1"/>
      <c r="F572" s="1"/>
      <c r="G572" s="1"/>
      <c r="H572" s="1"/>
    </row>
    <row r="573" spans="1:8" x14ac:dyDescent="0.2">
      <c r="A573" s="1"/>
      <c r="B573" s="1"/>
      <c r="C573" s="1"/>
      <c r="D573" s="1"/>
      <c r="E573" s="1"/>
      <c r="F573" s="1"/>
      <c r="G573" s="1"/>
      <c r="H573" s="1"/>
    </row>
    <row r="574" spans="1:8" x14ac:dyDescent="0.2">
      <c r="A574" s="1"/>
      <c r="B574" s="1"/>
      <c r="C574" s="1"/>
      <c r="D574" s="1"/>
      <c r="E574" s="1"/>
      <c r="F574" s="1"/>
      <c r="G574" s="1"/>
      <c r="H574" s="1"/>
    </row>
    <row r="575" spans="1:8" x14ac:dyDescent="0.2">
      <c r="A575" s="1"/>
      <c r="B575" s="1"/>
      <c r="C575" s="1"/>
      <c r="D575" s="1"/>
      <c r="E575" s="1"/>
      <c r="F575" s="1"/>
      <c r="G575" s="1"/>
      <c r="H575" s="1"/>
    </row>
    <row r="576" spans="1:8" x14ac:dyDescent="0.2">
      <c r="A576" s="1"/>
      <c r="B576" s="1"/>
      <c r="C576" s="1"/>
      <c r="D576" s="1"/>
      <c r="E576" s="1"/>
      <c r="F576" s="1"/>
      <c r="G576" s="1"/>
      <c r="H576" s="1"/>
    </row>
    <row r="577" spans="1:8" x14ac:dyDescent="0.2">
      <c r="A577" s="1"/>
      <c r="B577" s="1"/>
      <c r="C577" s="1"/>
      <c r="D577" s="1"/>
      <c r="E577" s="1"/>
      <c r="F577" s="1"/>
      <c r="G577" s="1"/>
      <c r="H577" s="1"/>
    </row>
    <row r="578" spans="1:8" x14ac:dyDescent="0.2">
      <c r="A578" s="1"/>
      <c r="B578" s="1"/>
      <c r="C578" s="1"/>
      <c r="D578" s="1"/>
      <c r="E578" s="1"/>
      <c r="F578" s="1"/>
      <c r="G578" s="1"/>
      <c r="H578" s="1"/>
    </row>
    <row r="579" spans="1:8" x14ac:dyDescent="0.2">
      <c r="A579" s="1"/>
      <c r="B579" s="1"/>
      <c r="C579" s="1"/>
      <c r="D579" s="1"/>
      <c r="E579" s="1"/>
      <c r="F579" s="1"/>
      <c r="G579" s="1"/>
      <c r="H579" s="1"/>
    </row>
    <row r="580" spans="1:8" x14ac:dyDescent="0.2">
      <c r="A580" s="1"/>
      <c r="B580" s="1"/>
      <c r="C580" s="1"/>
      <c r="D580" s="1"/>
      <c r="E580" s="1"/>
      <c r="F580" s="1"/>
      <c r="G580" s="1"/>
      <c r="H580" s="1"/>
    </row>
    <row r="581" spans="1:8" x14ac:dyDescent="0.2">
      <c r="A581" s="1"/>
      <c r="B581" s="1"/>
      <c r="C581" s="1"/>
      <c r="D581" s="1"/>
      <c r="E581" s="1"/>
      <c r="F581" s="1"/>
      <c r="G581" s="1"/>
      <c r="H581" s="1"/>
    </row>
    <row r="582" spans="1:8" x14ac:dyDescent="0.2">
      <c r="A582" s="1"/>
      <c r="B582" s="1"/>
      <c r="C582" s="1"/>
      <c r="D582" s="1"/>
      <c r="E582" s="1"/>
      <c r="F582" s="1"/>
      <c r="G582" s="1"/>
      <c r="H582" s="1"/>
    </row>
    <row r="583" spans="1:8" x14ac:dyDescent="0.2">
      <c r="A583" s="1"/>
      <c r="B583" s="1"/>
      <c r="C583" s="1"/>
      <c r="D583" s="1"/>
      <c r="E583" s="1"/>
      <c r="F583" s="1"/>
      <c r="G583" s="1"/>
      <c r="H583" s="1"/>
    </row>
    <row r="584" spans="1:8" x14ac:dyDescent="0.2">
      <c r="A584" s="1"/>
      <c r="B584" s="1"/>
      <c r="C584" s="1"/>
      <c r="D584" s="1"/>
      <c r="E584" s="1"/>
      <c r="F584" s="1"/>
      <c r="G584" s="1"/>
      <c r="H584" s="1"/>
    </row>
    <row r="585" spans="1:8" x14ac:dyDescent="0.2">
      <c r="A585" s="1"/>
      <c r="B585" s="1"/>
      <c r="C585" s="1"/>
      <c r="D585" s="1"/>
      <c r="E585" s="1"/>
      <c r="F585" s="1"/>
      <c r="G585" s="1"/>
      <c r="H585" s="1"/>
    </row>
    <row r="586" spans="1:8" x14ac:dyDescent="0.2">
      <c r="A586" s="1"/>
      <c r="B586" s="1"/>
      <c r="C586" s="1"/>
      <c r="D586" s="1"/>
      <c r="E586" s="1"/>
      <c r="F586" s="1"/>
      <c r="G586" s="1"/>
      <c r="H586" s="1"/>
    </row>
    <row r="587" spans="1:8" x14ac:dyDescent="0.2">
      <c r="A587" s="1"/>
      <c r="B587" s="1"/>
      <c r="C587" s="1"/>
      <c r="D587" s="1"/>
      <c r="E587" s="1"/>
      <c r="F587" s="1"/>
      <c r="G587" s="1"/>
      <c r="H587" s="1"/>
    </row>
    <row r="588" spans="1:8" x14ac:dyDescent="0.2">
      <c r="A588" s="1"/>
      <c r="B588" s="1"/>
      <c r="C588" s="1"/>
      <c r="D588" s="1"/>
      <c r="E588" s="1"/>
      <c r="F588" s="1"/>
      <c r="G588" s="1"/>
      <c r="H588" s="1"/>
    </row>
    <row r="589" spans="1:8" x14ac:dyDescent="0.2">
      <c r="A589" s="1"/>
      <c r="B589" s="1"/>
      <c r="C589" s="1"/>
      <c r="D589" s="1"/>
      <c r="E589" s="1"/>
      <c r="F589" s="1"/>
      <c r="G589" s="1"/>
      <c r="H589" s="1"/>
    </row>
    <row r="590" spans="1:8" x14ac:dyDescent="0.2">
      <c r="A590" s="1"/>
      <c r="B590" s="1"/>
      <c r="C590" s="1"/>
      <c r="D590" s="1"/>
      <c r="E590" s="1"/>
      <c r="F590" s="1"/>
      <c r="G590" s="1"/>
      <c r="H590" s="1"/>
    </row>
    <row r="591" spans="1:8" x14ac:dyDescent="0.2">
      <c r="A591" s="1"/>
      <c r="B591" s="1"/>
      <c r="C591" s="1"/>
      <c r="D591" s="1"/>
      <c r="E591" s="1"/>
      <c r="F591" s="1"/>
      <c r="G591" s="1"/>
      <c r="H591" s="1"/>
    </row>
    <row r="592" spans="1:8" x14ac:dyDescent="0.2">
      <c r="A592" s="1"/>
      <c r="B592" s="1"/>
      <c r="C592" s="1"/>
      <c r="D592" s="1"/>
      <c r="E592" s="1"/>
      <c r="F592" s="1"/>
      <c r="G592" s="1"/>
      <c r="H592" s="1"/>
    </row>
    <row r="593" spans="1:8" x14ac:dyDescent="0.2">
      <c r="A593" s="1"/>
      <c r="B593" s="1"/>
      <c r="C593" s="1"/>
      <c r="D593" s="1"/>
      <c r="E593" s="1"/>
      <c r="F593" s="1"/>
      <c r="G593" s="1"/>
      <c r="H593" s="1"/>
    </row>
    <row r="594" spans="1:8" x14ac:dyDescent="0.2">
      <c r="A594" s="1"/>
      <c r="B594" s="1"/>
      <c r="C594" s="1"/>
      <c r="D594" s="1"/>
      <c r="E594" s="1"/>
      <c r="F594" s="1"/>
      <c r="G594" s="1"/>
      <c r="H594" s="1"/>
    </row>
    <row r="595" spans="1:8" x14ac:dyDescent="0.2">
      <c r="A595" s="1"/>
      <c r="B595" s="1"/>
      <c r="C595" s="1"/>
      <c r="D595" s="1"/>
      <c r="E595" s="1"/>
      <c r="F595" s="1"/>
      <c r="G595" s="1"/>
      <c r="H595" s="1"/>
    </row>
    <row r="596" spans="1:8" x14ac:dyDescent="0.2">
      <c r="A596" s="1"/>
      <c r="B596" s="1"/>
      <c r="C596" s="1"/>
      <c r="D596" s="1"/>
      <c r="E596" s="1"/>
      <c r="F596" s="1"/>
      <c r="G596" s="1"/>
      <c r="H596" s="1"/>
    </row>
    <row r="597" spans="1:8" x14ac:dyDescent="0.2">
      <c r="A597" s="1"/>
      <c r="B597" s="1"/>
      <c r="C597" s="1"/>
      <c r="D597" s="1"/>
      <c r="E597" s="1"/>
      <c r="F597" s="1"/>
      <c r="G597" s="1"/>
      <c r="H597" s="1"/>
    </row>
    <row r="598" spans="1:8" x14ac:dyDescent="0.2">
      <c r="A598" s="1"/>
      <c r="B598" s="1"/>
      <c r="C598" s="1"/>
      <c r="D598" s="1"/>
      <c r="E598" s="1"/>
      <c r="F598" s="1"/>
      <c r="G598" s="1"/>
      <c r="H598" s="1"/>
    </row>
    <row r="599" spans="1:8" x14ac:dyDescent="0.2">
      <c r="A599" s="1"/>
      <c r="B599" s="1"/>
      <c r="C599" s="1"/>
      <c r="D599" s="1"/>
      <c r="E599" s="1"/>
      <c r="F599" s="1"/>
      <c r="G599" s="1"/>
      <c r="H599" s="1"/>
    </row>
    <row r="600" spans="1:8" x14ac:dyDescent="0.2">
      <c r="A600" s="1"/>
      <c r="B600" s="1"/>
      <c r="C600" s="1"/>
      <c r="D600" s="1"/>
      <c r="E600" s="1"/>
      <c r="F600" s="1"/>
      <c r="G600" s="1"/>
      <c r="H600" s="1"/>
    </row>
    <row r="601" spans="1:8" x14ac:dyDescent="0.2">
      <c r="A601" s="1"/>
      <c r="B601" s="1"/>
      <c r="C601" s="1"/>
      <c r="D601" s="1"/>
      <c r="E601" s="1"/>
      <c r="F601" s="1"/>
      <c r="G601" s="1"/>
      <c r="H601" s="1"/>
    </row>
    <row r="602" spans="1:8" x14ac:dyDescent="0.2">
      <c r="A602" s="1"/>
      <c r="B602" s="1"/>
      <c r="C602" s="1"/>
      <c r="D602" s="1"/>
      <c r="E602" s="1"/>
      <c r="F602" s="1"/>
      <c r="G602" s="1"/>
      <c r="H602" s="1"/>
    </row>
    <row r="603" spans="1:8" x14ac:dyDescent="0.2">
      <c r="A603" s="1"/>
      <c r="B603" s="1"/>
      <c r="C603" s="1"/>
      <c r="D603" s="1"/>
      <c r="E603" s="1"/>
      <c r="F603" s="1"/>
      <c r="G603" s="1"/>
      <c r="H603" s="1"/>
    </row>
    <row r="604" spans="1:8" x14ac:dyDescent="0.2">
      <c r="A604" s="1"/>
      <c r="B604" s="1"/>
      <c r="C604" s="1"/>
      <c r="D604" s="1"/>
      <c r="E604" s="1"/>
      <c r="F604" s="1"/>
      <c r="G604" s="1"/>
      <c r="H604" s="1"/>
    </row>
    <row r="605" spans="1:8" x14ac:dyDescent="0.2">
      <c r="A605" s="1"/>
      <c r="B605" s="1"/>
      <c r="C605" s="1"/>
      <c r="D605" s="1"/>
      <c r="E605" s="1"/>
      <c r="F605" s="1"/>
      <c r="G605" s="1"/>
      <c r="H605" s="1"/>
    </row>
    <row r="606" spans="1:8" x14ac:dyDescent="0.2">
      <c r="A606" s="1"/>
      <c r="B606" s="1"/>
      <c r="C606" s="1"/>
      <c r="D606" s="1"/>
      <c r="E606" s="1"/>
      <c r="F606" s="1"/>
      <c r="G606" s="1"/>
      <c r="H606" s="1"/>
    </row>
    <row r="607" spans="1:8" x14ac:dyDescent="0.2">
      <c r="A607" s="1"/>
      <c r="B607" s="1"/>
      <c r="C607" s="1"/>
      <c r="D607" s="1"/>
      <c r="E607" s="1"/>
      <c r="F607" s="1"/>
      <c r="G607" s="1"/>
      <c r="H607" s="1"/>
    </row>
    <row r="608" spans="1:8" x14ac:dyDescent="0.2">
      <c r="A608" s="1"/>
      <c r="B608" s="1"/>
      <c r="C608" s="1"/>
      <c r="D608" s="1"/>
      <c r="E608" s="1"/>
      <c r="F608" s="1"/>
      <c r="G608" s="1"/>
      <c r="H608" s="1"/>
    </row>
    <row r="609" spans="1:8" x14ac:dyDescent="0.2">
      <c r="A609" s="1"/>
      <c r="B609" s="1"/>
      <c r="C609" s="1"/>
      <c r="D609" s="1"/>
      <c r="E609" s="1"/>
      <c r="F609" s="1"/>
      <c r="G609" s="1"/>
      <c r="H609" s="1"/>
    </row>
    <row r="610" spans="1:8" x14ac:dyDescent="0.2">
      <c r="A610" s="1"/>
      <c r="B610" s="1"/>
      <c r="C610" s="1"/>
      <c r="D610" s="1"/>
      <c r="E610" s="1"/>
      <c r="F610" s="1"/>
      <c r="G610" s="1"/>
      <c r="H610" s="1"/>
    </row>
    <row r="611" spans="1:8" x14ac:dyDescent="0.2">
      <c r="A611" s="1"/>
      <c r="B611" s="1"/>
      <c r="C611" s="1"/>
      <c r="D611" s="1"/>
      <c r="E611" s="1"/>
      <c r="F611" s="1"/>
      <c r="G611" s="1"/>
      <c r="H611" s="1"/>
    </row>
    <row r="612" spans="1:8" x14ac:dyDescent="0.2">
      <c r="A612" s="1"/>
      <c r="B612" s="1"/>
      <c r="C612" s="1"/>
      <c r="D612" s="1"/>
      <c r="E612" s="1"/>
      <c r="F612" s="1"/>
      <c r="G612" s="1"/>
      <c r="H612" s="1"/>
    </row>
    <row r="613" spans="1:8" x14ac:dyDescent="0.2">
      <c r="A613" s="1"/>
      <c r="B613" s="1"/>
      <c r="C613" s="1"/>
      <c r="D613" s="1"/>
      <c r="E613" s="1"/>
      <c r="F613" s="1"/>
      <c r="G613" s="1"/>
      <c r="H613" s="1"/>
    </row>
    <row r="614" spans="1:8" x14ac:dyDescent="0.2">
      <c r="A614" s="1"/>
      <c r="B614" s="1"/>
      <c r="C614" s="1"/>
      <c r="D614" s="1"/>
      <c r="E614" s="1"/>
      <c r="F614" s="1"/>
      <c r="G614" s="1"/>
      <c r="H614" s="1"/>
    </row>
    <row r="615" spans="1:8" x14ac:dyDescent="0.2">
      <c r="A615" s="1"/>
      <c r="B615" s="1"/>
      <c r="C615" s="1"/>
      <c r="D615" s="1"/>
      <c r="E615" s="1"/>
      <c r="F615" s="1"/>
      <c r="G615" s="1"/>
      <c r="H615" s="1"/>
    </row>
    <row r="616" spans="1:8" x14ac:dyDescent="0.2">
      <c r="A616" s="1"/>
      <c r="B616" s="1"/>
      <c r="C616" s="1"/>
      <c r="D616" s="1"/>
      <c r="E616" s="1"/>
      <c r="F616" s="1"/>
      <c r="G616" s="1"/>
      <c r="H616" s="1"/>
    </row>
    <row r="617" spans="1:8" x14ac:dyDescent="0.2">
      <c r="A617" s="1"/>
      <c r="B617" s="1"/>
      <c r="C617" s="1"/>
      <c r="D617" s="1"/>
      <c r="E617" s="1"/>
      <c r="F617" s="1"/>
      <c r="G617" s="1"/>
      <c r="H617" s="1"/>
    </row>
    <row r="618" spans="1:8" x14ac:dyDescent="0.2">
      <c r="A618" s="1"/>
      <c r="B618" s="1"/>
      <c r="C618" s="1"/>
      <c r="D618" s="1"/>
      <c r="E618" s="1"/>
      <c r="F618" s="1"/>
      <c r="G618" s="1"/>
      <c r="H618" s="1"/>
    </row>
    <row r="619" spans="1:8" x14ac:dyDescent="0.2">
      <c r="A619" s="1"/>
      <c r="B619" s="1"/>
      <c r="C619" s="1"/>
      <c r="D619" s="1"/>
      <c r="E619" s="1"/>
      <c r="F619" s="1"/>
      <c r="G619" s="1"/>
      <c r="H619" s="1"/>
    </row>
    <row r="620" spans="1:8" x14ac:dyDescent="0.2">
      <c r="A620" s="1"/>
      <c r="B620" s="1"/>
      <c r="C620" s="1"/>
      <c r="D620" s="1"/>
      <c r="E620" s="1"/>
      <c r="F620" s="1"/>
      <c r="G620" s="1"/>
      <c r="H620" s="1"/>
    </row>
    <row r="621" spans="1:8" x14ac:dyDescent="0.2">
      <c r="A621" s="1"/>
      <c r="B621" s="1"/>
      <c r="C621" s="1"/>
      <c r="D621" s="1"/>
      <c r="E621" s="1"/>
      <c r="F621" s="1"/>
      <c r="G621" s="1"/>
      <c r="H621" s="1"/>
    </row>
    <row r="622" spans="1:8" x14ac:dyDescent="0.2">
      <c r="A622" s="1"/>
      <c r="B622" s="1"/>
      <c r="C622" s="1"/>
      <c r="D622" s="1"/>
      <c r="E622" s="1"/>
      <c r="F622" s="1"/>
      <c r="G622" s="1"/>
      <c r="H622" s="1"/>
    </row>
    <row r="623" spans="1:8" x14ac:dyDescent="0.2">
      <c r="A623" s="1"/>
      <c r="B623" s="1"/>
      <c r="C623" s="1"/>
      <c r="D623" s="1"/>
      <c r="E623" s="1"/>
      <c r="F623" s="1"/>
      <c r="G623" s="1"/>
      <c r="H623" s="1"/>
    </row>
    <row r="624" spans="1:8" x14ac:dyDescent="0.2">
      <c r="A624" s="1"/>
      <c r="B624" s="1"/>
      <c r="C624" s="1"/>
      <c r="D624" s="1"/>
      <c r="E624" s="1"/>
      <c r="F624" s="1"/>
      <c r="G624" s="1"/>
      <c r="H624" s="1"/>
    </row>
    <row r="625" spans="1:8" x14ac:dyDescent="0.2">
      <c r="A625" s="1"/>
      <c r="B625" s="1"/>
      <c r="C625" s="1"/>
      <c r="D625" s="1"/>
      <c r="E625" s="1"/>
      <c r="F625" s="1"/>
      <c r="G625" s="1"/>
      <c r="H625" s="1"/>
    </row>
    <row r="626" spans="1:8" x14ac:dyDescent="0.2">
      <c r="A626" s="1"/>
      <c r="B626" s="1"/>
      <c r="C626" s="1"/>
      <c r="D626" s="1"/>
      <c r="E626" s="1"/>
      <c r="F626" s="1"/>
      <c r="G626" s="1"/>
      <c r="H626" s="1"/>
    </row>
    <row r="627" spans="1:8" x14ac:dyDescent="0.2">
      <c r="A627" s="1"/>
      <c r="B627" s="1"/>
      <c r="C627" s="1"/>
      <c r="D627" s="1"/>
      <c r="E627" s="1"/>
      <c r="F627" s="1"/>
      <c r="G627" s="1"/>
      <c r="H627" s="1"/>
    </row>
    <row r="628" spans="1:8" x14ac:dyDescent="0.2">
      <c r="A628" s="1"/>
      <c r="B628" s="1"/>
      <c r="C628" s="1"/>
      <c r="D628" s="1"/>
      <c r="E628" s="1"/>
      <c r="F628" s="1"/>
      <c r="G628" s="1"/>
      <c r="H628" s="1"/>
    </row>
    <row r="629" spans="1:8" x14ac:dyDescent="0.2">
      <c r="A629" s="1"/>
      <c r="B629" s="1"/>
      <c r="C629" s="1"/>
      <c r="D629" s="1"/>
      <c r="E629" s="1"/>
      <c r="F629" s="1"/>
      <c r="G629" s="1"/>
      <c r="H629" s="1"/>
    </row>
    <row r="630" spans="1:8" x14ac:dyDescent="0.2">
      <c r="A630" s="1"/>
      <c r="B630" s="1"/>
      <c r="C630" s="1"/>
      <c r="D630" s="1"/>
      <c r="E630" s="1"/>
      <c r="F630" s="1"/>
      <c r="G630" s="1"/>
      <c r="H630" s="1"/>
    </row>
    <row r="631" spans="1:8" x14ac:dyDescent="0.2">
      <c r="A631" s="1"/>
      <c r="B631" s="1"/>
      <c r="C631" s="1"/>
      <c r="D631" s="1"/>
      <c r="E631" s="1"/>
      <c r="F631" s="1"/>
      <c r="G631" s="1"/>
      <c r="H631" s="1"/>
    </row>
    <row r="632" spans="1:8" x14ac:dyDescent="0.2">
      <c r="A632" s="1"/>
      <c r="B632" s="1"/>
      <c r="C632" s="1"/>
      <c r="D632" s="1"/>
      <c r="E632" s="1"/>
      <c r="F632" s="1"/>
      <c r="G632" s="1"/>
      <c r="H632" s="1"/>
    </row>
    <row r="633" spans="1:8" x14ac:dyDescent="0.2">
      <c r="A633" s="1"/>
      <c r="B633" s="1"/>
      <c r="C633" s="1"/>
      <c r="D633" s="1"/>
      <c r="E633" s="1"/>
      <c r="F633" s="1"/>
      <c r="G633" s="1"/>
      <c r="H633" s="1"/>
    </row>
    <row r="634" spans="1:8" x14ac:dyDescent="0.2">
      <c r="A634" s="1"/>
      <c r="B634" s="1"/>
      <c r="C634" s="1"/>
      <c r="D634" s="1"/>
      <c r="E634" s="1"/>
      <c r="F634" s="1"/>
      <c r="G634" s="1"/>
      <c r="H634" s="1"/>
    </row>
    <row r="635" spans="1:8" x14ac:dyDescent="0.2">
      <c r="A635" s="1"/>
      <c r="B635" s="1"/>
      <c r="C635" s="1"/>
      <c r="D635" s="1"/>
      <c r="E635" s="1"/>
      <c r="F635" s="1"/>
      <c r="G635" s="1"/>
      <c r="H635" s="1"/>
    </row>
    <row r="636" spans="1:8" x14ac:dyDescent="0.2">
      <c r="A636" s="1"/>
      <c r="B636" s="1"/>
      <c r="C636" s="1"/>
      <c r="D636" s="1"/>
      <c r="E636" s="1"/>
      <c r="F636" s="1"/>
      <c r="G636" s="1"/>
      <c r="H636" s="1"/>
    </row>
    <row r="637" spans="1:8" x14ac:dyDescent="0.2">
      <c r="A637" s="1"/>
      <c r="B637" s="1"/>
      <c r="C637" s="1"/>
      <c r="D637" s="1"/>
      <c r="E637" s="1"/>
      <c r="F637" s="1"/>
      <c r="G637" s="1"/>
      <c r="H637" s="1"/>
    </row>
    <row r="638" spans="1:8" x14ac:dyDescent="0.2">
      <c r="A638" s="1"/>
      <c r="B638" s="1"/>
      <c r="C638" s="1"/>
      <c r="D638" s="1"/>
      <c r="E638" s="1"/>
      <c r="F638" s="1"/>
      <c r="G638" s="1"/>
      <c r="H638" s="1"/>
    </row>
    <row r="639" spans="1:8" x14ac:dyDescent="0.2">
      <c r="A639" s="1"/>
      <c r="B639" s="1"/>
      <c r="C639" s="1"/>
      <c r="D639" s="1"/>
      <c r="E639" s="1"/>
      <c r="F639" s="1"/>
      <c r="G639" s="1"/>
      <c r="H639" s="1"/>
    </row>
    <row r="640" spans="1:8" x14ac:dyDescent="0.2">
      <c r="A640" s="1"/>
      <c r="B640" s="1"/>
      <c r="C640" s="1"/>
      <c r="D640" s="1"/>
      <c r="E640" s="1"/>
      <c r="F640" s="1"/>
      <c r="G640" s="1"/>
      <c r="H640" s="1"/>
    </row>
    <row r="641" spans="1:8" x14ac:dyDescent="0.2">
      <c r="A641" s="1"/>
      <c r="B641" s="1"/>
      <c r="C641" s="1"/>
      <c r="D641" s="1"/>
      <c r="E641" s="1"/>
      <c r="F641" s="1"/>
      <c r="G641" s="1"/>
      <c r="H641" s="1"/>
    </row>
    <row r="642" spans="1:8" x14ac:dyDescent="0.2">
      <c r="A642" s="1"/>
      <c r="B642" s="1"/>
      <c r="C642" s="1"/>
      <c r="D642" s="1"/>
      <c r="E642" s="1"/>
      <c r="F642" s="1"/>
      <c r="G642" s="1"/>
      <c r="H642" s="1"/>
    </row>
    <row r="643" spans="1:8" x14ac:dyDescent="0.2">
      <c r="A643" s="1"/>
      <c r="B643" s="1"/>
      <c r="C643" s="1"/>
      <c r="D643" s="1"/>
      <c r="E643" s="1"/>
      <c r="F643" s="1"/>
      <c r="G643" s="1"/>
      <c r="H643" s="1"/>
    </row>
    <row r="644" spans="1:8" x14ac:dyDescent="0.2">
      <c r="A644" s="1"/>
      <c r="B644" s="1"/>
      <c r="C644" s="1"/>
      <c r="D644" s="1"/>
      <c r="E644" s="1"/>
      <c r="F644" s="1"/>
      <c r="G644" s="1"/>
      <c r="H644" s="1"/>
    </row>
    <row r="645" spans="1:8" x14ac:dyDescent="0.2">
      <c r="A645" s="1"/>
      <c r="B645" s="1"/>
      <c r="C645" s="1"/>
      <c r="D645" s="1"/>
      <c r="E645" s="1"/>
      <c r="F645" s="1"/>
      <c r="G645" s="1"/>
      <c r="H645" s="1"/>
    </row>
    <row r="646" spans="1:8" x14ac:dyDescent="0.2">
      <c r="A646" s="1"/>
      <c r="B646" s="1"/>
      <c r="C646" s="1"/>
      <c r="D646" s="1"/>
      <c r="E646" s="1"/>
      <c r="F646" s="1"/>
      <c r="G646" s="1"/>
      <c r="H646" s="1"/>
    </row>
    <row r="647" spans="1:8" x14ac:dyDescent="0.2">
      <c r="A647" s="1"/>
      <c r="B647" s="1"/>
      <c r="C647" s="1"/>
      <c r="D647" s="1"/>
      <c r="E647" s="1"/>
      <c r="F647" s="1"/>
      <c r="G647" s="1"/>
      <c r="H647" s="1"/>
    </row>
    <row r="648" spans="1:8" x14ac:dyDescent="0.2">
      <c r="A648" s="1"/>
      <c r="B648" s="1"/>
      <c r="C648" s="1"/>
      <c r="D648" s="1"/>
      <c r="E648" s="1"/>
      <c r="F648" s="1"/>
      <c r="G648" s="1"/>
      <c r="H648" s="1"/>
    </row>
    <row r="649" spans="1:8" x14ac:dyDescent="0.2">
      <c r="A649" s="1"/>
      <c r="B649" s="1"/>
      <c r="C649" s="1"/>
      <c r="D649" s="1"/>
      <c r="E649" s="1"/>
      <c r="F649" s="1"/>
      <c r="G649" s="1"/>
      <c r="H649" s="1"/>
    </row>
    <row r="650" spans="1:8" x14ac:dyDescent="0.2">
      <c r="A650" s="1"/>
      <c r="B650" s="1"/>
      <c r="C650" s="1"/>
      <c r="D650" s="1"/>
      <c r="E650" s="1"/>
      <c r="F650" s="1"/>
      <c r="G650" s="1"/>
      <c r="H650" s="1"/>
    </row>
    <row r="651" spans="1:8" x14ac:dyDescent="0.2">
      <c r="A651" s="1"/>
      <c r="B651" s="1"/>
      <c r="C651" s="1"/>
      <c r="D651" s="1"/>
      <c r="E651" s="1"/>
      <c r="F651" s="1"/>
      <c r="G651" s="1"/>
      <c r="H651" s="1"/>
    </row>
    <row r="652" spans="1:8" x14ac:dyDescent="0.2">
      <c r="A652" s="1"/>
      <c r="B652" s="1"/>
      <c r="C652" s="1"/>
      <c r="D652" s="1"/>
      <c r="E652" s="1"/>
      <c r="F652" s="1"/>
      <c r="G652" s="1"/>
      <c r="H652" s="1"/>
    </row>
    <row r="653" spans="1:8" x14ac:dyDescent="0.2">
      <c r="A653" s="1"/>
      <c r="B653" s="1"/>
      <c r="C653" s="1"/>
      <c r="D653" s="1"/>
      <c r="E653" s="1"/>
      <c r="F653" s="1"/>
      <c r="G653" s="1"/>
      <c r="H653" s="1"/>
    </row>
    <row r="654" spans="1:8" x14ac:dyDescent="0.2">
      <c r="A654" s="1"/>
      <c r="B654" s="1"/>
      <c r="C654" s="1"/>
      <c r="D654" s="1"/>
      <c r="E654" s="1"/>
      <c r="F654" s="1"/>
      <c r="G654" s="1"/>
      <c r="H654" s="1"/>
    </row>
    <row r="655" spans="1:8" x14ac:dyDescent="0.2">
      <c r="A655" s="1"/>
      <c r="B655" s="1"/>
      <c r="C655" s="1"/>
      <c r="D655" s="1"/>
      <c r="E655" s="1"/>
      <c r="F655" s="1"/>
      <c r="G655" s="1"/>
      <c r="H655" s="1"/>
    </row>
    <row r="656" spans="1:8" x14ac:dyDescent="0.2">
      <c r="A656" s="1"/>
      <c r="B656" s="1"/>
      <c r="C656" s="1"/>
      <c r="D656" s="1"/>
      <c r="E656" s="1"/>
      <c r="F656" s="1"/>
      <c r="G656" s="1"/>
      <c r="H656" s="1"/>
    </row>
    <row r="657" spans="1:8" x14ac:dyDescent="0.2">
      <c r="A657" s="1"/>
      <c r="B657" s="1"/>
      <c r="C657" s="1"/>
      <c r="D657" s="1"/>
      <c r="E657" s="1"/>
      <c r="F657" s="1"/>
      <c r="G657" s="1"/>
      <c r="H657" s="1"/>
    </row>
    <row r="658" spans="1:8" x14ac:dyDescent="0.2">
      <c r="A658" s="1"/>
      <c r="B658" s="1"/>
      <c r="C658" s="1"/>
      <c r="D658" s="1"/>
      <c r="E658" s="1"/>
      <c r="F658" s="1"/>
      <c r="G658" s="1"/>
      <c r="H658" s="1"/>
    </row>
    <row r="659" spans="1:8" x14ac:dyDescent="0.2">
      <c r="A659" s="1"/>
      <c r="B659" s="1"/>
      <c r="C659" s="1"/>
      <c r="D659" s="1"/>
      <c r="E659" s="1"/>
      <c r="F659" s="1"/>
      <c r="G659" s="1"/>
      <c r="H659" s="1"/>
    </row>
    <row r="660" spans="1:8" x14ac:dyDescent="0.2">
      <c r="A660" s="1"/>
      <c r="B660" s="1"/>
      <c r="C660" s="1"/>
      <c r="D660" s="1"/>
      <c r="E660" s="1"/>
      <c r="F660" s="1"/>
      <c r="G660" s="1"/>
      <c r="H660" s="1"/>
    </row>
    <row r="661" spans="1:8" x14ac:dyDescent="0.2">
      <c r="A661" s="1"/>
      <c r="B661" s="1"/>
      <c r="C661" s="1"/>
      <c r="D661" s="1"/>
      <c r="E661" s="1"/>
      <c r="F661" s="1"/>
      <c r="G661" s="1"/>
      <c r="H661" s="1"/>
    </row>
    <row r="662" spans="1:8" x14ac:dyDescent="0.2">
      <c r="A662" s="1"/>
      <c r="B662" s="1"/>
      <c r="C662" s="1"/>
      <c r="D662" s="1"/>
      <c r="E662" s="1"/>
      <c r="F662" s="1"/>
      <c r="G662" s="1"/>
      <c r="H662" s="1"/>
    </row>
    <row r="663" spans="1:8" x14ac:dyDescent="0.2">
      <c r="A663" s="1"/>
      <c r="B663" s="1"/>
      <c r="C663" s="1"/>
      <c r="D663" s="1"/>
      <c r="E663" s="1"/>
      <c r="F663" s="1"/>
      <c r="G663" s="1"/>
      <c r="H663" s="1"/>
    </row>
    <row r="664" spans="1:8" x14ac:dyDescent="0.2">
      <c r="A664" s="1"/>
      <c r="B664" s="1"/>
      <c r="C664" s="1"/>
      <c r="D664" s="1"/>
      <c r="E664" s="1"/>
      <c r="F664" s="1"/>
      <c r="G664" s="1"/>
      <c r="H664" s="1"/>
    </row>
    <row r="665" spans="1:8" x14ac:dyDescent="0.2">
      <c r="A665" s="1"/>
      <c r="B665" s="1"/>
      <c r="C665" s="1"/>
      <c r="D665" s="1"/>
      <c r="E665" s="1"/>
      <c r="F665" s="1"/>
      <c r="G665" s="1"/>
      <c r="H665" s="1"/>
    </row>
    <row r="666" spans="1:8" x14ac:dyDescent="0.2">
      <c r="A666" s="1"/>
      <c r="B666" s="1"/>
      <c r="C666" s="1"/>
      <c r="D666" s="1"/>
      <c r="E666" s="1"/>
      <c r="F666" s="1"/>
      <c r="G666" s="1"/>
      <c r="H666" s="1"/>
    </row>
    <row r="667" spans="1:8" x14ac:dyDescent="0.2">
      <c r="A667" s="1"/>
      <c r="B667" s="1"/>
      <c r="C667" s="1"/>
      <c r="D667" s="1"/>
      <c r="E667" s="1"/>
      <c r="F667" s="1"/>
      <c r="G667" s="1"/>
      <c r="H667" s="1"/>
    </row>
    <row r="668" spans="1:8" x14ac:dyDescent="0.2">
      <c r="A668" s="1"/>
      <c r="B668" s="1"/>
      <c r="C668" s="1"/>
      <c r="D668" s="1"/>
      <c r="E668" s="1"/>
      <c r="F668" s="1"/>
      <c r="G668" s="1"/>
      <c r="H668" s="1"/>
    </row>
    <row r="669" spans="1:8" x14ac:dyDescent="0.2">
      <c r="A669" s="1"/>
      <c r="B669" s="1"/>
      <c r="C669" s="1"/>
      <c r="D669" s="1"/>
      <c r="E669" s="1"/>
      <c r="F669" s="1"/>
      <c r="G669" s="1"/>
      <c r="H669" s="1"/>
    </row>
    <row r="670" spans="1:8" x14ac:dyDescent="0.2">
      <c r="A670" s="1"/>
      <c r="B670" s="1"/>
      <c r="C670" s="1"/>
      <c r="D670" s="1"/>
      <c r="E670" s="1"/>
      <c r="F670" s="1"/>
      <c r="G670" s="1"/>
      <c r="H670" s="1"/>
    </row>
    <row r="671" spans="1:8" x14ac:dyDescent="0.2">
      <c r="A671" s="1"/>
      <c r="B671" s="1"/>
      <c r="C671" s="1"/>
      <c r="D671" s="1"/>
      <c r="E671" s="1"/>
      <c r="F671" s="1"/>
      <c r="G671" s="1"/>
      <c r="H671" s="1"/>
    </row>
    <row r="672" spans="1:8" x14ac:dyDescent="0.2">
      <c r="A672" s="1"/>
      <c r="B672" s="1"/>
      <c r="C672" s="1"/>
      <c r="D672" s="1"/>
      <c r="E672" s="1"/>
      <c r="F672" s="1"/>
      <c r="G672" s="1"/>
      <c r="H672" s="1"/>
    </row>
    <row r="673" spans="1:8" x14ac:dyDescent="0.2">
      <c r="A673" s="1"/>
      <c r="B673" s="1"/>
      <c r="C673" s="1"/>
      <c r="D673" s="1"/>
      <c r="E673" s="1"/>
      <c r="F673" s="1"/>
      <c r="G673" s="1"/>
      <c r="H673" s="1"/>
    </row>
    <row r="674" spans="1:8" x14ac:dyDescent="0.2">
      <c r="A674" s="1"/>
      <c r="B674" s="1"/>
      <c r="C674" s="1"/>
      <c r="D674" s="1"/>
      <c r="E674" s="1"/>
      <c r="F674" s="1"/>
      <c r="G674" s="1"/>
      <c r="H674" s="1"/>
    </row>
    <row r="675" spans="1:8" x14ac:dyDescent="0.2">
      <c r="A675" s="1"/>
      <c r="B675" s="1"/>
      <c r="C675" s="1"/>
      <c r="D675" s="1"/>
      <c r="E675" s="1"/>
      <c r="F675" s="1"/>
      <c r="G675" s="1"/>
      <c r="H675" s="1"/>
    </row>
    <row r="676" spans="1:8" x14ac:dyDescent="0.2">
      <c r="A676" s="1"/>
      <c r="B676" s="1"/>
      <c r="C676" s="1"/>
      <c r="D676" s="1"/>
      <c r="E676" s="1"/>
      <c r="F676" s="1"/>
      <c r="G676" s="1"/>
      <c r="H676" s="1"/>
    </row>
    <row r="677" spans="1:8" x14ac:dyDescent="0.2">
      <c r="A677" s="1"/>
      <c r="B677" s="1"/>
      <c r="C677" s="1"/>
      <c r="D677" s="1"/>
      <c r="E677" s="1"/>
      <c r="F677" s="1"/>
      <c r="G677" s="1"/>
      <c r="H677" s="1"/>
    </row>
    <row r="678" spans="1:8" x14ac:dyDescent="0.2">
      <c r="A678" s="1"/>
      <c r="B678" s="1"/>
      <c r="C678" s="1"/>
      <c r="D678" s="1"/>
      <c r="E678" s="1"/>
      <c r="F678" s="1"/>
      <c r="G678" s="1"/>
      <c r="H678" s="1"/>
    </row>
    <row r="679" spans="1:8" x14ac:dyDescent="0.2">
      <c r="A679" s="1"/>
      <c r="B679" s="1"/>
      <c r="C679" s="1"/>
      <c r="D679" s="1"/>
      <c r="E679" s="1"/>
      <c r="F679" s="1"/>
      <c r="G679" s="1"/>
      <c r="H679" s="1"/>
    </row>
    <row r="680" spans="1:8" x14ac:dyDescent="0.2">
      <c r="A680" s="1"/>
      <c r="B680" s="1"/>
      <c r="C680" s="1"/>
      <c r="D680" s="1"/>
      <c r="E680" s="1"/>
      <c r="F680" s="1"/>
      <c r="G680" s="1"/>
      <c r="H680" s="1"/>
    </row>
    <row r="681" spans="1:8" x14ac:dyDescent="0.2">
      <c r="A681" s="1"/>
      <c r="B681" s="1"/>
      <c r="C681" s="1"/>
      <c r="D681" s="1"/>
      <c r="E681" s="1"/>
      <c r="F681" s="1"/>
      <c r="G681" s="1"/>
      <c r="H681" s="1"/>
    </row>
    <row r="682" spans="1:8" x14ac:dyDescent="0.2">
      <c r="A682" s="1"/>
      <c r="B682" s="1"/>
      <c r="C682" s="1"/>
      <c r="D682" s="1"/>
      <c r="E682" s="1"/>
      <c r="F682" s="1"/>
      <c r="G682" s="1"/>
      <c r="H682" s="1"/>
    </row>
    <row r="683" spans="1:8" x14ac:dyDescent="0.2">
      <c r="A683" s="1"/>
      <c r="B683" s="1"/>
      <c r="C683" s="1"/>
      <c r="D683" s="1"/>
      <c r="E683" s="1"/>
      <c r="F683" s="1"/>
      <c r="G683" s="1"/>
      <c r="H683" s="1"/>
    </row>
    <row r="684" spans="1:8" x14ac:dyDescent="0.2">
      <c r="A684" s="1"/>
      <c r="B684" s="1"/>
      <c r="C684" s="1"/>
      <c r="D684" s="1"/>
      <c r="E684" s="1"/>
      <c r="F684" s="1"/>
      <c r="G684" s="1"/>
      <c r="H684" s="1"/>
    </row>
    <row r="685" spans="1:8" x14ac:dyDescent="0.2">
      <c r="A685" s="1"/>
      <c r="B685" s="1"/>
      <c r="C685" s="1"/>
      <c r="D685" s="1"/>
      <c r="E685" s="1"/>
      <c r="F685" s="1"/>
      <c r="G685" s="1"/>
      <c r="H685" s="1"/>
    </row>
    <row r="686" spans="1:8" x14ac:dyDescent="0.2">
      <c r="A686" s="1"/>
      <c r="B686" s="1"/>
      <c r="C686" s="1"/>
      <c r="D686" s="1"/>
      <c r="E686" s="1"/>
      <c r="F686" s="1"/>
      <c r="G686" s="1"/>
      <c r="H686" s="1"/>
    </row>
    <row r="687" spans="1:8" x14ac:dyDescent="0.2">
      <c r="A687" s="1"/>
      <c r="B687" s="1"/>
      <c r="C687" s="1"/>
      <c r="D687" s="1"/>
      <c r="E687" s="1"/>
      <c r="F687" s="1"/>
      <c r="G687" s="1"/>
      <c r="H687" s="1"/>
    </row>
    <row r="688" spans="1:8" x14ac:dyDescent="0.2">
      <c r="A688" s="1"/>
      <c r="B688" s="1"/>
      <c r="C688" s="1"/>
      <c r="D688" s="1"/>
      <c r="E688" s="1"/>
      <c r="F688" s="1"/>
      <c r="G688" s="1"/>
      <c r="H688" s="1"/>
    </row>
    <row r="689" spans="1:8" x14ac:dyDescent="0.2">
      <c r="A689" s="1"/>
      <c r="B689" s="1"/>
      <c r="C689" s="1"/>
      <c r="D689" s="1"/>
      <c r="E689" s="1"/>
      <c r="F689" s="1"/>
      <c r="G689" s="1"/>
      <c r="H689" s="1"/>
    </row>
    <row r="690" spans="1:8" x14ac:dyDescent="0.2">
      <c r="A690" s="1"/>
      <c r="B690" s="1"/>
      <c r="C690" s="1"/>
      <c r="D690" s="1"/>
      <c r="E690" s="1"/>
      <c r="F690" s="1"/>
      <c r="G690" s="1"/>
      <c r="H690" s="1"/>
    </row>
    <row r="691" spans="1:8" x14ac:dyDescent="0.2">
      <c r="A691" s="1"/>
      <c r="B691" s="1"/>
      <c r="C691" s="1"/>
      <c r="D691" s="1"/>
      <c r="E691" s="1"/>
      <c r="F691" s="1"/>
      <c r="G691" s="1"/>
      <c r="H691" s="1"/>
    </row>
    <row r="692" spans="1:8" x14ac:dyDescent="0.2">
      <c r="A692" s="1"/>
      <c r="B692" s="1"/>
      <c r="C692" s="1"/>
      <c r="D692" s="1"/>
      <c r="E692" s="1"/>
      <c r="F692" s="1"/>
      <c r="G692" s="1"/>
      <c r="H692" s="1"/>
    </row>
    <row r="693" spans="1:8" x14ac:dyDescent="0.2">
      <c r="A693" s="1"/>
      <c r="B693" s="1"/>
      <c r="C693" s="1"/>
      <c r="D693" s="1"/>
      <c r="E693" s="1"/>
      <c r="F693" s="1"/>
      <c r="G693" s="1"/>
      <c r="H693" s="1"/>
    </row>
    <row r="694" spans="1:8" x14ac:dyDescent="0.2">
      <c r="A694" s="1"/>
      <c r="B694" s="1"/>
      <c r="C694" s="1"/>
      <c r="D694" s="1"/>
      <c r="E694" s="1"/>
      <c r="F694" s="1"/>
      <c r="G694" s="1"/>
      <c r="H694" s="1"/>
    </row>
    <row r="695" spans="1:8" x14ac:dyDescent="0.2">
      <c r="A695" s="1"/>
      <c r="B695" s="1"/>
      <c r="C695" s="1"/>
      <c r="D695" s="1"/>
      <c r="E695" s="1"/>
      <c r="F695" s="1"/>
      <c r="G695" s="1"/>
      <c r="H695" s="1"/>
    </row>
    <row r="696" spans="1:8" x14ac:dyDescent="0.2">
      <c r="A696" s="1"/>
      <c r="B696" s="1"/>
      <c r="C696" s="1"/>
      <c r="D696" s="1"/>
      <c r="E696" s="1"/>
      <c r="F696" s="1"/>
      <c r="G696" s="1"/>
      <c r="H696" s="1"/>
    </row>
    <row r="697" spans="1:8" x14ac:dyDescent="0.2">
      <c r="A697" s="1"/>
      <c r="B697" s="1"/>
      <c r="C697" s="1"/>
      <c r="D697" s="1"/>
      <c r="E697" s="1"/>
      <c r="F697" s="1"/>
      <c r="G697" s="1"/>
      <c r="H697" s="1"/>
    </row>
    <row r="698" spans="1:8" x14ac:dyDescent="0.2">
      <c r="A698" s="1"/>
      <c r="B698" s="1"/>
      <c r="C698" s="1"/>
      <c r="D698" s="1"/>
      <c r="E698" s="1"/>
      <c r="F698" s="1"/>
      <c r="G698" s="1"/>
      <c r="H698" s="1"/>
    </row>
    <row r="699" spans="1:8" x14ac:dyDescent="0.2">
      <c r="A699" s="1"/>
      <c r="B699" s="1"/>
      <c r="C699" s="1"/>
      <c r="D699" s="1"/>
      <c r="E699" s="1"/>
      <c r="F699" s="1"/>
      <c r="G699" s="1"/>
      <c r="H699" s="1"/>
    </row>
    <row r="700" spans="1:8" x14ac:dyDescent="0.2">
      <c r="A700" s="1"/>
      <c r="B700" s="1"/>
      <c r="C700" s="1"/>
      <c r="D700" s="1"/>
      <c r="E700" s="1"/>
      <c r="F700" s="1"/>
      <c r="G700" s="1"/>
      <c r="H700" s="1"/>
    </row>
    <row r="701" spans="1:8" x14ac:dyDescent="0.2">
      <c r="A701" s="1"/>
      <c r="B701" s="1"/>
      <c r="C701" s="1"/>
      <c r="D701" s="1"/>
      <c r="E701" s="1"/>
      <c r="F701" s="1"/>
      <c r="G701" s="1"/>
      <c r="H701" s="1"/>
    </row>
    <row r="702" spans="1:8" x14ac:dyDescent="0.2">
      <c r="A702" s="1"/>
      <c r="B702" s="1"/>
      <c r="C702" s="1"/>
      <c r="D702" s="1"/>
      <c r="E702" s="1"/>
      <c r="F702" s="1"/>
      <c r="G702" s="1"/>
      <c r="H702" s="1"/>
    </row>
    <row r="703" spans="1:8" x14ac:dyDescent="0.2">
      <c r="A703" s="1"/>
      <c r="B703" s="1"/>
      <c r="C703" s="1"/>
      <c r="D703" s="1"/>
      <c r="E703" s="1"/>
      <c r="F703" s="1"/>
      <c r="G703" s="1"/>
      <c r="H703" s="1"/>
    </row>
    <row r="704" spans="1:8" x14ac:dyDescent="0.2">
      <c r="A704" s="1"/>
      <c r="B704" s="1"/>
      <c r="C704" s="1"/>
      <c r="D704" s="1"/>
      <c r="E704" s="1"/>
      <c r="F704" s="1"/>
      <c r="G704" s="1"/>
      <c r="H704" s="1"/>
    </row>
    <row r="705" spans="1:8" x14ac:dyDescent="0.2">
      <c r="A705" s="1"/>
      <c r="B705" s="1"/>
      <c r="C705" s="1"/>
      <c r="D705" s="1"/>
      <c r="E705" s="1"/>
      <c r="F705" s="1"/>
      <c r="G705" s="1"/>
      <c r="H705" s="1"/>
    </row>
    <row r="706" spans="1:8" x14ac:dyDescent="0.2">
      <c r="A706" s="1"/>
      <c r="B706" s="1"/>
      <c r="C706" s="1"/>
      <c r="D706" s="1"/>
      <c r="E706" s="1"/>
      <c r="F706" s="1"/>
      <c r="G706" s="1"/>
      <c r="H706" s="1"/>
    </row>
    <row r="707" spans="1:8" x14ac:dyDescent="0.2">
      <c r="A707" s="1"/>
      <c r="B707" s="1"/>
      <c r="C707" s="1"/>
      <c r="D707" s="1"/>
      <c r="E707" s="1"/>
      <c r="F707" s="1"/>
      <c r="G707" s="1"/>
      <c r="H707" s="1"/>
    </row>
    <row r="708" spans="1:8" x14ac:dyDescent="0.2">
      <c r="A708" s="1"/>
      <c r="B708" s="1"/>
      <c r="C708" s="1"/>
      <c r="D708" s="1"/>
      <c r="E708" s="1"/>
      <c r="F708" s="1"/>
      <c r="G708" s="1"/>
      <c r="H708" s="1"/>
    </row>
    <row r="709" spans="1:8" x14ac:dyDescent="0.2">
      <c r="A709" s="1"/>
      <c r="B709" s="1"/>
      <c r="C709" s="1"/>
      <c r="D709" s="1"/>
      <c r="E709" s="1"/>
      <c r="F709" s="1"/>
      <c r="G709" s="1"/>
      <c r="H709" s="1"/>
    </row>
    <row r="710" spans="1:8" x14ac:dyDescent="0.2">
      <c r="A710" s="1"/>
      <c r="B710" s="1"/>
      <c r="C710" s="1"/>
      <c r="D710" s="1"/>
      <c r="E710" s="1"/>
      <c r="F710" s="1"/>
      <c r="G710" s="1"/>
      <c r="H710" s="1"/>
    </row>
    <row r="711" spans="1:8" x14ac:dyDescent="0.2">
      <c r="A711" s="1"/>
      <c r="B711" s="1"/>
      <c r="C711" s="1"/>
      <c r="D711" s="1"/>
      <c r="E711" s="1"/>
      <c r="F711" s="1"/>
      <c r="G711" s="1"/>
      <c r="H711" s="1"/>
    </row>
    <row r="712" spans="1:8" x14ac:dyDescent="0.2">
      <c r="A712" s="1"/>
      <c r="B712" s="1"/>
      <c r="C712" s="1"/>
      <c r="D712" s="1"/>
      <c r="E712" s="1"/>
      <c r="F712" s="1"/>
      <c r="G712" s="1"/>
      <c r="H712" s="1"/>
    </row>
    <row r="713" spans="1:8" x14ac:dyDescent="0.2">
      <c r="A713" s="1"/>
      <c r="B713" s="1"/>
      <c r="C713" s="1"/>
      <c r="D713" s="1"/>
      <c r="E713" s="1"/>
      <c r="F713" s="1"/>
      <c r="G713" s="1"/>
      <c r="H713" s="1"/>
    </row>
    <row r="714" spans="1:8" x14ac:dyDescent="0.2">
      <c r="A714" s="1"/>
      <c r="B714" s="1"/>
      <c r="C714" s="1"/>
      <c r="D714" s="1"/>
      <c r="E714" s="1"/>
      <c r="F714" s="1"/>
      <c r="G714" s="1"/>
      <c r="H714" s="1"/>
    </row>
    <row r="715" spans="1:8" x14ac:dyDescent="0.2">
      <c r="A715" s="1"/>
      <c r="B715" s="1"/>
      <c r="C715" s="1"/>
      <c r="D715" s="1"/>
      <c r="E715" s="1"/>
      <c r="F715" s="1"/>
      <c r="G715" s="1"/>
      <c r="H715" s="1"/>
    </row>
    <row r="716" spans="1:8" x14ac:dyDescent="0.2">
      <c r="A716" s="1"/>
      <c r="B716" s="1"/>
      <c r="C716" s="1"/>
      <c r="D716" s="1"/>
      <c r="E716" s="1"/>
      <c r="F716" s="1"/>
      <c r="G716" s="1"/>
      <c r="H716" s="1"/>
    </row>
    <row r="717" spans="1:8" x14ac:dyDescent="0.2">
      <c r="A717" s="1"/>
      <c r="B717" s="1"/>
      <c r="C717" s="1"/>
      <c r="D717" s="1"/>
      <c r="E717" s="1"/>
      <c r="F717" s="1"/>
      <c r="G717" s="1"/>
      <c r="H717" s="1"/>
    </row>
    <row r="718" spans="1:8" x14ac:dyDescent="0.2">
      <c r="A718" s="1"/>
      <c r="B718" s="1"/>
      <c r="C718" s="1"/>
      <c r="D718" s="1"/>
      <c r="E718" s="1"/>
      <c r="F718" s="1"/>
      <c r="G718" s="1"/>
      <c r="H718" s="1"/>
    </row>
    <row r="719" spans="1:8" x14ac:dyDescent="0.2">
      <c r="A719" s="1"/>
      <c r="B719" s="1"/>
      <c r="C719" s="1"/>
      <c r="D719" s="1"/>
      <c r="E719" s="1"/>
      <c r="F719" s="1"/>
      <c r="G719" s="1"/>
      <c r="H719" s="1"/>
    </row>
    <row r="720" spans="1:8" x14ac:dyDescent="0.2">
      <c r="A720" s="1"/>
      <c r="B720" s="1"/>
      <c r="C720" s="1"/>
      <c r="D720" s="1"/>
      <c r="E720" s="1"/>
      <c r="F720" s="1"/>
      <c r="G720" s="1"/>
      <c r="H720" s="1"/>
    </row>
    <row r="721" spans="1:8" x14ac:dyDescent="0.2">
      <c r="A721" s="1"/>
      <c r="B721" s="1"/>
      <c r="C721" s="1"/>
      <c r="D721" s="1"/>
      <c r="E721" s="1"/>
      <c r="F721" s="1"/>
      <c r="G721" s="1"/>
      <c r="H721" s="1"/>
    </row>
    <row r="722" spans="1:8" x14ac:dyDescent="0.2">
      <c r="A722" s="1"/>
      <c r="B722" s="1"/>
      <c r="C722" s="1"/>
      <c r="D722" s="1"/>
      <c r="E722" s="1"/>
      <c r="F722" s="1"/>
      <c r="G722" s="1"/>
      <c r="H722" s="1"/>
    </row>
    <row r="723" spans="1:8" x14ac:dyDescent="0.2">
      <c r="A723" s="1"/>
      <c r="B723" s="1"/>
      <c r="C723" s="1"/>
      <c r="D723" s="1"/>
      <c r="E723" s="1"/>
      <c r="F723" s="1"/>
      <c r="G723" s="1"/>
      <c r="H723" s="1"/>
    </row>
    <row r="724" spans="1:8" x14ac:dyDescent="0.2">
      <c r="A724" s="1"/>
      <c r="B724" s="1"/>
      <c r="C724" s="1"/>
      <c r="D724" s="1"/>
      <c r="E724" s="1"/>
      <c r="F724" s="1"/>
      <c r="G724" s="1"/>
      <c r="H724" s="1"/>
    </row>
    <row r="725" spans="1:8" x14ac:dyDescent="0.2">
      <c r="A725" s="1"/>
      <c r="B725" s="1"/>
      <c r="C725" s="1"/>
      <c r="D725" s="1"/>
      <c r="E725" s="1"/>
      <c r="F725" s="1"/>
      <c r="G725" s="1"/>
      <c r="H725" s="1"/>
    </row>
    <row r="726" spans="1:8" x14ac:dyDescent="0.2">
      <c r="A726" s="1"/>
      <c r="B726" s="1"/>
      <c r="C726" s="1"/>
      <c r="D726" s="1"/>
      <c r="E726" s="1"/>
      <c r="F726" s="1"/>
      <c r="G726" s="1"/>
      <c r="H726" s="1"/>
    </row>
    <row r="727" spans="1:8" x14ac:dyDescent="0.2">
      <c r="A727" s="1"/>
      <c r="B727" s="1"/>
      <c r="C727" s="1"/>
      <c r="D727" s="1"/>
      <c r="E727" s="1"/>
      <c r="F727" s="1"/>
      <c r="G727" s="1"/>
      <c r="H727" s="1"/>
    </row>
    <row r="728" spans="1:8" x14ac:dyDescent="0.2">
      <c r="A728" s="1"/>
      <c r="B728" s="1"/>
      <c r="C728" s="1"/>
      <c r="D728" s="1"/>
      <c r="E728" s="1"/>
      <c r="F728" s="1"/>
      <c r="G728" s="1"/>
      <c r="H728" s="1"/>
    </row>
    <row r="729" spans="1:8" x14ac:dyDescent="0.2">
      <c r="A729" s="1"/>
      <c r="B729" s="1"/>
      <c r="C729" s="1"/>
      <c r="D729" s="1"/>
      <c r="E729" s="1"/>
      <c r="F729" s="1"/>
      <c r="G729" s="1"/>
      <c r="H729" s="1"/>
    </row>
    <row r="730" spans="1:8" x14ac:dyDescent="0.2">
      <c r="A730" s="1"/>
      <c r="B730" s="1"/>
      <c r="C730" s="1"/>
      <c r="D730" s="1"/>
      <c r="E730" s="1"/>
      <c r="F730" s="1"/>
      <c r="G730" s="1"/>
      <c r="H730" s="1"/>
    </row>
    <row r="731" spans="1:8" x14ac:dyDescent="0.2">
      <c r="A731" s="1"/>
      <c r="B731" s="1"/>
      <c r="C731" s="1"/>
      <c r="D731" s="1"/>
      <c r="E731" s="1"/>
      <c r="F731" s="1"/>
      <c r="G731" s="1"/>
      <c r="H731" s="1"/>
    </row>
    <row r="732" spans="1:8" x14ac:dyDescent="0.2">
      <c r="A732" s="1"/>
      <c r="B732" s="1"/>
      <c r="C732" s="1"/>
      <c r="D732" s="1"/>
      <c r="E732" s="1"/>
      <c r="F732" s="1"/>
      <c r="G732" s="1"/>
      <c r="H732" s="1"/>
    </row>
    <row r="733" spans="1:8" x14ac:dyDescent="0.2">
      <c r="A733" s="1"/>
      <c r="B733" s="1"/>
      <c r="C733" s="1"/>
      <c r="D733" s="1"/>
      <c r="E733" s="1"/>
      <c r="F733" s="1"/>
      <c r="G733" s="1"/>
      <c r="H733" s="1"/>
    </row>
    <row r="734" spans="1:8" x14ac:dyDescent="0.2">
      <c r="A734" s="1"/>
      <c r="B734" s="1"/>
      <c r="C734" s="1"/>
      <c r="D734" s="1"/>
      <c r="E734" s="1"/>
      <c r="F734" s="1"/>
      <c r="G734" s="1"/>
      <c r="H734" s="1"/>
    </row>
    <row r="735" spans="1:8" x14ac:dyDescent="0.2">
      <c r="A735" s="1"/>
      <c r="B735" s="1"/>
      <c r="C735" s="1"/>
      <c r="D735" s="1"/>
      <c r="E735" s="1"/>
      <c r="F735" s="1"/>
      <c r="G735" s="1"/>
      <c r="H735" s="1"/>
    </row>
    <row r="736" spans="1:8" x14ac:dyDescent="0.2">
      <c r="A736" s="1"/>
      <c r="B736" s="1"/>
      <c r="C736" s="1"/>
      <c r="D736" s="1"/>
      <c r="E736" s="1"/>
      <c r="F736" s="1"/>
      <c r="G736" s="1"/>
      <c r="H736" s="1"/>
    </row>
    <row r="737" spans="1:8" x14ac:dyDescent="0.2">
      <c r="A737" s="1"/>
      <c r="B737" s="1"/>
      <c r="C737" s="1"/>
      <c r="D737" s="1"/>
      <c r="E737" s="1"/>
      <c r="F737" s="1"/>
      <c r="G737" s="1"/>
      <c r="H737" s="1"/>
    </row>
    <row r="738" spans="1:8" x14ac:dyDescent="0.2">
      <c r="A738" s="1"/>
      <c r="B738" s="1"/>
      <c r="C738" s="1"/>
      <c r="D738" s="1"/>
      <c r="E738" s="1"/>
      <c r="F738" s="1"/>
      <c r="G738" s="1"/>
      <c r="H738" s="1"/>
    </row>
    <row r="739" spans="1:8" x14ac:dyDescent="0.2">
      <c r="A739" s="1"/>
      <c r="B739" s="1"/>
      <c r="C739" s="1"/>
      <c r="D739" s="1"/>
      <c r="E739" s="1"/>
      <c r="F739" s="1"/>
      <c r="G739" s="1"/>
      <c r="H739" s="1"/>
    </row>
    <row r="740" spans="1:8" x14ac:dyDescent="0.2">
      <c r="A740" s="1"/>
      <c r="B740" s="1"/>
      <c r="C740" s="1"/>
      <c r="D740" s="1"/>
      <c r="E740" s="1"/>
      <c r="F740" s="1"/>
      <c r="G740" s="1"/>
      <c r="H740" s="1"/>
    </row>
    <row r="741" spans="1:8" x14ac:dyDescent="0.2">
      <c r="A741" s="1"/>
      <c r="B741" s="1"/>
      <c r="C741" s="1"/>
      <c r="D741" s="1"/>
      <c r="E741" s="1"/>
      <c r="F741" s="1"/>
      <c r="G741" s="1"/>
      <c r="H741" s="1"/>
    </row>
    <row r="742" spans="1:8" x14ac:dyDescent="0.2">
      <c r="A742" s="1"/>
      <c r="B742" s="1"/>
      <c r="C742" s="1"/>
      <c r="D742" s="1"/>
      <c r="E742" s="1"/>
      <c r="F742" s="1"/>
      <c r="G742" s="1"/>
      <c r="H742" s="1"/>
    </row>
    <row r="743" spans="1:8" x14ac:dyDescent="0.2">
      <c r="A743" s="1"/>
      <c r="B743" s="1"/>
      <c r="C743" s="1"/>
      <c r="D743" s="1"/>
      <c r="E743" s="1"/>
      <c r="F743" s="1"/>
      <c r="G743" s="1"/>
      <c r="H743" s="1"/>
    </row>
    <row r="744" spans="1:8" x14ac:dyDescent="0.2">
      <c r="A744" s="1"/>
      <c r="B744" s="1"/>
      <c r="C744" s="1"/>
      <c r="D744" s="1"/>
      <c r="E744" s="1"/>
      <c r="F744" s="1"/>
      <c r="G744" s="1"/>
      <c r="H744" s="1"/>
    </row>
    <row r="745" spans="1:8" x14ac:dyDescent="0.2">
      <c r="A745" s="1"/>
      <c r="B745" s="1"/>
      <c r="C745" s="1"/>
      <c r="D745" s="1"/>
      <c r="E745" s="1"/>
      <c r="F745" s="1"/>
      <c r="G745" s="1"/>
      <c r="H745" s="1"/>
    </row>
    <row r="746" spans="1:8" x14ac:dyDescent="0.2">
      <c r="A746" s="1"/>
      <c r="B746" s="1"/>
      <c r="C746" s="1"/>
      <c r="D746" s="1"/>
      <c r="E746" s="1"/>
      <c r="F746" s="1"/>
      <c r="G746" s="1"/>
      <c r="H746" s="1"/>
    </row>
    <row r="747" spans="1:8" x14ac:dyDescent="0.2">
      <c r="A747" s="1"/>
      <c r="B747" s="1"/>
      <c r="C747" s="1"/>
      <c r="D747" s="1"/>
      <c r="E747" s="1"/>
      <c r="F747" s="1"/>
      <c r="G747" s="1"/>
      <c r="H747" s="1"/>
    </row>
    <row r="748" spans="1:8" x14ac:dyDescent="0.2">
      <c r="A748" s="1"/>
      <c r="B748" s="1"/>
      <c r="C748" s="1"/>
      <c r="D748" s="1"/>
      <c r="E748" s="1"/>
      <c r="F748" s="1"/>
      <c r="G748" s="1"/>
      <c r="H748" s="1"/>
    </row>
    <row r="749" spans="1:8" x14ac:dyDescent="0.2">
      <c r="A749" s="1"/>
      <c r="B749" s="1"/>
      <c r="C749" s="1"/>
      <c r="D749" s="1"/>
      <c r="E749" s="1"/>
      <c r="F749" s="1"/>
      <c r="G749" s="1"/>
      <c r="H749" s="1"/>
    </row>
    <row r="750" spans="1:8" x14ac:dyDescent="0.2">
      <c r="A750" s="1"/>
      <c r="B750" s="1"/>
      <c r="C750" s="1"/>
      <c r="D750" s="1"/>
      <c r="E750" s="1"/>
      <c r="F750" s="1"/>
      <c r="G750" s="1"/>
      <c r="H750" s="1"/>
    </row>
    <row r="751" spans="1:8" x14ac:dyDescent="0.2">
      <c r="A751" s="1"/>
      <c r="B751" s="1"/>
      <c r="C751" s="1"/>
      <c r="D751" s="1"/>
      <c r="E751" s="1"/>
      <c r="F751" s="1"/>
      <c r="G751" s="1"/>
      <c r="H751" s="1"/>
    </row>
    <row r="752" spans="1:8" x14ac:dyDescent="0.2">
      <c r="A752" s="1"/>
      <c r="B752" s="1"/>
      <c r="C752" s="1"/>
      <c r="D752" s="1"/>
      <c r="E752" s="1"/>
      <c r="F752" s="1"/>
      <c r="G752" s="1"/>
      <c r="H752" s="1"/>
    </row>
    <row r="753" spans="1:8" x14ac:dyDescent="0.2">
      <c r="A753" s="1"/>
      <c r="B753" s="1"/>
      <c r="C753" s="1"/>
      <c r="D753" s="1"/>
      <c r="E753" s="1"/>
      <c r="F753" s="1"/>
      <c r="G753" s="1"/>
      <c r="H753" s="1"/>
    </row>
    <row r="754" spans="1:8" x14ac:dyDescent="0.2">
      <c r="A754" s="1"/>
      <c r="B754" s="1"/>
      <c r="C754" s="1"/>
      <c r="D754" s="1"/>
      <c r="E754" s="1"/>
      <c r="F754" s="1"/>
      <c r="G754" s="1"/>
      <c r="H754" s="1"/>
    </row>
    <row r="755" spans="1:8" x14ac:dyDescent="0.2">
      <c r="A755" s="1"/>
      <c r="B755" s="1"/>
      <c r="C755" s="1"/>
      <c r="D755" s="1"/>
      <c r="E755" s="1"/>
      <c r="F755" s="1"/>
      <c r="G755" s="1"/>
      <c r="H755" s="1"/>
    </row>
    <row r="756" spans="1:8" x14ac:dyDescent="0.2">
      <c r="A756" s="1"/>
      <c r="B756" s="1"/>
      <c r="C756" s="1"/>
      <c r="D756" s="1"/>
      <c r="E756" s="1"/>
      <c r="F756" s="1"/>
      <c r="G756" s="1"/>
      <c r="H756" s="1"/>
    </row>
    <row r="757" spans="1:8" x14ac:dyDescent="0.2">
      <c r="A757" s="1"/>
      <c r="B757" s="1"/>
      <c r="C757" s="1"/>
      <c r="D757" s="1"/>
      <c r="E757" s="1"/>
      <c r="F757" s="1"/>
      <c r="G757" s="1"/>
      <c r="H757" s="1"/>
    </row>
    <row r="758" spans="1:8" x14ac:dyDescent="0.2">
      <c r="A758" s="1"/>
      <c r="B758" s="1"/>
      <c r="C758" s="1"/>
      <c r="D758" s="1"/>
      <c r="E758" s="1"/>
      <c r="F758" s="1"/>
      <c r="G758" s="1"/>
      <c r="H758" s="1"/>
    </row>
    <row r="759" spans="1:8" x14ac:dyDescent="0.2">
      <c r="A759" s="1"/>
      <c r="B759" s="1"/>
      <c r="C759" s="1"/>
      <c r="D759" s="1"/>
      <c r="E759" s="1"/>
      <c r="F759" s="1"/>
      <c r="G759" s="1"/>
      <c r="H759" s="1"/>
    </row>
    <row r="760" spans="1:8" x14ac:dyDescent="0.2">
      <c r="A760" s="1"/>
      <c r="B760" s="1"/>
      <c r="C760" s="1"/>
      <c r="D760" s="1"/>
      <c r="E760" s="1"/>
      <c r="F760" s="1"/>
      <c r="G760" s="1"/>
      <c r="H760" s="1"/>
    </row>
    <row r="761" spans="1:8" x14ac:dyDescent="0.2">
      <c r="A761" s="1"/>
      <c r="B761" s="1"/>
      <c r="C761" s="1"/>
      <c r="D761" s="1"/>
      <c r="E761" s="1"/>
      <c r="F761" s="1"/>
      <c r="G761" s="1"/>
      <c r="H761" s="1"/>
    </row>
    <row r="762" spans="1:8" x14ac:dyDescent="0.2">
      <c r="A762" s="1"/>
      <c r="B762" s="1"/>
      <c r="C762" s="1"/>
      <c r="D762" s="1"/>
      <c r="E762" s="1"/>
      <c r="F762" s="1"/>
      <c r="G762" s="1"/>
      <c r="H762" s="1"/>
    </row>
    <row r="763" spans="1:8" x14ac:dyDescent="0.2">
      <c r="A763" s="1"/>
      <c r="B763" s="1"/>
      <c r="C763" s="1"/>
      <c r="D763" s="1"/>
      <c r="E763" s="1"/>
      <c r="F763" s="1"/>
      <c r="G763" s="1"/>
      <c r="H763" s="1"/>
    </row>
    <row r="764" spans="1:8" x14ac:dyDescent="0.2">
      <c r="A764" s="1"/>
      <c r="B764" s="1"/>
      <c r="C764" s="1"/>
      <c r="D764" s="1"/>
      <c r="E764" s="1"/>
      <c r="F764" s="1"/>
      <c r="G764" s="1"/>
      <c r="H764" s="1"/>
    </row>
    <row r="765" spans="1:8" x14ac:dyDescent="0.2">
      <c r="A765" s="1"/>
      <c r="B765" s="1"/>
      <c r="C765" s="1"/>
      <c r="D765" s="1"/>
      <c r="E765" s="1"/>
      <c r="F765" s="1"/>
      <c r="G765" s="1"/>
      <c r="H765" s="1"/>
    </row>
    <row r="766" spans="1:8" x14ac:dyDescent="0.2">
      <c r="A766" s="1"/>
      <c r="B766" s="1"/>
      <c r="C766" s="1"/>
      <c r="D766" s="1"/>
      <c r="E766" s="1"/>
      <c r="F766" s="1"/>
      <c r="G766" s="1"/>
      <c r="H766" s="1"/>
    </row>
    <row r="767" spans="1:8" x14ac:dyDescent="0.2">
      <c r="A767" s="1"/>
      <c r="B767" s="1"/>
      <c r="C767" s="1"/>
      <c r="D767" s="1"/>
      <c r="E767" s="1"/>
      <c r="F767" s="1"/>
      <c r="G767" s="1"/>
      <c r="H767" s="1"/>
    </row>
    <row r="768" spans="1:8" x14ac:dyDescent="0.2">
      <c r="A768" s="1"/>
      <c r="B768" s="1"/>
      <c r="C768" s="1"/>
      <c r="D768" s="1"/>
      <c r="E768" s="1"/>
      <c r="F768" s="1"/>
      <c r="G768" s="1"/>
      <c r="H768" s="1"/>
    </row>
    <row r="769" spans="1:8" x14ac:dyDescent="0.2">
      <c r="A769" s="1"/>
      <c r="B769" s="1"/>
      <c r="C769" s="1"/>
      <c r="D769" s="1"/>
      <c r="E769" s="1"/>
      <c r="F769" s="1"/>
      <c r="G769" s="1"/>
      <c r="H769" s="1"/>
    </row>
    <row r="770" spans="1:8" x14ac:dyDescent="0.2">
      <c r="A770" s="1"/>
      <c r="B770" s="1"/>
      <c r="C770" s="1"/>
      <c r="D770" s="1"/>
      <c r="E770" s="1"/>
      <c r="F770" s="1"/>
      <c r="G770" s="1"/>
      <c r="H770" s="1"/>
    </row>
    <row r="771" spans="1:8" x14ac:dyDescent="0.2">
      <c r="A771" s="1"/>
      <c r="B771" s="1"/>
      <c r="C771" s="1"/>
      <c r="D771" s="1"/>
      <c r="E771" s="1"/>
      <c r="F771" s="1"/>
      <c r="G771" s="1"/>
      <c r="H771" s="1"/>
    </row>
    <row r="772" spans="1:8" x14ac:dyDescent="0.2">
      <c r="A772" s="1"/>
      <c r="B772" s="1"/>
      <c r="C772" s="1"/>
      <c r="D772" s="1"/>
      <c r="E772" s="1"/>
      <c r="F772" s="1"/>
      <c r="G772" s="1"/>
      <c r="H772" s="1"/>
    </row>
    <row r="773" spans="1:8" x14ac:dyDescent="0.2">
      <c r="A773" s="1"/>
      <c r="B773" s="1"/>
      <c r="C773" s="1"/>
      <c r="D773" s="1"/>
      <c r="E773" s="1"/>
      <c r="F773" s="1"/>
      <c r="G773" s="1"/>
      <c r="H773" s="1"/>
    </row>
    <row r="774" spans="1:8" x14ac:dyDescent="0.2">
      <c r="A774" s="1"/>
      <c r="B774" s="1"/>
      <c r="C774" s="1"/>
      <c r="D774" s="1"/>
      <c r="E774" s="1"/>
      <c r="F774" s="1"/>
      <c r="G774" s="1"/>
      <c r="H774" s="1"/>
    </row>
    <row r="775" spans="1:8" x14ac:dyDescent="0.2">
      <c r="A775" s="1"/>
      <c r="B775" s="1"/>
      <c r="C775" s="1"/>
      <c r="D775" s="1"/>
      <c r="E775" s="1"/>
      <c r="F775" s="1"/>
      <c r="G775" s="1"/>
      <c r="H775" s="1"/>
    </row>
    <row r="776" spans="1:8" x14ac:dyDescent="0.2">
      <c r="A776" s="1"/>
      <c r="B776" s="1"/>
      <c r="C776" s="1"/>
      <c r="D776" s="1"/>
      <c r="E776" s="1"/>
      <c r="F776" s="1"/>
      <c r="G776" s="1"/>
      <c r="H776" s="1"/>
    </row>
    <row r="777" spans="1:8" x14ac:dyDescent="0.2">
      <c r="A777" s="1"/>
      <c r="B777" s="1"/>
      <c r="C777" s="1"/>
      <c r="D777" s="1"/>
      <c r="E777" s="1"/>
      <c r="F777" s="1"/>
      <c r="G777" s="1"/>
      <c r="H777" s="1"/>
    </row>
    <row r="778" spans="1:8" x14ac:dyDescent="0.2">
      <c r="A778" s="1"/>
      <c r="B778" s="1"/>
      <c r="C778" s="1"/>
      <c r="D778" s="1"/>
      <c r="E778" s="1"/>
      <c r="F778" s="1"/>
      <c r="G778" s="1"/>
      <c r="H778" s="1"/>
    </row>
    <row r="779" spans="1:8" x14ac:dyDescent="0.2">
      <c r="A779" s="1"/>
      <c r="B779" s="1"/>
      <c r="C779" s="1"/>
      <c r="D779" s="1"/>
      <c r="E779" s="1"/>
      <c r="F779" s="1"/>
      <c r="G779" s="1"/>
      <c r="H779" s="1"/>
    </row>
    <row r="780" spans="1:8" x14ac:dyDescent="0.2">
      <c r="A780" s="1"/>
      <c r="B780" s="1"/>
      <c r="C780" s="1"/>
      <c r="D780" s="1"/>
      <c r="E780" s="1"/>
      <c r="F780" s="1"/>
      <c r="G780" s="1"/>
      <c r="H780" s="1"/>
    </row>
    <row r="781" spans="1:8" x14ac:dyDescent="0.2">
      <c r="A781" s="1"/>
      <c r="B781" s="1"/>
      <c r="C781" s="1"/>
      <c r="D781" s="1"/>
      <c r="E781" s="1"/>
      <c r="F781" s="1"/>
      <c r="G781" s="1"/>
      <c r="H781" s="1"/>
    </row>
    <row r="782" spans="1:8" x14ac:dyDescent="0.2">
      <c r="A782" s="1"/>
      <c r="B782" s="1"/>
      <c r="C782" s="1"/>
      <c r="D782" s="1"/>
      <c r="E782" s="1"/>
      <c r="F782" s="1"/>
      <c r="G782" s="1"/>
      <c r="H782" s="1"/>
    </row>
    <row r="783" spans="1:8" x14ac:dyDescent="0.2">
      <c r="A783" s="1"/>
      <c r="B783" s="1"/>
      <c r="C783" s="1"/>
      <c r="D783" s="1"/>
      <c r="E783" s="1"/>
      <c r="F783" s="1"/>
      <c r="G783" s="1"/>
      <c r="H783" s="1"/>
    </row>
    <row r="784" spans="1:8" x14ac:dyDescent="0.2">
      <c r="A784" s="1"/>
      <c r="B784" s="1"/>
      <c r="C784" s="1"/>
      <c r="D784" s="1"/>
      <c r="E784" s="1"/>
      <c r="F784" s="1"/>
      <c r="G784" s="1"/>
      <c r="H784" s="1"/>
    </row>
    <row r="785" spans="1:8" x14ac:dyDescent="0.2">
      <c r="A785" s="1"/>
      <c r="B785" s="1"/>
      <c r="C785" s="1"/>
      <c r="D785" s="1"/>
      <c r="E785" s="1"/>
      <c r="F785" s="1"/>
      <c r="G785" s="1"/>
      <c r="H785" s="1"/>
    </row>
    <row r="786" spans="1:8" x14ac:dyDescent="0.2">
      <c r="A786" s="1"/>
      <c r="B786" s="1"/>
      <c r="C786" s="1"/>
      <c r="D786" s="1"/>
      <c r="E786" s="1"/>
      <c r="F786" s="1"/>
      <c r="G786" s="1"/>
      <c r="H786" s="1"/>
    </row>
    <row r="787" spans="1:8" x14ac:dyDescent="0.2">
      <c r="A787" s="1"/>
      <c r="B787" s="1"/>
      <c r="C787" s="1"/>
      <c r="D787" s="1"/>
      <c r="E787" s="1"/>
      <c r="F787" s="1"/>
      <c r="G787" s="1"/>
      <c r="H787" s="1"/>
    </row>
    <row r="788" spans="1:8" x14ac:dyDescent="0.2">
      <c r="A788" s="1"/>
      <c r="B788" s="1"/>
      <c r="C788" s="1"/>
      <c r="D788" s="1"/>
      <c r="E788" s="1"/>
      <c r="F788" s="1"/>
      <c r="G788" s="1"/>
      <c r="H788" s="1"/>
    </row>
    <row r="789" spans="1:8" x14ac:dyDescent="0.2">
      <c r="A789" s="1"/>
      <c r="B789" s="1"/>
      <c r="C789" s="1"/>
      <c r="D789" s="1"/>
      <c r="E789" s="1"/>
      <c r="F789" s="1"/>
      <c r="G789" s="1"/>
      <c r="H789" s="1"/>
    </row>
    <row r="790" spans="1:8" x14ac:dyDescent="0.2">
      <c r="A790" s="1"/>
      <c r="B790" s="1"/>
      <c r="C790" s="1"/>
      <c r="D790" s="1"/>
      <c r="E790" s="1"/>
      <c r="F790" s="1"/>
      <c r="G790" s="1"/>
      <c r="H790" s="1"/>
    </row>
    <row r="791" spans="1:8" x14ac:dyDescent="0.2">
      <c r="A791" s="1"/>
      <c r="B791" s="1"/>
      <c r="C791" s="1"/>
      <c r="D791" s="1"/>
      <c r="E791" s="1"/>
      <c r="F791" s="1"/>
      <c r="G791" s="1"/>
      <c r="H791" s="1"/>
    </row>
    <row r="792" spans="1:8" x14ac:dyDescent="0.2">
      <c r="A792" s="1"/>
      <c r="B792" s="1"/>
      <c r="C792" s="1"/>
      <c r="D792" s="1"/>
      <c r="E792" s="1"/>
      <c r="F792" s="1"/>
      <c r="G792" s="1"/>
      <c r="H792" s="1"/>
    </row>
    <row r="793" spans="1:8" x14ac:dyDescent="0.2">
      <c r="A793" s="1"/>
      <c r="B793" s="1"/>
      <c r="C793" s="1"/>
      <c r="D793" s="1"/>
      <c r="E793" s="1"/>
      <c r="F793" s="1"/>
      <c r="G793" s="1"/>
      <c r="H793" s="1"/>
    </row>
    <row r="794" spans="1:8" x14ac:dyDescent="0.2">
      <c r="A794" s="1"/>
      <c r="B794" s="1"/>
      <c r="C794" s="1"/>
      <c r="D794" s="1"/>
      <c r="E794" s="1"/>
      <c r="F794" s="1"/>
      <c r="G794" s="1"/>
      <c r="H794" s="1"/>
    </row>
    <row r="795" spans="1:8" x14ac:dyDescent="0.2">
      <c r="A795" s="1"/>
      <c r="B795" s="1"/>
      <c r="C795" s="1"/>
      <c r="D795" s="1"/>
      <c r="E795" s="1"/>
      <c r="F795" s="1"/>
      <c r="G795" s="1"/>
      <c r="H795" s="1"/>
    </row>
    <row r="796" spans="1:8" x14ac:dyDescent="0.2">
      <c r="A796" s="1"/>
      <c r="B796" s="1"/>
      <c r="C796" s="1"/>
      <c r="D796" s="1"/>
      <c r="E796" s="1"/>
      <c r="F796" s="1"/>
      <c r="G796" s="1"/>
      <c r="H796" s="1"/>
    </row>
    <row r="797" spans="1:8" x14ac:dyDescent="0.2">
      <c r="A797" s="1"/>
      <c r="B797" s="1"/>
      <c r="C797" s="1"/>
      <c r="D797" s="1"/>
      <c r="E797" s="1"/>
      <c r="F797" s="1"/>
      <c r="G797" s="1"/>
      <c r="H797" s="1"/>
    </row>
    <row r="798" spans="1:8" x14ac:dyDescent="0.2">
      <c r="A798" s="1"/>
      <c r="B798" s="1"/>
      <c r="C798" s="1"/>
      <c r="D798" s="1"/>
      <c r="E798" s="1"/>
      <c r="F798" s="1"/>
      <c r="G798" s="1"/>
      <c r="H798" s="1"/>
    </row>
    <row r="799" spans="1:8" x14ac:dyDescent="0.2">
      <c r="A799" s="1"/>
      <c r="B799" s="1"/>
      <c r="C799" s="1"/>
      <c r="D799" s="1"/>
      <c r="E799" s="1"/>
      <c r="F799" s="1"/>
      <c r="G799" s="1"/>
      <c r="H799" s="1"/>
    </row>
    <row r="800" spans="1:8" x14ac:dyDescent="0.2">
      <c r="A800" s="1"/>
      <c r="B800" s="1"/>
      <c r="C800" s="1"/>
      <c r="D800" s="1"/>
      <c r="E800" s="1"/>
      <c r="F800" s="1"/>
      <c r="G800" s="1"/>
      <c r="H800" s="1"/>
    </row>
    <row r="801" spans="1:8" x14ac:dyDescent="0.2">
      <c r="A801" s="1"/>
      <c r="B801" s="1"/>
      <c r="C801" s="1"/>
      <c r="D801" s="1"/>
      <c r="E801" s="1"/>
      <c r="F801" s="1"/>
      <c r="G801" s="1"/>
      <c r="H801" s="1"/>
    </row>
    <row r="802" spans="1:8" x14ac:dyDescent="0.2">
      <c r="A802" s="1"/>
      <c r="B802" s="1"/>
      <c r="C802" s="1"/>
      <c r="D802" s="1"/>
      <c r="E802" s="1"/>
      <c r="F802" s="1"/>
      <c r="G802" s="1"/>
      <c r="H802" s="1"/>
    </row>
    <row r="803" spans="1:8" x14ac:dyDescent="0.2">
      <c r="A803" s="1"/>
      <c r="B803" s="1"/>
      <c r="C803" s="1"/>
      <c r="D803" s="1"/>
      <c r="E803" s="1"/>
      <c r="F803" s="1"/>
      <c r="G803" s="1"/>
      <c r="H803" s="1"/>
    </row>
    <row r="804" spans="1:8" x14ac:dyDescent="0.2">
      <c r="A804" s="1"/>
      <c r="B804" s="1"/>
      <c r="C804" s="1"/>
      <c r="D804" s="1"/>
      <c r="E804" s="1"/>
      <c r="F804" s="1"/>
      <c r="G804" s="1"/>
      <c r="H804" s="1"/>
    </row>
    <row r="805" spans="1:8" x14ac:dyDescent="0.2">
      <c r="A805" s="1"/>
      <c r="B805" s="1"/>
      <c r="C805" s="1"/>
      <c r="D805" s="1"/>
      <c r="E805" s="1"/>
      <c r="F805" s="1"/>
      <c r="G805" s="1"/>
      <c r="H805" s="1"/>
    </row>
    <row r="806" spans="1:8" x14ac:dyDescent="0.2">
      <c r="A806" s="1"/>
      <c r="B806" s="1"/>
      <c r="C806" s="1"/>
      <c r="D806" s="1"/>
      <c r="E806" s="1"/>
      <c r="F806" s="1"/>
      <c r="G806" s="1"/>
      <c r="H806" s="1"/>
    </row>
    <row r="807" spans="1:8" x14ac:dyDescent="0.2">
      <c r="A807" s="1"/>
      <c r="B807" s="1"/>
      <c r="C807" s="1"/>
      <c r="D807" s="1"/>
      <c r="E807" s="1"/>
      <c r="F807" s="1"/>
      <c r="G807" s="1"/>
      <c r="H807" s="1"/>
    </row>
    <row r="808" spans="1:8" x14ac:dyDescent="0.2">
      <c r="A808" s="1"/>
      <c r="B808" s="1"/>
      <c r="C808" s="1"/>
      <c r="D808" s="1"/>
      <c r="E808" s="1"/>
      <c r="F808" s="1"/>
      <c r="G808" s="1"/>
      <c r="H808" s="1"/>
    </row>
    <row r="809" spans="1:8" x14ac:dyDescent="0.2">
      <c r="A809" s="1"/>
      <c r="B809" s="1"/>
      <c r="C809" s="1"/>
      <c r="D809" s="1"/>
      <c r="E809" s="1"/>
      <c r="F809" s="1"/>
      <c r="G809" s="1"/>
      <c r="H809" s="1"/>
    </row>
    <row r="810" spans="1:8" x14ac:dyDescent="0.2">
      <c r="A810" s="1"/>
      <c r="B810" s="1"/>
      <c r="C810" s="1"/>
      <c r="D810" s="1"/>
      <c r="E810" s="1"/>
      <c r="F810" s="1"/>
      <c r="G810" s="1"/>
      <c r="H810" s="1"/>
    </row>
    <row r="811" spans="1:8" x14ac:dyDescent="0.2">
      <c r="A811" s="1"/>
      <c r="B811" s="1"/>
      <c r="C811" s="1"/>
      <c r="D811" s="1"/>
      <c r="E811" s="1"/>
      <c r="F811" s="1"/>
      <c r="G811" s="1"/>
      <c r="H811" s="1"/>
    </row>
    <row r="812" spans="1:8" x14ac:dyDescent="0.2">
      <c r="A812" s="1"/>
      <c r="B812" s="1"/>
      <c r="C812" s="1"/>
      <c r="D812" s="1"/>
      <c r="E812" s="1"/>
      <c r="F812" s="1"/>
      <c r="G812" s="1"/>
      <c r="H812" s="1"/>
    </row>
    <row r="813" spans="1:8" x14ac:dyDescent="0.2">
      <c r="A813" s="1"/>
      <c r="B813" s="1"/>
      <c r="C813" s="1"/>
      <c r="D813" s="1"/>
      <c r="E813" s="1"/>
      <c r="F813" s="1"/>
      <c r="G813" s="1"/>
      <c r="H813" s="1"/>
    </row>
    <row r="814" spans="1:8" x14ac:dyDescent="0.2">
      <c r="A814" s="1"/>
      <c r="B814" s="1"/>
      <c r="C814" s="1"/>
      <c r="D814" s="1"/>
      <c r="E814" s="1"/>
      <c r="F814" s="1"/>
      <c r="G814" s="1"/>
      <c r="H814" s="1"/>
    </row>
    <row r="815" spans="1:8" x14ac:dyDescent="0.2">
      <c r="A815" s="1"/>
      <c r="B815" s="1"/>
      <c r="C815" s="1"/>
      <c r="D815" s="1"/>
      <c r="E815" s="1"/>
      <c r="F815" s="1"/>
      <c r="G815" s="1"/>
      <c r="H815" s="1"/>
    </row>
    <row r="816" spans="1:8" x14ac:dyDescent="0.2">
      <c r="A816" s="1"/>
      <c r="B816" s="1"/>
      <c r="C816" s="1"/>
      <c r="D816" s="1"/>
      <c r="E816" s="1"/>
      <c r="F816" s="1"/>
      <c r="G816" s="1"/>
      <c r="H816" s="1"/>
    </row>
    <row r="817" spans="1:8" x14ac:dyDescent="0.2">
      <c r="A817" s="1"/>
      <c r="B817" s="1"/>
      <c r="C817" s="1"/>
      <c r="D817" s="1"/>
      <c r="E817" s="1"/>
      <c r="F817" s="1"/>
      <c r="G817" s="1"/>
      <c r="H817" s="1"/>
    </row>
    <row r="818" spans="1:8" x14ac:dyDescent="0.2">
      <c r="A818" s="1"/>
      <c r="B818" s="1"/>
      <c r="C818" s="1"/>
      <c r="D818" s="1"/>
      <c r="E818" s="1"/>
      <c r="F818" s="1"/>
      <c r="G818" s="1"/>
      <c r="H818" s="1"/>
    </row>
    <row r="819" spans="1:8" x14ac:dyDescent="0.2">
      <c r="A819" s="1"/>
      <c r="B819" s="1"/>
      <c r="C819" s="1"/>
      <c r="D819" s="1"/>
      <c r="E819" s="1"/>
      <c r="F819" s="1"/>
      <c r="G819" s="1"/>
      <c r="H819" s="1"/>
    </row>
    <row r="820" spans="1:8" x14ac:dyDescent="0.2">
      <c r="A820" s="1"/>
      <c r="B820" s="1"/>
      <c r="C820" s="1"/>
      <c r="D820" s="1"/>
      <c r="E820" s="1"/>
      <c r="F820" s="1"/>
      <c r="G820" s="1"/>
      <c r="H820" s="1"/>
    </row>
    <row r="821" spans="1:8" x14ac:dyDescent="0.2">
      <c r="A821" s="1"/>
      <c r="B821" s="1"/>
      <c r="C821" s="1"/>
      <c r="D821" s="1"/>
      <c r="E821" s="1"/>
      <c r="F821" s="1"/>
      <c r="G821" s="1"/>
      <c r="H821" s="1"/>
    </row>
    <row r="822" spans="1:8" x14ac:dyDescent="0.2">
      <c r="A822" s="1"/>
      <c r="B822" s="1"/>
      <c r="C822" s="1"/>
      <c r="D822" s="1"/>
      <c r="E822" s="1"/>
      <c r="F822" s="1"/>
      <c r="G822" s="1"/>
      <c r="H822" s="1"/>
    </row>
    <row r="823" spans="1:8" x14ac:dyDescent="0.2">
      <c r="A823" s="1"/>
      <c r="B823" s="1"/>
      <c r="C823" s="1"/>
      <c r="D823" s="1"/>
      <c r="E823" s="1"/>
      <c r="F823" s="1"/>
      <c r="G823" s="1"/>
      <c r="H823" s="1"/>
    </row>
    <row r="824" spans="1:8" x14ac:dyDescent="0.2">
      <c r="A824" s="1"/>
      <c r="B824" s="1"/>
      <c r="C824" s="1"/>
      <c r="D824" s="1"/>
      <c r="E824" s="1"/>
      <c r="F824" s="1"/>
      <c r="G824" s="1"/>
      <c r="H824" s="1"/>
    </row>
    <row r="825" spans="1:8" x14ac:dyDescent="0.2">
      <c r="A825" s="1"/>
      <c r="B825" s="1"/>
      <c r="C825" s="1"/>
      <c r="D825" s="1"/>
      <c r="E825" s="1"/>
      <c r="F825" s="1"/>
      <c r="G825" s="1"/>
      <c r="H825" s="1"/>
    </row>
    <row r="826" spans="1:8" x14ac:dyDescent="0.2">
      <c r="A826" s="1"/>
      <c r="B826" s="1"/>
      <c r="C826" s="1"/>
      <c r="D826" s="1"/>
      <c r="E826" s="1"/>
      <c r="F826" s="1"/>
      <c r="G826" s="1"/>
      <c r="H826" s="1"/>
    </row>
    <row r="827" spans="1:8" x14ac:dyDescent="0.2">
      <c r="A827" s="1"/>
      <c r="B827" s="1"/>
      <c r="C827" s="1"/>
      <c r="D827" s="1"/>
      <c r="E827" s="1"/>
      <c r="F827" s="1"/>
      <c r="G827" s="1"/>
      <c r="H827" s="1"/>
    </row>
    <row r="828" spans="1:8" x14ac:dyDescent="0.2">
      <c r="A828" s="1"/>
      <c r="B828" s="1"/>
      <c r="C828" s="1"/>
      <c r="D828" s="1"/>
      <c r="E828" s="1"/>
      <c r="F828" s="1"/>
      <c r="G828" s="1"/>
      <c r="H828" s="1"/>
    </row>
    <row r="829" spans="1:8" x14ac:dyDescent="0.2">
      <c r="A829" s="1"/>
      <c r="B829" s="1"/>
      <c r="C829" s="1"/>
      <c r="D829" s="1"/>
      <c r="E829" s="1"/>
      <c r="F829" s="1"/>
      <c r="G829" s="1"/>
      <c r="H829" s="1"/>
    </row>
    <row r="830" spans="1:8" x14ac:dyDescent="0.2">
      <c r="A830" s="1"/>
      <c r="B830" s="1"/>
      <c r="C830" s="1"/>
      <c r="D830" s="1"/>
      <c r="E830" s="1"/>
      <c r="F830" s="1"/>
      <c r="G830" s="1"/>
      <c r="H830" s="1"/>
    </row>
    <row r="831" spans="1:8" x14ac:dyDescent="0.2">
      <c r="A831" s="1"/>
      <c r="B831" s="1"/>
      <c r="C831" s="1"/>
      <c r="D831" s="1"/>
      <c r="E831" s="1"/>
      <c r="F831" s="1"/>
      <c r="G831" s="1"/>
      <c r="H831" s="1"/>
    </row>
    <row r="832" spans="1:8" x14ac:dyDescent="0.2">
      <c r="A832" s="1"/>
      <c r="B832" s="1"/>
      <c r="C832" s="1"/>
      <c r="D832" s="1"/>
      <c r="E832" s="1"/>
      <c r="F832" s="1"/>
      <c r="G832" s="1"/>
      <c r="H832" s="1"/>
    </row>
    <row r="833" spans="1:8" x14ac:dyDescent="0.2">
      <c r="A833" s="1"/>
      <c r="B833" s="1"/>
      <c r="C833" s="1"/>
      <c r="D833" s="1"/>
      <c r="E833" s="1"/>
      <c r="F833" s="1"/>
      <c r="G833" s="1"/>
      <c r="H833" s="1"/>
    </row>
    <row r="834" spans="1:8" x14ac:dyDescent="0.2">
      <c r="A834" s="1"/>
      <c r="B834" s="1"/>
      <c r="C834" s="1"/>
      <c r="D834" s="1"/>
      <c r="E834" s="1"/>
      <c r="F834" s="1"/>
      <c r="G834" s="1"/>
      <c r="H834" s="1"/>
    </row>
    <row r="835" spans="1:8" x14ac:dyDescent="0.2">
      <c r="A835" s="1"/>
      <c r="B835" s="1"/>
      <c r="C835" s="1"/>
      <c r="D835" s="1"/>
      <c r="E835" s="1"/>
      <c r="F835" s="1"/>
      <c r="G835" s="1"/>
      <c r="H835" s="1"/>
    </row>
    <row r="836" spans="1:8" x14ac:dyDescent="0.2">
      <c r="A836" s="1"/>
      <c r="B836" s="1"/>
      <c r="C836" s="1"/>
      <c r="D836" s="1"/>
      <c r="E836" s="1"/>
      <c r="F836" s="1"/>
      <c r="G836" s="1"/>
      <c r="H836" s="1"/>
    </row>
    <row r="837" spans="1:8" x14ac:dyDescent="0.2">
      <c r="A837" s="1"/>
      <c r="B837" s="1"/>
      <c r="C837" s="1"/>
      <c r="D837" s="1"/>
      <c r="E837" s="1"/>
      <c r="F837" s="1"/>
      <c r="G837" s="1"/>
      <c r="H837" s="1"/>
    </row>
    <row r="838" spans="1:8" x14ac:dyDescent="0.2">
      <c r="A838" s="1"/>
      <c r="B838" s="1"/>
      <c r="C838" s="1"/>
      <c r="D838" s="1"/>
      <c r="E838" s="1"/>
      <c r="F838" s="1"/>
      <c r="G838" s="1"/>
      <c r="H838" s="1"/>
    </row>
    <row r="839" spans="1:8" x14ac:dyDescent="0.2">
      <c r="A839" s="1"/>
      <c r="B839" s="1"/>
      <c r="C839" s="1"/>
      <c r="D839" s="1"/>
      <c r="E839" s="1"/>
      <c r="F839" s="1"/>
      <c r="G839" s="1"/>
      <c r="H839" s="1"/>
    </row>
    <row r="840" spans="1:8" x14ac:dyDescent="0.2">
      <c r="A840" s="1"/>
      <c r="B840" s="1"/>
      <c r="C840" s="1"/>
      <c r="D840" s="1"/>
      <c r="E840" s="1"/>
      <c r="F840" s="1"/>
      <c r="G840" s="1"/>
      <c r="H840" s="1"/>
    </row>
    <row r="841" spans="1:8" x14ac:dyDescent="0.2">
      <c r="A841" s="1"/>
      <c r="B841" s="1"/>
      <c r="C841" s="1"/>
      <c r="D841" s="1"/>
      <c r="E841" s="1"/>
      <c r="F841" s="1"/>
      <c r="G841" s="1"/>
      <c r="H841" s="1"/>
    </row>
    <row r="842" spans="1:8" x14ac:dyDescent="0.2">
      <c r="A842" s="1"/>
      <c r="B842" s="1"/>
      <c r="C842" s="1"/>
      <c r="D842" s="1"/>
      <c r="E842" s="1"/>
      <c r="F842" s="1"/>
      <c r="G842" s="1"/>
      <c r="H842" s="1"/>
    </row>
    <row r="843" spans="1:8" x14ac:dyDescent="0.2">
      <c r="A843" s="1"/>
      <c r="B843" s="1"/>
      <c r="C843" s="1"/>
      <c r="D843" s="1"/>
      <c r="E843" s="1"/>
      <c r="F843" s="1"/>
      <c r="G843" s="1"/>
      <c r="H843" s="1"/>
    </row>
    <row r="844" spans="1:8" x14ac:dyDescent="0.2">
      <c r="A844" s="1"/>
      <c r="B844" s="1"/>
      <c r="C844" s="1"/>
      <c r="D844" s="1"/>
      <c r="E844" s="1"/>
      <c r="F844" s="1"/>
      <c r="G844" s="1"/>
      <c r="H844" s="1"/>
    </row>
    <row r="845" spans="1:8" x14ac:dyDescent="0.2">
      <c r="A845" s="1"/>
      <c r="B845" s="1"/>
      <c r="C845" s="1"/>
      <c r="D845" s="1"/>
      <c r="E845" s="1"/>
      <c r="F845" s="1"/>
      <c r="G845" s="1"/>
      <c r="H845" s="1"/>
    </row>
    <row r="846" spans="1:8" x14ac:dyDescent="0.2">
      <c r="A846" s="1"/>
      <c r="B846" s="1"/>
      <c r="C846" s="1"/>
      <c r="D846" s="1"/>
      <c r="E846" s="1"/>
      <c r="F846" s="1"/>
      <c r="G846" s="1"/>
      <c r="H846" s="1"/>
    </row>
    <row r="847" spans="1:8" x14ac:dyDescent="0.2">
      <c r="A847" s="1"/>
      <c r="B847" s="1"/>
      <c r="C847" s="1"/>
      <c r="D847" s="1"/>
      <c r="E847" s="1"/>
      <c r="F847" s="1"/>
      <c r="G847" s="1"/>
      <c r="H847" s="1"/>
    </row>
    <row r="848" spans="1:8" x14ac:dyDescent="0.2">
      <c r="A848" s="1"/>
      <c r="B848" s="1"/>
      <c r="C848" s="1"/>
      <c r="D848" s="1"/>
      <c r="E848" s="1"/>
      <c r="F848" s="1"/>
      <c r="G848" s="1"/>
      <c r="H848" s="1"/>
    </row>
    <row r="849" spans="1:8" x14ac:dyDescent="0.2">
      <c r="A849" s="1"/>
      <c r="B849" s="1"/>
      <c r="C849" s="1"/>
      <c r="D849" s="1"/>
      <c r="E849" s="1"/>
      <c r="F849" s="1"/>
      <c r="G849" s="1"/>
      <c r="H849" s="1"/>
    </row>
    <row r="850" spans="1:8" x14ac:dyDescent="0.2">
      <c r="A850" s="1"/>
      <c r="B850" s="1"/>
      <c r="C850" s="1"/>
      <c r="D850" s="1"/>
      <c r="E850" s="1"/>
      <c r="F850" s="1"/>
      <c r="G850" s="1"/>
      <c r="H850" s="1"/>
    </row>
    <row r="851" spans="1:8" x14ac:dyDescent="0.2">
      <c r="A851" s="1"/>
      <c r="B851" s="1"/>
      <c r="C851" s="1"/>
      <c r="D851" s="1"/>
      <c r="E851" s="1"/>
      <c r="F851" s="1"/>
      <c r="G851" s="1"/>
      <c r="H851" s="1"/>
    </row>
    <row r="852" spans="1:8" x14ac:dyDescent="0.2">
      <c r="A852" s="1"/>
      <c r="B852" s="1"/>
      <c r="C852" s="1"/>
      <c r="D852" s="1"/>
      <c r="E852" s="1"/>
      <c r="F852" s="1"/>
      <c r="G852" s="1"/>
      <c r="H852" s="1"/>
    </row>
    <row r="853" spans="1:8" x14ac:dyDescent="0.2">
      <c r="A853" s="1"/>
      <c r="B853" s="1"/>
      <c r="C853" s="1"/>
      <c r="D853" s="1"/>
      <c r="E853" s="1"/>
      <c r="F853" s="1"/>
      <c r="G853" s="1"/>
      <c r="H853" s="1"/>
    </row>
    <row r="854" spans="1:8" x14ac:dyDescent="0.2">
      <c r="A854" s="1"/>
      <c r="B854" s="1"/>
      <c r="C854" s="1"/>
      <c r="D854" s="1"/>
      <c r="E854" s="1"/>
      <c r="F854" s="1"/>
      <c r="G854" s="1"/>
      <c r="H854" s="1"/>
    </row>
    <row r="855" spans="1:8" x14ac:dyDescent="0.2">
      <c r="A855" s="1"/>
      <c r="B855" s="1"/>
      <c r="C855" s="1"/>
      <c r="D855" s="1"/>
      <c r="E855" s="1"/>
      <c r="F855" s="1"/>
      <c r="G855" s="1"/>
      <c r="H855" s="1"/>
    </row>
    <row r="856" spans="1:8" x14ac:dyDescent="0.2">
      <c r="A856" s="1"/>
      <c r="B856" s="1"/>
      <c r="C856" s="1"/>
      <c r="D856" s="1"/>
      <c r="E856" s="1"/>
      <c r="F856" s="1"/>
      <c r="G856" s="1"/>
      <c r="H856" s="1"/>
    </row>
    <row r="857" spans="1:8" x14ac:dyDescent="0.2">
      <c r="A857" s="1"/>
      <c r="B857" s="1"/>
      <c r="C857" s="1"/>
      <c r="D857" s="1"/>
      <c r="E857" s="1"/>
      <c r="F857" s="1"/>
      <c r="G857" s="1"/>
      <c r="H857" s="1"/>
    </row>
    <row r="858" spans="1:8" x14ac:dyDescent="0.2">
      <c r="A858" s="1"/>
      <c r="B858" s="1"/>
      <c r="C858" s="1"/>
      <c r="D858" s="1"/>
      <c r="E858" s="1"/>
      <c r="F858" s="1"/>
      <c r="G858" s="1"/>
      <c r="H858" s="1"/>
    </row>
    <row r="859" spans="1:8" x14ac:dyDescent="0.2">
      <c r="A859" s="1"/>
      <c r="B859" s="1"/>
      <c r="C859" s="1"/>
      <c r="D859" s="1"/>
      <c r="E859" s="1"/>
      <c r="F859" s="1"/>
      <c r="G859" s="1"/>
      <c r="H859" s="1"/>
    </row>
    <row r="860" spans="1:8" x14ac:dyDescent="0.2">
      <c r="A860" s="1"/>
      <c r="B860" s="1"/>
      <c r="C860" s="1"/>
      <c r="D860" s="1"/>
      <c r="E860" s="1"/>
      <c r="F860" s="1"/>
      <c r="G860" s="1"/>
      <c r="H860" s="1"/>
    </row>
    <row r="861" spans="1:8" x14ac:dyDescent="0.2">
      <c r="A861" s="1"/>
      <c r="B861" s="1"/>
      <c r="C861" s="1"/>
      <c r="D861" s="1"/>
      <c r="E861" s="1"/>
      <c r="F861" s="1"/>
      <c r="G861" s="1"/>
      <c r="H861" s="1"/>
    </row>
    <row r="862" spans="1:8" x14ac:dyDescent="0.2">
      <c r="A862" s="1"/>
      <c r="B862" s="1"/>
      <c r="C862" s="1"/>
      <c r="D862" s="1"/>
      <c r="E862" s="1"/>
      <c r="F862" s="1"/>
      <c r="G862" s="1"/>
      <c r="H862" s="1"/>
    </row>
    <row r="863" spans="1:8" x14ac:dyDescent="0.2">
      <c r="A863" s="1"/>
      <c r="B863" s="1"/>
      <c r="C863" s="1"/>
      <c r="D863" s="1"/>
      <c r="E863" s="1"/>
      <c r="F863" s="1"/>
      <c r="G863" s="1"/>
      <c r="H863" s="1"/>
    </row>
    <row r="864" spans="1:8" x14ac:dyDescent="0.2">
      <c r="A864" s="1"/>
      <c r="B864" s="1"/>
      <c r="C864" s="1"/>
      <c r="D864" s="1"/>
      <c r="E864" s="1"/>
      <c r="F864" s="1"/>
      <c r="G864" s="1"/>
      <c r="H864" s="1"/>
    </row>
    <row r="865" spans="1:8" x14ac:dyDescent="0.2">
      <c r="A865" s="1"/>
      <c r="B865" s="1"/>
      <c r="C865" s="1"/>
      <c r="D865" s="1"/>
      <c r="E865" s="1"/>
      <c r="F865" s="1"/>
      <c r="G865" s="1"/>
      <c r="H865" s="1"/>
    </row>
    <row r="866" spans="1:8" x14ac:dyDescent="0.2">
      <c r="A866" s="1"/>
      <c r="B866" s="1"/>
      <c r="C866" s="1"/>
      <c r="D866" s="1"/>
      <c r="E866" s="1"/>
      <c r="F866" s="1"/>
      <c r="G866" s="1"/>
      <c r="H866" s="1"/>
    </row>
    <row r="867" spans="1:8" x14ac:dyDescent="0.2">
      <c r="A867" s="1"/>
      <c r="B867" s="1"/>
      <c r="C867" s="1"/>
      <c r="D867" s="1"/>
      <c r="E867" s="1"/>
      <c r="F867" s="1"/>
      <c r="G867" s="1"/>
      <c r="H867" s="1"/>
    </row>
    <row r="868" spans="1:8" x14ac:dyDescent="0.2">
      <c r="A868" s="1"/>
      <c r="B868" s="1"/>
      <c r="C868" s="1"/>
      <c r="D868" s="1"/>
      <c r="E868" s="1"/>
      <c r="F868" s="1"/>
      <c r="G868" s="1"/>
      <c r="H868" s="1"/>
    </row>
    <row r="869" spans="1:8" x14ac:dyDescent="0.2">
      <c r="A869" s="1"/>
      <c r="B869" s="1"/>
      <c r="C869" s="1"/>
      <c r="D869" s="1"/>
      <c r="E869" s="1"/>
      <c r="F869" s="1"/>
      <c r="G869" s="1"/>
      <c r="H869" s="1"/>
    </row>
    <row r="870" spans="1:8" x14ac:dyDescent="0.2">
      <c r="A870" s="1"/>
      <c r="B870" s="1"/>
      <c r="C870" s="1"/>
      <c r="D870" s="1"/>
      <c r="E870" s="1"/>
      <c r="F870" s="1"/>
      <c r="G870" s="1"/>
      <c r="H870" s="1"/>
    </row>
    <row r="871" spans="1:8" x14ac:dyDescent="0.2">
      <c r="A871" s="1"/>
      <c r="B871" s="1"/>
      <c r="C871" s="1"/>
      <c r="D871" s="1"/>
      <c r="E871" s="1"/>
      <c r="F871" s="1"/>
      <c r="G871" s="1"/>
      <c r="H871" s="1"/>
    </row>
    <row r="872" spans="1:8" x14ac:dyDescent="0.2">
      <c r="A872" s="1"/>
      <c r="B872" s="1"/>
      <c r="C872" s="1"/>
      <c r="D872" s="1"/>
      <c r="E872" s="1"/>
      <c r="F872" s="1"/>
      <c r="G872" s="1"/>
      <c r="H872" s="1"/>
    </row>
    <row r="873" spans="1:8" x14ac:dyDescent="0.2">
      <c r="A873" s="1"/>
      <c r="B873" s="1"/>
      <c r="C873" s="1"/>
      <c r="D873" s="1"/>
      <c r="E873" s="1"/>
      <c r="F873" s="1"/>
      <c r="G873" s="1"/>
      <c r="H873" s="1"/>
    </row>
    <row r="874" spans="1:8" x14ac:dyDescent="0.2">
      <c r="A874" s="1"/>
      <c r="B874" s="1"/>
      <c r="C874" s="1"/>
      <c r="D874" s="1"/>
      <c r="E874" s="1"/>
      <c r="F874" s="1"/>
      <c r="G874" s="1"/>
      <c r="H874" s="1"/>
    </row>
    <row r="875" spans="1:8" x14ac:dyDescent="0.2">
      <c r="A875" s="1"/>
      <c r="B875" s="1"/>
      <c r="C875" s="1"/>
      <c r="D875" s="1"/>
      <c r="E875" s="1"/>
      <c r="F875" s="1"/>
      <c r="G875" s="1"/>
      <c r="H875" s="1"/>
    </row>
    <row r="876" spans="1:8" x14ac:dyDescent="0.2">
      <c r="A876" s="1"/>
      <c r="B876" s="1"/>
      <c r="C876" s="1"/>
      <c r="D876" s="1"/>
      <c r="E876" s="1"/>
      <c r="F876" s="1"/>
      <c r="G876" s="1"/>
      <c r="H876" s="1"/>
    </row>
    <row r="877" spans="1:8" x14ac:dyDescent="0.2">
      <c r="A877" s="1"/>
      <c r="B877" s="1"/>
      <c r="C877" s="1"/>
      <c r="D877" s="1"/>
      <c r="E877" s="1"/>
      <c r="F877" s="1"/>
      <c r="G877" s="1"/>
      <c r="H877" s="1"/>
    </row>
    <row r="878" spans="1:8" x14ac:dyDescent="0.2">
      <c r="A878" s="1"/>
      <c r="B878" s="1"/>
      <c r="C878" s="1"/>
      <c r="D878" s="1"/>
      <c r="E878" s="1"/>
      <c r="F878" s="1"/>
      <c r="G878" s="1"/>
      <c r="H878" s="1"/>
    </row>
    <row r="879" spans="1:8" x14ac:dyDescent="0.2">
      <c r="A879" s="1"/>
      <c r="B879" s="1"/>
      <c r="C879" s="1"/>
      <c r="D879" s="1"/>
      <c r="E879" s="1"/>
      <c r="F879" s="1"/>
      <c r="G879" s="1"/>
      <c r="H879" s="1"/>
    </row>
    <row r="880" spans="1:8" x14ac:dyDescent="0.2">
      <c r="A880" s="1"/>
      <c r="B880" s="1"/>
      <c r="C880" s="1"/>
      <c r="D880" s="1"/>
      <c r="E880" s="1"/>
      <c r="F880" s="1"/>
      <c r="G880" s="1"/>
      <c r="H880" s="1"/>
    </row>
    <row r="881" spans="1:8" x14ac:dyDescent="0.2">
      <c r="A881" s="1"/>
      <c r="B881" s="1"/>
      <c r="C881" s="1"/>
      <c r="D881" s="1"/>
      <c r="E881" s="1"/>
      <c r="F881" s="1"/>
      <c r="G881" s="1"/>
      <c r="H881" s="1"/>
    </row>
    <row r="882" spans="1:8" x14ac:dyDescent="0.2">
      <c r="A882" s="1"/>
      <c r="B882" s="1"/>
      <c r="C882" s="1"/>
      <c r="D882" s="1"/>
      <c r="E882" s="1"/>
      <c r="F882" s="1"/>
      <c r="G882" s="1"/>
      <c r="H882" s="1"/>
    </row>
    <row r="883" spans="1:8" x14ac:dyDescent="0.2">
      <c r="A883" s="1"/>
      <c r="B883" s="1"/>
      <c r="C883" s="1"/>
      <c r="D883" s="1"/>
      <c r="E883" s="1"/>
      <c r="F883" s="1"/>
      <c r="G883" s="1"/>
      <c r="H883" s="1"/>
    </row>
    <row r="884" spans="1:8" x14ac:dyDescent="0.2">
      <c r="A884" s="1"/>
      <c r="B884" s="1"/>
      <c r="C884" s="1"/>
      <c r="D884" s="1"/>
      <c r="E884" s="1"/>
      <c r="F884" s="1"/>
      <c r="G884" s="1"/>
      <c r="H884" s="1"/>
    </row>
    <row r="885" spans="1:8" x14ac:dyDescent="0.2">
      <c r="A885" s="1"/>
      <c r="B885" s="1"/>
      <c r="C885" s="1"/>
      <c r="D885" s="1"/>
      <c r="E885" s="1"/>
      <c r="F885" s="1"/>
      <c r="G885" s="1"/>
      <c r="H885" s="1"/>
    </row>
    <row r="886" spans="1:8" x14ac:dyDescent="0.2">
      <c r="A886" s="1"/>
      <c r="B886" s="1"/>
      <c r="C886" s="1"/>
      <c r="D886" s="1"/>
      <c r="E886" s="1"/>
      <c r="F886" s="1"/>
      <c r="G886" s="1"/>
      <c r="H886" s="1"/>
    </row>
    <row r="887" spans="1:8" x14ac:dyDescent="0.2">
      <c r="A887" s="1"/>
      <c r="B887" s="1"/>
      <c r="C887" s="1"/>
      <c r="D887" s="1"/>
      <c r="E887" s="1"/>
      <c r="F887" s="1"/>
      <c r="G887" s="1"/>
      <c r="H887" s="1"/>
    </row>
    <row r="888" spans="1:8" x14ac:dyDescent="0.2">
      <c r="A888" s="1"/>
      <c r="B888" s="1"/>
      <c r="C888" s="1"/>
      <c r="D888" s="1"/>
      <c r="E888" s="1"/>
      <c r="F888" s="1"/>
      <c r="G888" s="1"/>
      <c r="H888" s="1"/>
    </row>
    <row r="889" spans="1:8" x14ac:dyDescent="0.2">
      <c r="A889" s="1"/>
      <c r="B889" s="1"/>
      <c r="C889" s="1"/>
      <c r="D889" s="1"/>
      <c r="E889" s="1"/>
      <c r="F889" s="1"/>
      <c r="G889" s="1"/>
      <c r="H889" s="1"/>
    </row>
    <row r="890" spans="1:8" x14ac:dyDescent="0.2">
      <c r="A890" s="1"/>
      <c r="B890" s="1"/>
      <c r="C890" s="1"/>
      <c r="D890" s="1"/>
      <c r="E890" s="1"/>
      <c r="F890" s="1"/>
      <c r="G890" s="1"/>
      <c r="H890" s="1"/>
    </row>
    <row r="891" spans="1:8" x14ac:dyDescent="0.2">
      <c r="A891" s="1"/>
      <c r="B891" s="1"/>
      <c r="C891" s="1"/>
      <c r="D891" s="1"/>
      <c r="E891" s="1"/>
      <c r="F891" s="1"/>
      <c r="G891" s="1"/>
      <c r="H891" s="1"/>
    </row>
    <row r="892" spans="1:8" x14ac:dyDescent="0.2">
      <c r="A892" s="1"/>
      <c r="B892" s="1"/>
      <c r="C892" s="1"/>
      <c r="D892" s="1"/>
      <c r="E892" s="1"/>
      <c r="F892" s="1"/>
      <c r="G892" s="1"/>
      <c r="H892" s="1"/>
    </row>
    <row r="893" spans="1:8" x14ac:dyDescent="0.2">
      <c r="A893" s="1"/>
      <c r="B893" s="1"/>
      <c r="C893" s="1"/>
      <c r="D893" s="1"/>
      <c r="E893" s="1"/>
      <c r="F893" s="1"/>
      <c r="G893" s="1"/>
      <c r="H893" s="1"/>
    </row>
    <row r="894" spans="1:8" x14ac:dyDescent="0.2">
      <c r="A894" s="1"/>
      <c r="B894" s="1"/>
      <c r="C894" s="1"/>
      <c r="D894" s="1"/>
      <c r="E894" s="1"/>
      <c r="F894" s="1"/>
      <c r="G894" s="1"/>
      <c r="H894" s="1"/>
    </row>
    <row r="895" spans="1:8" x14ac:dyDescent="0.2">
      <c r="A895" s="1"/>
      <c r="B895" s="1"/>
      <c r="C895" s="1"/>
      <c r="D895" s="1"/>
      <c r="E895" s="1"/>
      <c r="F895" s="1"/>
      <c r="G895" s="1"/>
      <c r="H895" s="1"/>
    </row>
    <row r="896" spans="1:8" x14ac:dyDescent="0.2">
      <c r="A896" s="1"/>
      <c r="B896" s="1"/>
      <c r="C896" s="1"/>
      <c r="D896" s="1"/>
      <c r="E896" s="1"/>
      <c r="F896" s="1"/>
      <c r="G896" s="1"/>
      <c r="H896" s="1"/>
    </row>
    <row r="897" spans="1:8" x14ac:dyDescent="0.2">
      <c r="A897" s="1"/>
      <c r="B897" s="1"/>
      <c r="C897" s="1"/>
      <c r="D897" s="1"/>
      <c r="E897" s="1"/>
      <c r="F897" s="1"/>
      <c r="G897" s="1"/>
      <c r="H897" s="1"/>
    </row>
    <row r="898" spans="1:8" x14ac:dyDescent="0.2">
      <c r="A898" s="1"/>
      <c r="B898" s="1"/>
      <c r="C898" s="1"/>
      <c r="D898" s="1"/>
      <c r="E898" s="1"/>
      <c r="F898" s="1"/>
      <c r="G898" s="1"/>
      <c r="H898" s="1"/>
    </row>
    <row r="899" spans="1:8" x14ac:dyDescent="0.2">
      <c r="A899" s="1"/>
      <c r="B899" s="1"/>
      <c r="C899" s="1"/>
      <c r="D899" s="1"/>
      <c r="E899" s="1"/>
      <c r="F899" s="1"/>
      <c r="G899" s="1"/>
      <c r="H899" s="1"/>
    </row>
    <row r="900" spans="1:8" x14ac:dyDescent="0.2">
      <c r="A900" s="1"/>
      <c r="B900" s="1"/>
      <c r="C900" s="1"/>
      <c r="D900" s="1"/>
      <c r="E900" s="1"/>
      <c r="F900" s="1"/>
      <c r="G900" s="1"/>
      <c r="H900" s="1"/>
    </row>
    <row r="901" spans="1:8" x14ac:dyDescent="0.2">
      <c r="A901" s="1"/>
      <c r="B901" s="1"/>
      <c r="C901" s="1"/>
      <c r="D901" s="1"/>
      <c r="E901" s="1"/>
      <c r="F901" s="1"/>
      <c r="G901" s="1"/>
      <c r="H901" s="1"/>
    </row>
    <row r="902" spans="1:8" x14ac:dyDescent="0.2">
      <c r="A902" s="1"/>
      <c r="B902" s="1"/>
      <c r="C902" s="1"/>
      <c r="D902" s="1"/>
      <c r="E902" s="1"/>
      <c r="F902" s="1"/>
      <c r="G902" s="1"/>
      <c r="H902" s="1"/>
    </row>
    <row r="903" spans="1:8" x14ac:dyDescent="0.2">
      <c r="A903" s="1"/>
      <c r="B903" s="1"/>
      <c r="C903" s="1"/>
      <c r="D903" s="1"/>
      <c r="E903" s="1"/>
      <c r="F903" s="1"/>
      <c r="G903" s="1"/>
      <c r="H903" s="1"/>
    </row>
    <row r="904" spans="1:8" x14ac:dyDescent="0.2">
      <c r="A904" s="1"/>
      <c r="B904" s="1"/>
      <c r="C904" s="1"/>
      <c r="D904" s="1"/>
      <c r="E904" s="1"/>
      <c r="F904" s="1"/>
      <c r="G904" s="1"/>
      <c r="H904" s="1"/>
    </row>
    <row r="905" spans="1:8" x14ac:dyDescent="0.2">
      <c r="A905" s="1"/>
      <c r="B905" s="1"/>
      <c r="C905" s="1"/>
      <c r="D905" s="1"/>
      <c r="E905" s="1"/>
      <c r="F905" s="1"/>
      <c r="G905" s="1"/>
      <c r="H905" s="1"/>
    </row>
    <row r="906" spans="1:8" x14ac:dyDescent="0.2">
      <c r="A906" s="1"/>
      <c r="B906" s="1"/>
      <c r="C906" s="1"/>
      <c r="D906" s="1"/>
      <c r="E906" s="1"/>
      <c r="F906" s="1"/>
      <c r="G906" s="1"/>
      <c r="H906" s="1"/>
    </row>
    <row r="907" spans="1:8" x14ac:dyDescent="0.2">
      <c r="A907" s="1"/>
      <c r="B907" s="1"/>
      <c r="C907" s="1"/>
      <c r="D907" s="1"/>
      <c r="E907" s="1"/>
      <c r="F907" s="1"/>
      <c r="G907" s="1"/>
      <c r="H907" s="1"/>
    </row>
    <row r="908" spans="1:8" x14ac:dyDescent="0.2">
      <c r="A908" s="1"/>
      <c r="B908" s="1"/>
      <c r="C908" s="1"/>
      <c r="D908" s="1"/>
      <c r="E908" s="1"/>
      <c r="F908" s="1"/>
      <c r="G908" s="1"/>
      <c r="H908" s="1"/>
    </row>
    <row r="909" spans="1:8" x14ac:dyDescent="0.2">
      <c r="A909" s="1"/>
      <c r="B909" s="1"/>
      <c r="C909" s="1"/>
      <c r="D909" s="1"/>
      <c r="E909" s="1"/>
      <c r="F909" s="1"/>
      <c r="G909" s="1"/>
      <c r="H909" s="1"/>
    </row>
    <row r="910" spans="1:8" x14ac:dyDescent="0.2">
      <c r="A910" s="1"/>
      <c r="B910" s="1"/>
      <c r="C910" s="1"/>
      <c r="D910" s="1"/>
      <c r="E910" s="1"/>
      <c r="F910" s="1"/>
      <c r="G910" s="1"/>
      <c r="H910" s="1"/>
    </row>
    <row r="911" spans="1:8" x14ac:dyDescent="0.2">
      <c r="A911" s="1"/>
      <c r="B911" s="1"/>
      <c r="C911" s="1"/>
      <c r="D911" s="1"/>
      <c r="E911" s="1"/>
      <c r="F911" s="1"/>
      <c r="G911" s="1"/>
      <c r="H911" s="1"/>
    </row>
    <row r="912" spans="1:8" x14ac:dyDescent="0.2">
      <c r="A912" s="1"/>
      <c r="B912" s="1"/>
      <c r="C912" s="1"/>
      <c r="D912" s="1"/>
      <c r="E912" s="1"/>
      <c r="F912" s="1"/>
      <c r="G912" s="1"/>
      <c r="H912" s="1"/>
    </row>
    <row r="913" spans="1:8" x14ac:dyDescent="0.2">
      <c r="A913" s="1"/>
      <c r="B913" s="1"/>
      <c r="C913" s="1"/>
      <c r="D913" s="1"/>
      <c r="E913" s="1"/>
      <c r="F913" s="1"/>
      <c r="G913" s="1"/>
      <c r="H913" s="1"/>
    </row>
    <row r="914" spans="1:8" x14ac:dyDescent="0.2">
      <c r="A914" s="1"/>
      <c r="B914" s="1"/>
      <c r="C914" s="1"/>
      <c r="D914" s="1"/>
      <c r="E914" s="1"/>
      <c r="F914" s="1"/>
      <c r="G914" s="1"/>
      <c r="H914" s="1"/>
    </row>
    <row r="915" spans="1:8" x14ac:dyDescent="0.2">
      <c r="A915" s="1"/>
      <c r="B915" s="1"/>
      <c r="C915" s="1"/>
      <c r="D915" s="1"/>
      <c r="E915" s="1"/>
      <c r="F915" s="1"/>
      <c r="G915" s="1"/>
      <c r="H915" s="1"/>
    </row>
    <row r="916" spans="1:8" x14ac:dyDescent="0.2">
      <c r="A916" s="1"/>
      <c r="B916" s="1"/>
      <c r="C916" s="1"/>
      <c r="D916" s="1"/>
      <c r="E916" s="1"/>
      <c r="F916" s="1"/>
      <c r="G916" s="1"/>
      <c r="H916" s="1"/>
    </row>
    <row r="917" spans="1:8" x14ac:dyDescent="0.2">
      <c r="A917" s="1"/>
      <c r="B917" s="1"/>
      <c r="C917" s="1"/>
      <c r="D917" s="1"/>
      <c r="E917" s="1"/>
      <c r="F917" s="1"/>
      <c r="G917" s="1"/>
      <c r="H917" s="1"/>
    </row>
    <row r="918" spans="1:8" x14ac:dyDescent="0.2">
      <c r="A918" s="1"/>
      <c r="B918" s="1"/>
      <c r="C918" s="1"/>
      <c r="D918" s="1"/>
      <c r="E918" s="1"/>
      <c r="F918" s="1"/>
      <c r="G918" s="1"/>
      <c r="H918" s="1"/>
    </row>
    <row r="919" spans="1:8" x14ac:dyDescent="0.2">
      <c r="A919" s="1"/>
      <c r="B919" s="1"/>
      <c r="C919" s="1"/>
      <c r="D919" s="1"/>
      <c r="E919" s="1"/>
      <c r="F919" s="1"/>
      <c r="G919" s="1"/>
      <c r="H919" s="1"/>
    </row>
    <row r="920" spans="1:8" x14ac:dyDescent="0.2">
      <c r="A920" s="1"/>
      <c r="B920" s="1"/>
      <c r="C920" s="1"/>
      <c r="D920" s="1"/>
      <c r="E920" s="1"/>
      <c r="F920" s="1"/>
      <c r="G920" s="1"/>
      <c r="H920" s="1"/>
    </row>
    <row r="921" spans="1:8" x14ac:dyDescent="0.2">
      <c r="A921" s="1"/>
      <c r="B921" s="1"/>
      <c r="C921" s="1"/>
      <c r="D921" s="1"/>
      <c r="E921" s="1"/>
      <c r="F921" s="1"/>
      <c r="G921" s="1"/>
      <c r="H921" s="1"/>
    </row>
    <row r="922" spans="1:8" x14ac:dyDescent="0.2">
      <c r="A922" s="1"/>
      <c r="B922" s="1"/>
      <c r="C922" s="1"/>
      <c r="D922" s="1"/>
      <c r="E922" s="1"/>
      <c r="F922" s="1"/>
      <c r="G922" s="1"/>
      <c r="H922" s="1"/>
    </row>
    <row r="923" spans="1:8" x14ac:dyDescent="0.2">
      <c r="A923" s="1"/>
      <c r="B923" s="1"/>
      <c r="C923" s="1"/>
      <c r="D923" s="1"/>
      <c r="E923" s="1"/>
      <c r="F923" s="1"/>
      <c r="G923" s="1"/>
      <c r="H923" s="1"/>
    </row>
    <row r="924" spans="1:8" x14ac:dyDescent="0.2">
      <c r="A924" s="1"/>
      <c r="B924" s="1"/>
      <c r="C924" s="1"/>
      <c r="D924" s="1"/>
      <c r="E924" s="1"/>
      <c r="F924" s="1"/>
      <c r="G924" s="1"/>
      <c r="H924" s="1"/>
    </row>
    <row r="925" spans="1:8" x14ac:dyDescent="0.2">
      <c r="A925" s="1"/>
      <c r="B925" s="1"/>
      <c r="C925" s="1"/>
      <c r="D925" s="1"/>
      <c r="E925" s="1"/>
      <c r="F925" s="1"/>
      <c r="G925" s="1"/>
      <c r="H925" s="1"/>
    </row>
    <row r="926" spans="1:8" x14ac:dyDescent="0.2">
      <c r="A926" s="1"/>
      <c r="B926" s="1"/>
      <c r="C926" s="1"/>
      <c r="D926" s="1"/>
      <c r="E926" s="1"/>
      <c r="F926" s="1"/>
      <c r="G926" s="1"/>
      <c r="H926" s="1"/>
    </row>
    <row r="927" spans="1:8" x14ac:dyDescent="0.2">
      <c r="A927" s="1"/>
      <c r="B927" s="1"/>
      <c r="C927" s="1"/>
      <c r="D927" s="1"/>
      <c r="E927" s="1"/>
      <c r="F927" s="1"/>
      <c r="G927" s="1"/>
      <c r="H927" s="1"/>
    </row>
    <row r="928" spans="1:8" x14ac:dyDescent="0.2">
      <c r="A928" s="1"/>
      <c r="B928" s="1"/>
      <c r="C928" s="1"/>
      <c r="D928" s="1"/>
      <c r="E928" s="1"/>
      <c r="F928" s="1"/>
      <c r="G928" s="1"/>
      <c r="H928" s="1"/>
    </row>
    <row r="929" spans="1:8" x14ac:dyDescent="0.2">
      <c r="A929" s="1"/>
      <c r="B929" s="1"/>
      <c r="C929" s="1"/>
      <c r="D929" s="1"/>
      <c r="E929" s="1"/>
      <c r="F929" s="1"/>
      <c r="G929" s="1"/>
      <c r="H929" s="1"/>
    </row>
    <row r="930" spans="1:8" x14ac:dyDescent="0.2">
      <c r="A930" s="1"/>
      <c r="B930" s="1"/>
      <c r="C930" s="1"/>
      <c r="D930" s="1"/>
      <c r="E930" s="1"/>
      <c r="F930" s="1"/>
      <c r="G930" s="1"/>
      <c r="H930" s="1"/>
    </row>
    <row r="931" spans="1:8" x14ac:dyDescent="0.2">
      <c r="A931" s="1"/>
      <c r="B931" s="1"/>
      <c r="C931" s="1"/>
      <c r="D931" s="1"/>
      <c r="E931" s="1"/>
      <c r="F931" s="1"/>
      <c r="G931" s="1"/>
      <c r="H931" s="1"/>
    </row>
    <row r="932" spans="1:8" x14ac:dyDescent="0.2">
      <c r="A932" s="1"/>
      <c r="B932" s="1"/>
      <c r="C932" s="1"/>
      <c r="D932" s="1"/>
      <c r="E932" s="1"/>
      <c r="F932" s="1"/>
      <c r="G932" s="1"/>
      <c r="H932" s="1"/>
    </row>
    <row r="933" spans="1:8" x14ac:dyDescent="0.2">
      <c r="A933" s="1"/>
      <c r="B933" s="1"/>
      <c r="C933" s="1"/>
      <c r="D933" s="1"/>
      <c r="E933" s="1"/>
      <c r="F933" s="1"/>
      <c r="G933" s="1"/>
      <c r="H933" s="1"/>
    </row>
    <row r="934" spans="1:8" x14ac:dyDescent="0.2">
      <c r="A934" s="1"/>
      <c r="B934" s="1"/>
      <c r="C934" s="1"/>
      <c r="D934" s="1"/>
      <c r="E934" s="1"/>
      <c r="F934" s="1"/>
      <c r="G934" s="1"/>
      <c r="H934" s="1"/>
    </row>
    <row r="935" spans="1:8" x14ac:dyDescent="0.2">
      <c r="A935" s="1"/>
      <c r="B935" s="1"/>
      <c r="C935" s="1"/>
      <c r="D935" s="1"/>
      <c r="E935" s="1"/>
      <c r="F935" s="1"/>
      <c r="G935" s="1"/>
      <c r="H935" s="1"/>
    </row>
    <row r="936" spans="1:8" x14ac:dyDescent="0.2">
      <c r="A936" s="1"/>
      <c r="B936" s="1"/>
      <c r="C936" s="1"/>
      <c r="D936" s="1"/>
      <c r="E936" s="1"/>
      <c r="F936" s="1"/>
      <c r="G936" s="1"/>
      <c r="H936" s="1"/>
    </row>
    <row r="937" spans="1:8" x14ac:dyDescent="0.2">
      <c r="A937" s="1"/>
      <c r="B937" s="1"/>
      <c r="C937" s="1"/>
      <c r="D937" s="1"/>
      <c r="E937" s="1"/>
      <c r="F937" s="1"/>
      <c r="G937" s="1"/>
      <c r="H937" s="1"/>
    </row>
    <row r="938" spans="1:8" x14ac:dyDescent="0.2">
      <c r="A938" s="1"/>
      <c r="B938" s="1"/>
      <c r="C938" s="1"/>
      <c r="D938" s="1"/>
      <c r="E938" s="1"/>
      <c r="F938" s="1"/>
      <c r="G938" s="1"/>
      <c r="H938" s="1"/>
    </row>
    <row r="939" spans="1:8" x14ac:dyDescent="0.2">
      <c r="A939" s="1"/>
      <c r="B939" s="1"/>
      <c r="C939" s="1"/>
      <c r="D939" s="1"/>
      <c r="E939" s="1"/>
      <c r="F939" s="1"/>
      <c r="G939" s="1"/>
      <c r="H939" s="1"/>
    </row>
    <row r="940" spans="1:8" x14ac:dyDescent="0.2">
      <c r="A940" s="1"/>
      <c r="B940" s="1"/>
      <c r="C940" s="1"/>
      <c r="D940" s="1"/>
      <c r="E940" s="1"/>
      <c r="F940" s="1"/>
      <c r="G940" s="1"/>
      <c r="H940" s="1"/>
    </row>
    <row r="941" spans="1:8" x14ac:dyDescent="0.2">
      <c r="A941" s="1"/>
      <c r="B941" s="1"/>
      <c r="C941" s="1"/>
      <c r="D941" s="1"/>
      <c r="E941" s="1"/>
      <c r="F941" s="1"/>
      <c r="G941" s="1"/>
      <c r="H941" s="1"/>
    </row>
    <row r="942" spans="1:8" x14ac:dyDescent="0.2">
      <c r="A942" s="1"/>
      <c r="B942" s="1"/>
      <c r="C942" s="1"/>
      <c r="D942" s="1"/>
      <c r="E942" s="1"/>
      <c r="F942" s="1"/>
      <c r="G942" s="1"/>
      <c r="H942" s="1"/>
    </row>
    <row r="943" spans="1:8" x14ac:dyDescent="0.2">
      <c r="A943" s="1"/>
      <c r="B943" s="1"/>
      <c r="C943" s="1"/>
      <c r="D943" s="1"/>
      <c r="E943" s="1"/>
      <c r="F943" s="1"/>
      <c r="G943" s="1"/>
      <c r="H943" s="1"/>
    </row>
    <row r="944" spans="1:8" x14ac:dyDescent="0.2">
      <c r="A944" s="1"/>
      <c r="B944" s="1"/>
      <c r="C944" s="1"/>
      <c r="D944" s="1"/>
      <c r="E944" s="1"/>
      <c r="F944" s="1"/>
      <c r="G944" s="1"/>
      <c r="H944" s="1"/>
    </row>
    <row r="945" spans="1:8" x14ac:dyDescent="0.2">
      <c r="A945" s="1"/>
      <c r="B945" s="1"/>
      <c r="C945" s="1"/>
      <c r="D945" s="1"/>
      <c r="E945" s="1"/>
      <c r="F945" s="1"/>
      <c r="G945" s="1"/>
      <c r="H945" s="1"/>
    </row>
    <row r="946" spans="1:8" x14ac:dyDescent="0.2">
      <c r="A946" s="1"/>
      <c r="B946" s="1"/>
      <c r="C946" s="1"/>
      <c r="D946" s="1"/>
      <c r="E946" s="1"/>
      <c r="F946" s="1"/>
      <c r="G946" s="1"/>
      <c r="H946" s="1"/>
    </row>
    <row r="947" spans="1:8" x14ac:dyDescent="0.2">
      <c r="A947" s="1"/>
      <c r="B947" s="1"/>
      <c r="C947" s="1"/>
      <c r="D947" s="1"/>
      <c r="E947" s="1"/>
      <c r="F947" s="1"/>
      <c r="G947" s="1"/>
      <c r="H947" s="1"/>
    </row>
    <row r="948" spans="1:8" x14ac:dyDescent="0.2">
      <c r="A948" s="1"/>
      <c r="B948" s="1"/>
      <c r="C948" s="1"/>
      <c r="D948" s="1"/>
      <c r="E948" s="1"/>
      <c r="F948" s="1"/>
      <c r="G948" s="1"/>
      <c r="H948" s="1"/>
    </row>
    <row r="949" spans="1:8" x14ac:dyDescent="0.2">
      <c r="A949" s="1"/>
      <c r="B949" s="1"/>
      <c r="C949" s="1"/>
      <c r="D949" s="1"/>
      <c r="E949" s="1"/>
      <c r="F949" s="1"/>
      <c r="G949" s="1"/>
      <c r="H949" s="1"/>
    </row>
    <row r="950" spans="1:8" x14ac:dyDescent="0.2">
      <c r="A950" s="1"/>
      <c r="B950" s="1"/>
      <c r="C950" s="1"/>
      <c r="D950" s="1"/>
      <c r="E950" s="1"/>
      <c r="F950" s="1"/>
      <c r="G950" s="1"/>
      <c r="H950" s="1"/>
    </row>
    <row r="951" spans="1:8" x14ac:dyDescent="0.2">
      <c r="A951" s="1"/>
      <c r="B951" s="1"/>
      <c r="C951" s="1"/>
      <c r="D951" s="1"/>
      <c r="E951" s="1"/>
      <c r="F951" s="1"/>
      <c r="G951" s="1"/>
      <c r="H951" s="1"/>
    </row>
    <row r="952" spans="1:8" x14ac:dyDescent="0.2">
      <c r="A952" s="1"/>
      <c r="B952" s="1"/>
      <c r="C952" s="1"/>
      <c r="D952" s="1"/>
      <c r="E952" s="1"/>
      <c r="F952" s="1"/>
      <c r="G952" s="1"/>
      <c r="H952" s="1"/>
    </row>
    <row r="953" spans="1:8" x14ac:dyDescent="0.2">
      <c r="A953" s="1"/>
      <c r="B953" s="1"/>
      <c r="C953" s="1"/>
      <c r="D953" s="1"/>
      <c r="E953" s="1"/>
      <c r="F953" s="1"/>
      <c r="G953" s="1"/>
      <c r="H953" s="1"/>
    </row>
    <row r="954" spans="1:8" x14ac:dyDescent="0.2">
      <c r="A954" s="1"/>
      <c r="B954" s="1"/>
      <c r="C954" s="1"/>
      <c r="D954" s="1"/>
      <c r="E954" s="1"/>
      <c r="F954" s="1"/>
      <c r="G954" s="1"/>
      <c r="H954" s="1"/>
    </row>
    <row r="955" spans="1:8" x14ac:dyDescent="0.2">
      <c r="A955" s="1"/>
      <c r="B955" s="1"/>
      <c r="C955" s="1"/>
      <c r="D955" s="1"/>
      <c r="E955" s="1"/>
      <c r="F955" s="1"/>
      <c r="G955" s="1"/>
      <c r="H955" s="1"/>
    </row>
    <row r="956" spans="1:8" x14ac:dyDescent="0.2">
      <c r="A956" s="1"/>
      <c r="B956" s="1"/>
      <c r="C956" s="1"/>
      <c r="D956" s="1"/>
      <c r="E956" s="1"/>
      <c r="F956" s="1"/>
      <c r="G956" s="1"/>
      <c r="H956" s="1"/>
    </row>
    <row r="957" spans="1:8" x14ac:dyDescent="0.2">
      <c r="A957" s="1"/>
      <c r="B957" s="1"/>
      <c r="C957" s="1"/>
      <c r="D957" s="1"/>
      <c r="E957" s="1"/>
      <c r="F957" s="1"/>
      <c r="G957" s="1"/>
      <c r="H957" s="1"/>
    </row>
    <row r="958" spans="1:8" x14ac:dyDescent="0.2">
      <c r="A958" s="1"/>
      <c r="B958" s="1"/>
      <c r="C958" s="1"/>
      <c r="D958" s="1"/>
      <c r="E958" s="1"/>
      <c r="F958" s="1"/>
      <c r="G958" s="1"/>
      <c r="H958" s="1"/>
    </row>
    <row r="959" spans="1:8" x14ac:dyDescent="0.2">
      <c r="A959" s="1"/>
      <c r="B959" s="1"/>
      <c r="C959" s="1"/>
      <c r="D959" s="1"/>
      <c r="E959" s="1"/>
      <c r="F959" s="1"/>
      <c r="G959" s="1"/>
      <c r="H959" s="1"/>
    </row>
    <row r="960" spans="1:8" x14ac:dyDescent="0.2">
      <c r="A960" s="1"/>
      <c r="B960" s="1"/>
      <c r="C960" s="1"/>
      <c r="D960" s="1"/>
      <c r="E960" s="1"/>
      <c r="F960" s="1"/>
      <c r="G960" s="1"/>
      <c r="H960" s="1"/>
    </row>
    <row r="961" spans="1:8" x14ac:dyDescent="0.2">
      <c r="A961" s="1"/>
      <c r="B961" s="1"/>
      <c r="C961" s="1"/>
      <c r="D961" s="1"/>
      <c r="E961" s="1"/>
      <c r="F961" s="1"/>
      <c r="G961" s="1"/>
      <c r="H961" s="1"/>
    </row>
    <row r="962" spans="1:8" x14ac:dyDescent="0.2">
      <c r="A962" s="1"/>
      <c r="B962" s="1"/>
      <c r="C962" s="1"/>
      <c r="D962" s="1"/>
      <c r="E962" s="1"/>
      <c r="F962" s="1"/>
      <c r="G962" s="1"/>
      <c r="H962" s="1"/>
    </row>
    <row r="963" spans="1:8" x14ac:dyDescent="0.2">
      <c r="A963" s="1"/>
      <c r="B963" s="1"/>
      <c r="C963" s="1"/>
      <c r="D963" s="1"/>
      <c r="E963" s="1"/>
      <c r="F963" s="1"/>
      <c r="G963" s="1"/>
      <c r="H963" s="1"/>
    </row>
    <row r="964" spans="1:8" x14ac:dyDescent="0.2">
      <c r="A964" s="1"/>
      <c r="B964" s="1"/>
      <c r="C964" s="1"/>
      <c r="D964" s="1"/>
      <c r="E964" s="1"/>
      <c r="F964" s="1"/>
      <c r="G964" s="1"/>
      <c r="H964" s="1"/>
    </row>
    <row r="965" spans="1:8" x14ac:dyDescent="0.2">
      <c r="A965" s="1"/>
      <c r="B965" s="1"/>
      <c r="C965" s="1"/>
      <c r="D965" s="1"/>
      <c r="E965" s="1"/>
      <c r="F965" s="1"/>
      <c r="G965" s="1"/>
      <c r="H965" s="1"/>
    </row>
    <row r="966" spans="1:8" x14ac:dyDescent="0.2">
      <c r="A966" s="1"/>
      <c r="B966" s="1"/>
      <c r="C966" s="1"/>
      <c r="D966" s="1"/>
      <c r="E966" s="1"/>
      <c r="F966" s="1"/>
      <c r="G966" s="1"/>
      <c r="H966" s="1"/>
    </row>
    <row r="967" spans="1:8" x14ac:dyDescent="0.2">
      <c r="A967" s="1"/>
      <c r="B967" s="1"/>
      <c r="C967" s="1"/>
      <c r="D967" s="1"/>
      <c r="E967" s="1"/>
      <c r="F967" s="1"/>
      <c r="G967" s="1"/>
      <c r="H967" s="1"/>
    </row>
    <row r="968" spans="1:8" x14ac:dyDescent="0.2">
      <c r="A968" s="1"/>
      <c r="B968" s="1"/>
      <c r="C968" s="1"/>
      <c r="D968" s="1"/>
      <c r="E968" s="1"/>
      <c r="F968" s="1"/>
      <c r="G968" s="1"/>
      <c r="H968" s="1"/>
    </row>
    <row r="969" spans="1:8" x14ac:dyDescent="0.2">
      <c r="A969" s="1"/>
      <c r="B969" s="1"/>
      <c r="C969" s="1"/>
      <c r="D969" s="1"/>
      <c r="E969" s="1"/>
      <c r="F969" s="1"/>
      <c r="G969" s="1"/>
      <c r="H969" s="1"/>
    </row>
    <row r="970" spans="1:8" x14ac:dyDescent="0.2">
      <c r="A970" s="1"/>
      <c r="B970" s="1"/>
      <c r="C970" s="1"/>
      <c r="D970" s="1"/>
      <c r="E970" s="1"/>
      <c r="F970" s="1"/>
      <c r="G970" s="1"/>
      <c r="H970" s="1"/>
    </row>
    <row r="971" spans="1:8" x14ac:dyDescent="0.2">
      <c r="A971" s="1"/>
      <c r="B971" s="1"/>
      <c r="C971" s="1"/>
      <c r="D971" s="1"/>
      <c r="E971" s="1"/>
      <c r="F971" s="1"/>
      <c r="G971" s="1"/>
      <c r="H971" s="1"/>
    </row>
    <row r="972" spans="1:8" x14ac:dyDescent="0.2">
      <c r="A972" s="1"/>
      <c r="B972" s="1"/>
      <c r="C972" s="1"/>
      <c r="D972" s="1"/>
      <c r="E972" s="1"/>
      <c r="F972" s="1"/>
      <c r="G972" s="1"/>
      <c r="H972" s="1"/>
    </row>
    <row r="973" spans="1:8" x14ac:dyDescent="0.2">
      <c r="A973" s="1"/>
      <c r="B973" s="1"/>
      <c r="C973" s="1"/>
      <c r="D973" s="1"/>
      <c r="E973" s="1"/>
      <c r="F973" s="1"/>
      <c r="G973" s="1"/>
      <c r="H973" s="1"/>
    </row>
    <row r="974" spans="1:8" x14ac:dyDescent="0.2">
      <c r="A974" s="1"/>
      <c r="B974" s="1"/>
      <c r="C974" s="1"/>
      <c r="D974" s="1"/>
      <c r="E974" s="1"/>
      <c r="F974" s="1"/>
      <c r="G974" s="1"/>
      <c r="H974" s="1"/>
    </row>
    <row r="975" spans="1:8" x14ac:dyDescent="0.2">
      <c r="A975" s="1"/>
      <c r="B975" s="1"/>
      <c r="C975" s="1"/>
      <c r="D975" s="1"/>
      <c r="E975" s="1"/>
      <c r="F975" s="1"/>
      <c r="G975" s="1"/>
      <c r="H975" s="1"/>
    </row>
    <row r="976" spans="1:8" x14ac:dyDescent="0.2">
      <c r="A976" s="1"/>
      <c r="B976" s="1"/>
      <c r="C976" s="1"/>
      <c r="D976" s="1"/>
      <c r="E976" s="1"/>
      <c r="F976" s="1"/>
      <c r="G976" s="1"/>
      <c r="H976" s="1"/>
    </row>
    <row r="977" spans="1:8" x14ac:dyDescent="0.2">
      <c r="A977" s="1"/>
      <c r="B977" s="1"/>
      <c r="C977" s="1"/>
      <c r="D977" s="1"/>
      <c r="E977" s="1"/>
      <c r="F977" s="1"/>
      <c r="G977" s="1"/>
      <c r="H977" s="1"/>
    </row>
    <row r="978" spans="1:8" x14ac:dyDescent="0.2">
      <c r="A978" s="1"/>
      <c r="B978" s="1"/>
      <c r="C978" s="1"/>
      <c r="D978" s="1"/>
      <c r="E978" s="1"/>
      <c r="F978" s="1"/>
      <c r="G978" s="1"/>
      <c r="H978" s="1"/>
    </row>
    <row r="979" spans="1:8" x14ac:dyDescent="0.2">
      <c r="A979" s="1"/>
      <c r="B979" s="1"/>
      <c r="C979" s="1"/>
      <c r="D979" s="1"/>
      <c r="E979" s="1"/>
      <c r="F979" s="1"/>
      <c r="G979" s="1"/>
      <c r="H979" s="1"/>
    </row>
    <row r="980" spans="1:8" x14ac:dyDescent="0.2">
      <c r="A980" s="1"/>
      <c r="B980" s="1"/>
      <c r="C980" s="1"/>
      <c r="D980" s="1"/>
      <c r="E980" s="1"/>
      <c r="F980" s="1"/>
      <c r="G980" s="1"/>
      <c r="H980" s="1"/>
    </row>
    <row r="981" spans="1:8" x14ac:dyDescent="0.2">
      <c r="A981" s="1"/>
      <c r="B981" s="1"/>
      <c r="C981" s="1"/>
      <c r="D981" s="1"/>
      <c r="E981" s="1"/>
      <c r="F981" s="1"/>
      <c r="G981" s="1"/>
      <c r="H981" s="1"/>
    </row>
    <row r="982" spans="1:8" x14ac:dyDescent="0.2">
      <c r="A982" s="1"/>
      <c r="B982" s="1"/>
      <c r="C982" s="1"/>
      <c r="D982" s="1"/>
      <c r="E982" s="1"/>
      <c r="F982" s="1"/>
      <c r="G982" s="1"/>
      <c r="H982" s="1"/>
    </row>
    <row r="983" spans="1:8" x14ac:dyDescent="0.2">
      <c r="A983" s="1"/>
      <c r="B983" s="1"/>
      <c r="C983" s="1"/>
      <c r="D983" s="1"/>
      <c r="E983" s="1"/>
      <c r="F983" s="1"/>
      <c r="G983" s="1"/>
      <c r="H983" s="1"/>
    </row>
    <row r="984" spans="1:8" x14ac:dyDescent="0.2">
      <c r="A984" s="1"/>
      <c r="B984" s="1"/>
      <c r="C984" s="1"/>
      <c r="D984" s="1"/>
      <c r="E984" s="1"/>
      <c r="F984" s="1"/>
      <c r="G984" s="1"/>
      <c r="H984" s="1"/>
    </row>
    <row r="985" spans="1:8" x14ac:dyDescent="0.2">
      <c r="A985" s="1"/>
      <c r="B985" s="1"/>
      <c r="C985" s="1"/>
      <c r="D985" s="1"/>
      <c r="E985" s="1"/>
      <c r="F985" s="1"/>
      <c r="G985" s="1"/>
      <c r="H985" s="1"/>
    </row>
    <row r="986" spans="1:8" x14ac:dyDescent="0.2">
      <c r="A986" s="1"/>
      <c r="B986" s="1"/>
      <c r="C986" s="1"/>
      <c r="D986" s="1"/>
      <c r="E986" s="1"/>
      <c r="F986" s="1"/>
      <c r="G986" s="1"/>
      <c r="H986" s="1"/>
    </row>
    <row r="987" spans="1:8" x14ac:dyDescent="0.2">
      <c r="A987" s="1"/>
      <c r="B987" s="1"/>
      <c r="C987" s="1"/>
      <c r="D987" s="1"/>
      <c r="E987" s="1"/>
      <c r="F987" s="1"/>
      <c r="G987" s="1"/>
      <c r="H987" s="1"/>
    </row>
    <row r="988" spans="1:8" x14ac:dyDescent="0.2">
      <c r="A988" s="1"/>
      <c r="B988" s="1"/>
      <c r="C988" s="1"/>
      <c r="D988" s="1"/>
      <c r="E988" s="1"/>
      <c r="F988" s="1"/>
      <c r="G988" s="1"/>
      <c r="H988" s="1"/>
    </row>
    <row r="989" spans="1:8" x14ac:dyDescent="0.2">
      <c r="A989" s="1"/>
      <c r="B989" s="1"/>
      <c r="C989" s="1"/>
      <c r="D989" s="1"/>
      <c r="E989" s="1"/>
      <c r="F989" s="1"/>
      <c r="G989" s="1"/>
      <c r="H989" s="1"/>
    </row>
    <row r="990" spans="1:8" x14ac:dyDescent="0.2">
      <c r="A990" s="1"/>
      <c r="B990" s="1"/>
      <c r="C990" s="1"/>
      <c r="D990" s="1"/>
      <c r="E990" s="1"/>
      <c r="F990" s="1"/>
      <c r="G990" s="1"/>
      <c r="H990" s="1"/>
    </row>
    <row r="991" spans="1:8" x14ac:dyDescent="0.2">
      <c r="A991" s="1"/>
      <c r="B991" s="1"/>
      <c r="C991" s="1"/>
      <c r="D991" s="1"/>
      <c r="E991" s="1"/>
      <c r="F991" s="1"/>
      <c r="G991" s="1"/>
      <c r="H991" s="1"/>
    </row>
    <row r="992" spans="1:8" x14ac:dyDescent="0.2">
      <c r="A992" s="1"/>
      <c r="B992" s="1"/>
      <c r="C992" s="1"/>
      <c r="D992" s="1"/>
      <c r="E992" s="1"/>
      <c r="F992" s="1"/>
      <c r="G992" s="1"/>
      <c r="H992" s="1"/>
    </row>
    <row r="993" spans="1:8" x14ac:dyDescent="0.2">
      <c r="A993" s="1"/>
      <c r="B993" s="1"/>
      <c r="C993" s="1"/>
      <c r="D993" s="1"/>
      <c r="E993" s="1"/>
      <c r="F993" s="1"/>
      <c r="G993" s="1"/>
      <c r="H993" s="1"/>
    </row>
  </sheetData>
  <pageMargins left="0.75" right="0.75" top="0.5" bottom="0.12" header="0.5" footer="0.5"/>
  <pageSetup scale="97" fitToHeight="3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42"/>
  <sheetViews>
    <sheetView zoomScaleSheetLayoutView="90" workbookViewId="0">
      <selection activeCell="H63" sqref="H63"/>
    </sheetView>
  </sheetViews>
  <sheetFormatPr defaultRowHeight="12.75" x14ac:dyDescent="0.2"/>
  <cols>
    <col min="1" max="1" width="5.28515625" style="1" customWidth="1"/>
    <col min="2" max="2" width="1.28515625" style="1" customWidth="1"/>
    <col min="3" max="3" width="43.5703125" style="1" bestFit="1" customWidth="1"/>
    <col min="4" max="4" width="1.140625" style="1" customWidth="1"/>
    <col min="5" max="5" width="16.42578125" style="1" bestFit="1" customWidth="1"/>
    <col min="6" max="6" width="1.42578125" style="1" customWidth="1"/>
    <col min="7" max="7" width="15.28515625" style="1" bestFit="1" customWidth="1"/>
    <col min="8" max="8" width="1.42578125" style="1" customWidth="1"/>
    <col min="9" max="9" width="16.28515625" style="1" bestFit="1" customWidth="1"/>
    <col min="10" max="10" width="1.28515625" style="1" customWidth="1"/>
    <col min="11" max="11" width="15.140625" style="1" bestFit="1" customWidth="1"/>
    <col min="12" max="12" width="1.42578125" style="1" customWidth="1"/>
    <col min="13" max="13" width="16.28515625" style="1" bestFit="1" customWidth="1"/>
    <col min="14" max="14" width="2.85546875" style="1" customWidth="1"/>
    <col min="15" max="15" width="13.7109375" style="1" customWidth="1"/>
    <col min="16" max="16" width="2.7109375" style="1" customWidth="1"/>
    <col min="17" max="17" width="14.140625" style="1" bestFit="1" customWidth="1"/>
    <col min="18" max="18" width="2.42578125" style="1" customWidth="1"/>
    <col min="19" max="19" width="12.5703125" style="1" bestFit="1" customWidth="1"/>
    <col min="20" max="20" width="13" style="1" bestFit="1" customWidth="1"/>
    <col min="21" max="21" width="3.28515625" style="1" customWidth="1"/>
    <col min="22" max="22" width="12.85546875" style="1" bestFit="1" customWidth="1"/>
    <col min="23" max="24" width="9.140625" style="1"/>
    <col min="25" max="25" width="24" style="1" bestFit="1" customWidth="1"/>
    <col min="26" max="26" width="14.42578125" style="1" bestFit="1" customWidth="1"/>
    <col min="27" max="27" width="13.7109375" style="1" bestFit="1" customWidth="1"/>
    <col min="28" max="28" width="2.85546875" style="1" customWidth="1"/>
    <col min="29" max="29" width="12" style="1" bestFit="1" customWidth="1"/>
    <col min="30" max="16384" width="9.140625" style="1"/>
  </cols>
  <sheetData>
    <row r="1" spans="1:30" x14ac:dyDescent="0.2">
      <c r="A1" s="1" t="str">
        <f>Contents!A1</f>
        <v>Kentucky Utilities Company</v>
      </c>
      <c r="I1" s="10"/>
      <c r="K1" s="10"/>
      <c r="M1" s="10" t="str">
        <f>Contents!$S$4</f>
        <v>Exhibit RCS-1</v>
      </c>
    </row>
    <row r="2" spans="1:30" x14ac:dyDescent="0.2">
      <c r="A2" s="1" t="s">
        <v>79</v>
      </c>
      <c r="I2" s="10"/>
      <c r="K2" s="10"/>
      <c r="M2" s="10" t="s">
        <v>101</v>
      </c>
    </row>
    <row r="3" spans="1:30" x14ac:dyDescent="0.2">
      <c r="A3" s="41"/>
      <c r="I3" s="10"/>
      <c r="K3" s="10"/>
      <c r="M3" s="10" t="str">
        <f>A!$K$3</f>
        <v>Case No. 2016-00370</v>
      </c>
    </row>
    <row r="4" spans="1:30" x14ac:dyDescent="0.2">
      <c r="A4" s="1" t="s">
        <v>328</v>
      </c>
      <c r="I4" s="10"/>
      <c r="K4" s="10"/>
      <c r="M4" s="10" t="s">
        <v>37</v>
      </c>
    </row>
    <row r="5" spans="1:30" x14ac:dyDescent="0.2">
      <c r="I5" s="10"/>
      <c r="K5" s="10"/>
    </row>
    <row r="6" spans="1:30" x14ac:dyDescent="0.2">
      <c r="G6" s="277" t="s">
        <v>158</v>
      </c>
      <c r="H6" s="278"/>
      <c r="I6" s="278"/>
      <c r="J6" s="134"/>
      <c r="K6" s="275"/>
      <c r="L6" s="275"/>
      <c r="M6" s="276"/>
    </row>
    <row r="7" spans="1:30" x14ac:dyDescent="0.2">
      <c r="K7" s="3" t="s">
        <v>75</v>
      </c>
      <c r="M7" s="3" t="s">
        <v>66</v>
      </c>
    </row>
    <row r="8" spans="1:30" x14ac:dyDescent="0.2">
      <c r="A8" s="1" t="s">
        <v>0</v>
      </c>
      <c r="E8" s="3" t="s">
        <v>5</v>
      </c>
      <c r="F8" s="3"/>
      <c r="G8" s="3" t="s">
        <v>160</v>
      </c>
      <c r="H8" s="3"/>
      <c r="I8" s="3" t="s">
        <v>5</v>
      </c>
      <c r="K8" s="3" t="s">
        <v>76</v>
      </c>
      <c r="M8" s="3" t="s">
        <v>67</v>
      </c>
      <c r="Y8" s="1" t="s">
        <v>127</v>
      </c>
    </row>
    <row r="9" spans="1:30" x14ac:dyDescent="0.2">
      <c r="A9" s="2" t="s">
        <v>2</v>
      </c>
      <c r="C9" s="2" t="s">
        <v>3</v>
      </c>
      <c r="E9" s="11" t="s">
        <v>45</v>
      </c>
      <c r="F9" s="3"/>
      <c r="G9" s="11" t="s">
        <v>4</v>
      </c>
      <c r="H9" s="3"/>
      <c r="I9" s="11" t="s">
        <v>160</v>
      </c>
      <c r="K9" s="11" t="s">
        <v>173</v>
      </c>
      <c r="M9" s="11" t="s">
        <v>77</v>
      </c>
      <c r="T9" s="4" t="e">
        <f>A!#REF!</f>
        <v>#REF!</v>
      </c>
    </row>
    <row r="10" spans="1:30" x14ac:dyDescent="0.2">
      <c r="E10" s="3" t="s">
        <v>6</v>
      </c>
      <c r="F10" s="3"/>
      <c r="G10" s="3" t="s">
        <v>7</v>
      </c>
      <c r="H10" s="3"/>
      <c r="I10" s="3" t="s">
        <v>8</v>
      </c>
      <c r="K10" s="3" t="s">
        <v>38</v>
      </c>
      <c r="L10" s="3"/>
      <c r="M10" s="3" t="s">
        <v>50</v>
      </c>
      <c r="Q10" s="1" t="s">
        <v>176</v>
      </c>
      <c r="T10" s="1" t="s">
        <v>66</v>
      </c>
      <c r="Y10" s="1" t="s">
        <v>124</v>
      </c>
      <c r="Z10" s="1" t="s">
        <v>125</v>
      </c>
      <c r="AA10" s="1" t="s">
        <v>126</v>
      </c>
    </row>
    <row r="11" spans="1:30" x14ac:dyDescent="0.2">
      <c r="C11" s="14" t="s">
        <v>48</v>
      </c>
      <c r="Q11" s="1" t="s">
        <v>177</v>
      </c>
      <c r="S11" s="1" t="s">
        <v>161</v>
      </c>
      <c r="T11" s="1" t="s">
        <v>173</v>
      </c>
    </row>
    <row r="12" spans="1:30" x14ac:dyDescent="0.2">
      <c r="A12" s="3">
        <v>1</v>
      </c>
      <c r="C12" s="107" t="s">
        <v>277</v>
      </c>
      <c r="E12" s="4">
        <v>1453880950</v>
      </c>
      <c r="G12" s="4">
        <f>C.1!E10</f>
        <v>0</v>
      </c>
      <c r="I12" s="4">
        <f>E12+G12</f>
        <v>1453880950</v>
      </c>
      <c r="K12" s="44">
        <f>'A-1'!G33</f>
        <v>25086238.378990967</v>
      </c>
      <c r="M12" s="4">
        <f>I12+K12</f>
        <v>1478967188.3789909</v>
      </c>
      <c r="Q12" s="44">
        <f>I12</f>
        <v>1453880950</v>
      </c>
      <c r="S12" s="92">
        <f>Q12/$Q$14</f>
        <v>1</v>
      </c>
      <c r="T12" s="4" t="e">
        <f>ROUND($T$9*S12,0)</f>
        <v>#REF!</v>
      </c>
      <c r="Y12" s="44">
        <f>Q12-M12</f>
        <v>-25086238.378990889</v>
      </c>
      <c r="Z12" s="44">
        <f>O12-K12</f>
        <v>-25086238.378990967</v>
      </c>
      <c r="AA12" s="44">
        <f>Z12-Y12</f>
        <v>-7.8231096267700195E-8</v>
      </c>
      <c r="AB12" s="44"/>
      <c r="AC12" s="4"/>
      <c r="AD12" s="44"/>
    </row>
    <row r="13" spans="1:30" x14ac:dyDescent="0.2">
      <c r="A13" s="3">
        <f>A12+1</f>
        <v>2</v>
      </c>
      <c r="C13" s="107" t="s">
        <v>181</v>
      </c>
      <c r="E13" s="19">
        <v>31446492</v>
      </c>
      <c r="G13" s="4">
        <f>C.1!G11</f>
        <v>0</v>
      </c>
      <c r="I13" s="4">
        <f>E13+G13</f>
        <v>31446492</v>
      </c>
      <c r="K13" s="19"/>
      <c r="L13" s="13"/>
      <c r="M13" s="4">
        <f>I13+K13</f>
        <v>31446492</v>
      </c>
      <c r="S13" s="92"/>
      <c r="Y13" s="44"/>
      <c r="Z13" s="44"/>
      <c r="AA13" s="44"/>
      <c r="AB13" s="44"/>
      <c r="AC13" s="4"/>
      <c r="AD13" s="44"/>
    </row>
    <row r="14" spans="1:30" x14ac:dyDescent="0.2">
      <c r="A14" s="3">
        <f t="shared" ref="A14" si="0">A13+1</f>
        <v>3</v>
      </c>
      <c r="C14" s="14" t="s">
        <v>151</v>
      </c>
      <c r="E14" s="49">
        <f>SUM(E12:E13)</f>
        <v>1485327442</v>
      </c>
      <c r="G14" s="49">
        <f>SUM(G12:G13)</f>
        <v>0</v>
      </c>
      <c r="I14" s="49">
        <f>SUM(I12:I13)</f>
        <v>1485327442</v>
      </c>
      <c r="K14" s="49">
        <f>SUM(K12:K13)</f>
        <v>25086238.378990967</v>
      </c>
      <c r="L14" s="13"/>
      <c r="M14" s="49">
        <f>SUM(M12:M13)</f>
        <v>1510413680.3789909</v>
      </c>
      <c r="Q14" s="44">
        <f>SUM(Q12:Q13)</f>
        <v>1453880950</v>
      </c>
      <c r="S14" s="92">
        <f>SUM(S12:S13)</f>
        <v>1</v>
      </c>
      <c r="T14" s="44" t="e">
        <f>SUM(T12:T13)</f>
        <v>#REF!</v>
      </c>
      <c r="Y14" s="44"/>
      <c r="Z14" s="44"/>
      <c r="AA14" s="44"/>
      <c r="AB14" s="44"/>
      <c r="AC14" s="4"/>
      <c r="AD14" s="44"/>
    </row>
    <row r="15" spans="1:30" x14ac:dyDescent="0.2">
      <c r="A15" s="3"/>
      <c r="E15" s="19"/>
      <c r="G15" s="19"/>
      <c r="I15" s="40"/>
      <c r="K15" s="19"/>
      <c r="L15" s="13"/>
      <c r="M15" s="19"/>
      <c r="Y15" s="44"/>
      <c r="Z15" s="44"/>
      <c r="AA15" s="44"/>
      <c r="AB15" s="44"/>
      <c r="AC15" s="4"/>
      <c r="AD15" s="44"/>
    </row>
    <row r="16" spans="1:30" x14ac:dyDescent="0.2">
      <c r="A16" s="3"/>
      <c r="C16" s="14" t="s">
        <v>152</v>
      </c>
      <c r="E16" s="19"/>
      <c r="G16" s="19"/>
      <c r="I16" s="4">
        <f>E16+G16</f>
        <v>0</v>
      </c>
      <c r="K16" s="19"/>
      <c r="L16" s="13"/>
      <c r="M16" s="19"/>
      <c r="Y16" s="44"/>
      <c r="Z16" s="44"/>
      <c r="AA16" s="44"/>
      <c r="AB16" s="44"/>
      <c r="AC16" s="4"/>
      <c r="AD16" s="44"/>
    </row>
    <row r="17" spans="1:30" x14ac:dyDescent="0.2">
      <c r="A17" s="94">
        <f>A14+1</f>
        <v>4</v>
      </c>
      <c r="C17" s="1" t="s">
        <v>278</v>
      </c>
      <c r="E17" s="19">
        <v>932936123</v>
      </c>
      <c r="G17" s="4">
        <f>C.1!E15</f>
        <v>-14199070.875999998</v>
      </c>
      <c r="I17" s="4">
        <f t="shared" ref="I17:I23" si="1">E17+G17</f>
        <v>918737052.12399995</v>
      </c>
      <c r="K17" s="19">
        <f>'A-1'!$G$35+'A-1'!$G$36</f>
        <v>128968</v>
      </c>
      <c r="L17" s="13"/>
      <c r="M17" s="4">
        <f>I17+K17</f>
        <v>918866020.12399995</v>
      </c>
      <c r="Y17" s="44"/>
      <c r="Z17" s="44"/>
      <c r="AA17" s="44"/>
      <c r="AB17" s="44"/>
      <c r="AC17" s="4"/>
      <c r="AD17" s="44"/>
    </row>
    <row r="18" spans="1:30" x14ac:dyDescent="0.2">
      <c r="A18" s="94">
        <f t="shared" ref="A18:A19" si="2">A17+1</f>
        <v>5</v>
      </c>
      <c r="C18" s="1" t="s">
        <v>279</v>
      </c>
      <c r="E18" s="19">
        <v>228062837</v>
      </c>
      <c r="G18" s="4">
        <f>C.1!E16</f>
        <v>-832990</v>
      </c>
      <c r="I18" s="4">
        <f t="shared" si="1"/>
        <v>227229847</v>
      </c>
      <c r="K18" s="19"/>
      <c r="L18" s="13"/>
      <c r="M18" s="4">
        <f>I18+K18</f>
        <v>227229847</v>
      </c>
      <c r="Y18" s="44"/>
      <c r="Z18" s="44"/>
      <c r="AA18" s="44"/>
      <c r="AB18" s="44"/>
      <c r="AC18" s="4"/>
      <c r="AD18" s="44"/>
    </row>
    <row r="19" spans="1:30" x14ac:dyDescent="0.2">
      <c r="A19" s="99">
        <f t="shared" si="2"/>
        <v>6</v>
      </c>
      <c r="C19" s="1" t="s">
        <v>280</v>
      </c>
      <c r="E19" s="19">
        <v>0</v>
      </c>
      <c r="G19" s="4">
        <f>C.1!E17</f>
        <v>0</v>
      </c>
      <c r="I19" s="4">
        <f t="shared" si="1"/>
        <v>0</v>
      </c>
      <c r="K19" s="19"/>
      <c r="L19" s="13"/>
      <c r="M19" s="4">
        <f>I19+K19</f>
        <v>0</v>
      </c>
      <c r="Y19" s="44"/>
      <c r="Z19" s="44"/>
      <c r="AA19" s="44"/>
      <c r="AB19" s="44"/>
      <c r="AC19" s="4"/>
      <c r="AD19" s="44"/>
    </row>
    <row r="20" spans="1:30" x14ac:dyDescent="0.2">
      <c r="A20" s="99">
        <f>A19+1</f>
        <v>7</v>
      </c>
      <c r="C20" s="1" t="s">
        <v>201</v>
      </c>
      <c r="E20" s="19">
        <v>37820875</v>
      </c>
      <c r="G20" s="4">
        <f>C.1!E18</f>
        <v>-106876</v>
      </c>
      <c r="I20" s="4">
        <f t="shared" si="1"/>
        <v>37713999</v>
      </c>
      <c r="K20" s="19"/>
      <c r="L20" s="13"/>
      <c r="M20" s="4">
        <f t="shared" ref="M20:M23" si="3">I20+K20</f>
        <v>37713999</v>
      </c>
      <c r="Y20" s="44"/>
      <c r="Z20" s="44"/>
      <c r="AA20" s="44"/>
      <c r="AB20" s="44"/>
      <c r="AC20" s="4"/>
      <c r="AD20" s="44"/>
    </row>
    <row r="21" spans="1:30" x14ac:dyDescent="0.2">
      <c r="A21" s="99">
        <f t="shared" ref="A21:A24" si="4">A20+1</f>
        <v>8</v>
      </c>
      <c r="C21" s="1" t="s">
        <v>281</v>
      </c>
      <c r="E21" s="19">
        <v>83997067</v>
      </c>
      <c r="G21" s="4">
        <f>C.1!E19</f>
        <v>4316241.3536423258</v>
      </c>
      <c r="I21" s="4">
        <f t="shared" si="1"/>
        <v>88313308.35364233</v>
      </c>
      <c r="K21" s="19">
        <f>'A-1'!$G$37+'A-1'!$G$38</f>
        <v>9675740</v>
      </c>
      <c r="L21" s="13"/>
      <c r="M21" s="4">
        <f t="shared" si="3"/>
        <v>97989048.35364233</v>
      </c>
      <c r="Y21" s="44"/>
      <c r="Z21" s="44"/>
      <c r="AA21" s="44"/>
      <c r="AB21" s="44"/>
      <c r="AC21" s="4"/>
      <c r="AD21" s="44"/>
    </row>
    <row r="22" spans="1:30" x14ac:dyDescent="0.2">
      <c r="A22" s="99">
        <f t="shared" si="4"/>
        <v>9</v>
      </c>
      <c r="C22" s="1" t="s">
        <v>282</v>
      </c>
      <c r="E22" s="19">
        <v>0</v>
      </c>
      <c r="G22" s="4">
        <f>C.1!E20</f>
        <v>0</v>
      </c>
      <c r="I22" s="4">
        <f t="shared" si="1"/>
        <v>0</v>
      </c>
      <c r="K22" s="19"/>
      <c r="L22" s="13"/>
      <c r="M22" s="4">
        <f t="shared" si="3"/>
        <v>0</v>
      </c>
      <c r="Y22" s="44"/>
      <c r="Z22" s="44"/>
      <c r="AA22" s="44"/>
      <c r="AB22" s="44"/>
      <c r="AC22" s="4"/>
      <c r="AD22" s="44"/>
    </row>
    <row r="23" spans="1:30" x14ac:dyDescent="0.2">
      <c r="A23" s="99">
        <f t="shared" si="4"/>
        <v>10</v>
      </c>
      <c r="C23" s="1" t="s">
        <v>283</v>
      </c>
      <c r="E23" s="19">
        <v>0</v>
      </c>
      <c r="G23" s="4">
        <f>C.1!E21</f>
        <v>0</v>
      </c>
      <c r="I23" s="4">
        <f t="shared" si="1"/>
        <v>0</v>
      </c>
      <c r="K23" s="19"/>
      <c r="L23" s="13"/>
      <c r="M23" s="4">
        <f t="shared" si="3"/>
        <v>0</v>
      </c>
      <c r="Y23" s="44"/>
      <c r="Z23" s="44"/>
      <c r="AA23" s="44"/>
      <c r="AB23" s="44"/>
      <c r="AC23" s="4"/>
      <c r="AD23" s="44"/>
    </row>
    <row r="24" spans="1:30" x14ac:dyDescent="0.2">
      <c r="A24" s="99">
        <f t="shared" si="4"/>
        <v>11</v>
      </c>
      <c r="C24" s="14" t="s">
        <v>153</v>
      </c>
      <c r="E24" s="49">
        <f>SUM(E17:E23)</f>
        <v>1282816902</v>
      </c>
      <c r="G24" s="49">
        <f>SUM(G17:G23)</f>
        <v>-10822695.522357672</v>
      </c>
      <c r="I24" s="49">
        <f>SUM(I17:I23)</f>
        <v>1271994206.4776423</v>
      </c>
      <c r="K24" s="49">
        <f>SUM(K17:K23)</f>
        <v>9804708</v>
      </c>
      <c r="M24" s="49">
        <f>SUM(M17:M23)</f>
        <v>1281798914.4776423</v>
      </c>
      <c r="Y24" s="44"/>
      <c r="Z24" s="44"/>
      <c r="AA24" s="44"/>
      <c r="AB24" s="44"/>
      <c r="AC24" s="4"/>
    </row>
    <row r="25" spans="1:30" x14ac:dyDescent="0.2">
      <c r="A25" s="99"/>
      <c r="C25" s="14"/>
      <c r="E25" s="95"/>
      <c r="G25" s="95"/>
      <c r="I25" s="95"/>
      <c r="J25" s="13"/>
      <c r="K25" s="95"/>
      <c r="M25" s="95"/>
      <c r="Y25" s="44"/>
      <c r="Z25" s="44"/>
      <c r="AA25" s="44"/>
      <c r="AB25" s="44"/>
      <c r="AC25" s="4"/>
    </row>
    <row r="26" spans="1:30" ht="13.5" thickBot="1" x14ac:dyDescent="0.25">
      <c r="A26" s="94">
        <f>A24+1</f>
        <v>12</v>
      </c>
      <c r="C26" s="14" t="s">
        <v>202</v>
      </c>
      <c r="E26" s="20">
        <f>E14-E24</f>
        <v>202510540</v>
      </c>
      <c r="F26" s="13"/>
      <c r="G26" s="20">
        <f>G14-G24</f>
        <v>10822695.522357672</v>
      </c>
      <c r="H26" s="13"/>
      <c r="I26" s="20">
        <f>I14-I24</f>
        <v>213333235.5223577</v>
      </c>
      <c r="J26" s="13"/>
      <c r="K26" s="20">
        <f>K14-K24</f>
        <v>15281530.378990967</v>
      </c>
      <c r="L26" s="13"/>
      <c r="M26" s="20">
        <f>M14-M24</f>
        <v>228614765.90134859</v>
      </c>
      <c r="Y26" s="44"/>
      <c r="Z26" s="44"/>
      <c r="AA26" s="44"/>
      <c r="AB26" s="44"/>
      <c r="AC26" s="4"/>
    </row>
    <row r="27" spans="1:30" ht="13.5" thickTop="1" x14ac:dyDescent="0.2">
      <c r="A27" s="99"/>
      <c r="E27" s="19"/>
      <c r="F27" s="13"/>
      <c r="G27" s="19"/>
      <c r="H27" s="13"/>
      <c r="I27" s="19"/>
      <c r="J27" s="13"/>
      <c r="K27" s="19"/>
      <c r="L27" s="13"/>
      <c r="M27" s="19"/>
      <c r="Y27" s="44"/>
      <c r="Z27" s="44"/>
      <c r="AA27" s="44"/>
      <c r="AB27" s="44"/>
      <c r="AC27" s="4"/>
    </row>
    <row r="28" spans="1:30" ht="13.5" thickBot="1" x14ac:dyDescent="0.25">
      <c r="A28" s="94">
        <f>A26+1</f>
        <v>13</v>
      </c>
      <c r="C28" s="14" t="s">
        <v>284</v>
      </c>
      <c r="E28" s="20">
        <v>3638800730</v>
      </c>
      <c r="F28" s="13"/>
      <c r="G28" s="20">
        <f>B!G42</f>
        <v>-35496085.381439403</v>
      </c>
      <c r="H28" s="13"/>
      <c r="I28" s="20">
        <f t="shared" ref="I28" si="5">E28+G28</f>
        <v>3603304644.6185608</v>
      </c>
      <c r="J28" s="142"/>
      <c r="K28" s="20"/>
      <c r="L28" s="13"/>
      <c r="M28" s="20">
        <f t="shared" ref="M28" si="6">I28+K28</f>
        <v>3603304644.6185608</v>
      </c>
      <c r="Y28" s="44"/>
      <c r="Z28" s="44"/>
      <c r="AA28" s="44"/>
      <c r="AB28" s="44"/>
      <c r="AC28" s="4"/>
    </row>
    <row r="29" spans="1:30" ht="13.5" thickTop="1" x14ac:dyDescent="0.2">
      <c r="A29" s="99"/>
      <c r="C29" s="14"/>
      <c r="E29" s="19"/>
      <c r="F29" s="13"/>
      <c r="G29" s="19"/>
      <c r="H29" s="13"/>
      <c r="I29" s="19"/>
      <c r="J29" s="142"/>
      <c r="K29" s="19"/>
      <c r="L29" s="13"/>
      <c r="M29" s="19"/>
      <c r="Y29" s="44"/>
      <c r="Z29" s="44"/>
      <c r="AA29" s="44"/>
      <c r="AB29" s="44"/>
      <c r="AC29" s="4"/>
    </row>
    <row r="30" spans="1:30" ht="13.5" thickBot="1" x14ac:dyDescent="0.25">
      <c r="A30" s="94">
        <f>A28+1</f>
        <v>14</v>
      </c>
      <c r="C30" s="14" t="s">
        <v>285</v>
      </c>
      <c r="E30" s="143">
        <f>E26/E28</f>
        <v>5.5653099750807185E-2</v>
      </c>
      <c r="F30" s="13"/>
      <c r="G30" s="20"/>
      <c r="H30" s="13"/>
      <c r="I30" s="143">
        <f>I26/I28</f>
        <v>5.9204884560889182E-2</v>
      </c>
      <c r="J30" s="13"/>
      <c r="K30" s="20"/>
      <c r="L30" s="142"/>
      <c r="M30" s="143">
        <f>M26/M28</f>
        <v>6.3445861077213839E-2</v>
      </c>
      <c r="Y30" s="44">
        <f>Q30-M30</f>
        <v>-6.3445861077213839E-2</v>
      </c>
      <c r="Z30" s="44">
        <f>O30-K30</f>
        <v>0</v>
      </c>
      <c r="AA30" s="44">
        <f t="shared" ref="AA30" si="7">Z30-Y30</f>
        <v>6.3445861077213839E-2</v>
      </c>
      <c r="AB30" s="44"/>
      <c r="AC30" s="4"/>
      <c r="AD30" s="44"/>
    </row>
    <row r="31" spans="1:30" ht="13.5" thickTop="1" x14ac:dyDescent="0.2">
      <c r="A31" s="3"/>
      <c r="E31" s="19"/>
      <c r="F31" s="13"/>
      <c r="G31" s="19"/>
      <c r="H31" s="13"/>
      <c r="I31" s="19"/>
      <c r="J31" s="13"/>
      <c r="K31" s="13"/>
      <c r="L31" s="13"/>
      <c r="M31" s="13"/>
      <c r="S31" s="1" t="s">
        <v>117</v>
      </c>
      <c r="V31" s="1" t="s">
        <v>197</v>
      </c>
    </row>
    <row r="32" spans="1:30" ht="13.5" thickBot="1" x14ac:dyDescent="0.25">
      <c r="A32" s="3">
        <f>A30+1</f>
        <v>15</v>
      </c>
      <c r="C32" s="14" t="s">
        <v>286</v>
      </c>
      <c r="E32" s="20">
        <v>3639079760</v>
      </c>
      <c r="F32" s="13"/>
      <c r="G32" s="20">
        <f>B!G40</f>
        <v>-35496085.381439403</v>
      </c>
      <c r="H32" s="13"/>
      <c r="I32" s="43">
        <f>E32+G32</f>
        <v>3603583674.6185608</v>
      </c>
      <c r="J32" s="13"/>
      <c r="K32" s="13"/>
      <c r="L32" s="13"/>
      <c r="M32" s="43">
        <f>I32</f>
        <v>3603583674.6185608</v>
      </c>
      <c r="S32" s="1" t="s">
        <v>198</v>
      </c>
      <c r="V32" s="1" t="s">
        <v>196</v>
      </c>
    </row>
    <row r="33" spans="1:20" ht="13.5" thickTop="1" x14ac:dyDescent="0.2">
      <c r="A33" s="3"/>
      <c r="E33" s="19"/>
      <c r="F33" s="13"/>
      <c r="G33" s="13"/>
      <c r="H33" s="13"/>
      <c r="I33" s="19"/>
      <c r="J33" s="13"/>
      <c r="K33" s="13"/>
      <c r="L33" s="13"/>
      <c r="M33" s="13"/>
    </row>
    <row r="34" spans="1:20" ht="13.5" thickBot="1" x14ac:dyDescent="0.25">
      <c r="A34" s="3">
        <f>A32+1</f>
        <v>16</v>
      </c>
      <c r="C34" s="14" t="s">
        <v>55</v>
      </c>
      <c r="E34" s="66">
        <f>E26/E32</f>
        <v>5.5648832494949216E-2</v>
      </c>
      <c r="F34" s="13"/>
      <c r="G34" s="13"/>
      <c r="H34" s="13"/>
      <c r="I34" s="66">
        <f>I26/I32</f>
        <v>5.9200300252481033E-2</v>
      </c>
      <c r="J34" s="13"/>
      <c r="K34" s="13"/>
      <c r="L34" s="13"/>
      <c r="M34" s="66">
        <f>M26/M32</f>
        <v>6.3440948384679161E-2</v>
      </c>
      <c r="S34" s="106">
        <f>'D Base Period'!K20</f>
        <v>7.4337292464000004E-2</v>
      </c>
      <c r="T34" s="1" t="b">
        <f>M34=S34</f>
        <v>0</v>
      </c>
    </row>
    <row r="35" spans="1:20" ht="13.5" thickTop="1" x14ac:dyDescent="0.2">
      <c r="A35" s="3"/>
      <c r="E35" s="36"/>
      <c r="F35" s="13"/>
      <c r="G35" s="13"/>
      <c r="H35" s="13"/>
      <c r="I35" s="36"/>
      <c r="J35" s="13"/>
      <c r="K35" s="13"/>
      <c r="L35" s="13"/>
      <c r="M35" s="30"/>
    </row>
    <row r="36" spans="1:20" x14ac:dyDescent="0.2">
      <c r="A36" s="2" t="s">
        <v>9</v>
      </c>
      <c r="B36" s="2"/>
      <c r="C36" s="2"/>
      <c r="D36" s="2"/>
      <c r="E36" s="2"/>
      <c r="F36" s="2"/>
      <c r="G36" s="2"/>
      <c r="H36" s="2"/>
      <c r="I36" s="2"/>
      <c r="K36" s="2"/>
      <c r="L36" s="2"/>
      <c r="M36" s="2"/>
      <c r="N36" s="2"/>
    </row>
    <row r="37" spans="1:20" x14ac:dyDescent="0.2">
      <c r="A37" s="1" t="s">
        <v>10</v>
      </c>
      <c r="C37" s="1" t="s">
        <v>327</v>
      </c>
    </row>
    <row r="38" spans="1:20" x14ac:dyDescent="0.2">
      <c r="A38" s="1" t="s">
        <v>30</v>
      </c>
      <c r="C38" s="1" t="s">
        <v>111</v>
      </c>
      <c r="M38" s="44"/>
    </row>
    <row r="39" spans="1:20" x14ac:dyDescent="0.2">
      <c r="A39" s="1" t="s">
        <v>41</v>
      </c>
      <c r="C39" s="1" t="s">
        <v>42</v>
      </c>
      <c r="M39" s="44"/>
    </row>
    <row r="40" spans="1:20" x14ac:dyDescent="0.2">
      <c r="A40" s="1" t="s">
        <v>72</v>
      </c>
      <c r="C40" s="1" t="s">
        <v>99</v>
      </c>
    </row>
    <row r="41" spans="1:20" x14ac:dyDescent="0.2">
      <c r="A41" s="1" t="s">
        <v>73</v>
      </c>
      <c r="C41" s="1" t="s">
        <v>74</v>
      </c>
      <c r="J41"/>
      <c r="M41" s="44"/>
    </row>
    <row r="42" spans="1:20" x14ac:dyDescent="0.2">
      <c r="C42"/>
      <c r="D42"/>
      <c r="E42"/>
      <c r="F42"/>
      <c r="G42"/>
      <c r="H42"/>
      <c r="I42"/>
      <c r="K42"/>
      <c r="L42"/>
      <c r="M42"/>
      <c r="N42"/>
    </row>
  </sheetData>
  <mergeCells count="2">
    <mergeCell ref="K6:M6"/>
    <mergeCell ref="G6:I6"/>
  </mergeCells>
  <pageMargins left="0.75" right="0.75" top="0.72" bottom="0.4" header="0.5" footer="0.3"/>
  <pageSetup scale="87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31"/>
  <sheetViews>
    <sheetView workbookViewId="0">
      <selection activeCell="E36" sqref="E36"/>
    </sheetView>
  </sheetViews>
  <sheetFormatPr defaultColWidth="12.28515625" defaultRowHeight="12.75" x14ac:dyDescent="0.2"/>
  <cols>
    <col min="1" max="1" width="4.28515625" style="1" customWidth="1"/>
    <col min="2" max="2" width="2" style="1" customWidth="1"/>
    <col min="3" max="3" width="40.42578125" style="1" bestFit="1" customWidth="1"/>
    <col min="4" max="4" width="8.42578125" style="1" customWidth="1"/>
    <col min="5" max="5" width="16.140625" style="1" bestFit="1" customWidth="1"/>
    <col min="6" max="6" width="1.42578125" style="1" customWidth="1"/>
    <col min="7" max="7" width="15" style="1" bestFit="1" customWidth="1"/>
    <col min="8" max="8" width="13.85546875" style="1" bestFit="1" customWidth="1"/>
    <col min="9" max="9" width="14" style="1" customWidth="1"/>
    <col min="10" max="10" width="13.140625" style="1" bestFit="1" customWidth="1"/>
    <col min="11" max="11" width="12.7109375" style="1" customWidth="1"/>
    <col min="12" max="12" width="15.140625" style="1" customWidth="1"/>
    <col min="13" max="13" width="13.5703125" style="1" customWidth="1"/>
    <col min="14" max="14" width="13.42578125" style="1" customWidth="1"/>
    <col min="15" max="16" width="12.85546875" style="1" customWidth="1"/>
    <col min="17" max="17" width="14.5703125" style="1" bestFit="1" customWidth="1"/>
    <col min="18" max="16384" width="12.28515625" style="1"/>
  </cols>
  <sheetData>
    <row r="1" spans="1:17" x14ac:dyDescent="0.2">
      <c r="A1" s="1" t="str">
        <f>Contents!A1</f>
        <v>Kentucky Utilities Company</v>
      </c>
      <c r="L1" s="27"/>
    </row>
    <row r="2" spans="1:17" x14ac:dyDescent="0.2">
      <c r="A2" s="1" t="s">
        <v>57</v>
      </c>
      <c r="L2" s="27"/>
    </row>
    <row r="3" spans="1:17" x14ac:dyDescent="0.2">
      <c r="L3" s="27"/>
    </row>
    <row r="4" spans="1:17" x14ac:dyDescent="0.2">
      <c r="A4" s="1" t="s">
        <v>328</v>
      </c>
    </row>
    <row r="6" spans="1:17" ht="66.75" customHeight="1" x14ac:dyDescent="0.2">
      <c r="A6" s="64" t="s">
        <v>40</v>
      </c>
      <c r="C6" s="2" t="s">
        <v>3</v>
      </c>
      <c r="E6" s="64" t="s">
        <v>170</v>
      </c>
      <c r="F6" s="94"/>
      <c r="G6" s="64" t="s">
        <v>69</v>
      </c>
      <c r="H6" s="64" t="s">
        <v>238</v>
      </c>
      <c r="I6" s="64" t="s">
        <v>585</v>
      </c>
      <c r="J6" s="64" t="s">
        <v>483</v>
      </c>
      <c r="K6" s="64" t="s">
        <v>677</v>
      </c>
      <c r="L6" s="64" t="s">
        <v>660</v>
      </c>
      <c r="M6" s="64" t="s">
        <v>574</v>
      </c>
      <c r="N6" s="64" t="s">
        <v>645</v>
      </c>
      <c r="O6" s="64" t="s">
        <v>769</v>
      </c>
      <c r="P6" s="90" t="s">
        <v>607</v>
      </c>
      <c r="Q6" s="64" t="s">
        <v>701</v>
      </c>
    </row>
    <row r="7" spans="1:17" x14ac:dyDescent="0.2">
      <c r="E7" s="94"/>
      <c r="F7" s="94"/>
      <c r="G7" s="64" t="str">
        <f>Contents!$A$25</f>
        <v>C-1</v>
      </c>
      <c r="H7" s="64" t="str">
        <f>Contents!$A$26</f>
        <v>C-2</v>
      </c>
      <c r="I7" s="64" t="str">
        <f>[1]Contents!$A$28</f>
        <v>C-3</v>
      </c>
      <c r="J7" s="64" t="str">
        <f>[1]Contents!$A$29</f>
        <v>C-4</v>
      </c>
      <c r="K7" s="64" t="str">
        <f>[1]Contents!$A$30</f>
        <v>C-5</v>
      </c>
      <c r="L7" s="64" t="str">
        <f>Contents!$A$30</f>
        <v>C-6</v>
      </c>
      <c r="M7" s="64" t="str">
        <f>Contents!$A$31</f>
        <v>C-7</v>
      </c>
      <c r="N7" s="64" t="str">
        <f>Contents!$A$32</f>
        <v>C-8</v>
      </c>
      <c r="O7" s="64" t="str">
        <f>Contents!$A$33</f>
        <v>C-9</v>
      </c>
      <c r="P7" s="64" t="str">
        <f>Contents!$A$34</f>
        <v>C-10</v>
      </c>
      <c r="Q7" s="64" t="str">
        <f>Contents!$A$35</f>
        <v>C-11</v>
      </c>
    </row>
    <row r="8" spans="1:17" x14ac:dyDescent="0.2">
      <c r="I8" s="99" t="s">
        <v>599</v>
      </c>
      <c r="K8" s="99"/>
      <c r="L8" s="99"/>
      <c r="M8" s="99"/>
      <c r="P8" s="99" t="s">
        <v>608</v>
      </c>
    </row>
    <row r="9" spans="1:17" x14ac:dyDescent="0.2">
      <c r="C9" s="14" t="s">
        <v>48</v>
      </c>
    </row>
    <row r="10" spans="1:17" x14ac:dyDescent="0.2">
      <c r="A10" s="94">
        <v>1</v>
      </c>
      <c r="C10" s="107" t="s">
        <v>277</v>
      </c>
      <c r="E10" s="4">
        <f>SUM(G10:Q10)</f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">
      <c r="A11" s="94">
        <f>A10+1</f>
        <v>2</v>
      </c>
      <c r="C11" s="107" t="s">
        <v>181</v>
      </c>
      <c r="E11" s="4">
        <f>SUM(G11:Q11)</f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">
      <c r="A12" s="94">
        <f t="shared" ref="A12" si="0">A11+1</f>
        <v>3</v>
      </c>
      <c r="C12" s="14" t="s">
        <v>151</v>
      </c>
      <c r="E12" s="49">
        <f>SUM(E10:E11)</f>
        <v>0</v>
      </c>
      <c r="G12" s="49">
        <f>SUM(G10:G11)</f>
        <v>0</v>
      </c>
      <c r="H12" s="49">
        <f t="shared" ref="H12:Q12" si="1">SUM(H10:H11)</f>
        <v>0</v>
      </c>
      <c r="I12" s="49">
        <f t="shared" si="1"/>
        <v>0</v>
      </c>
      <c r="J12" s="49">
        <f t="shared" si="1"/>
        <v>0</v>
      </c>
      <c r="K12" s="49">
        <f t="shared" si="1"/>
        <v>0</v>
      </c>
      <c r="L12" s="49">
        <f t="shared" si="1"/>
        <v>0</v>
      </c>
      <c r="M12" s="49">
        <f t="shared" si="1"/>
        <v>0</v>
      </c>
      <c r="N12" s="49">
        <f t="shared" si="1"/>
        <v>0</v>
      </c>
      <c r="O12" s="49">
        <f t="shared" si="1"/>
        <v>0</v>
      </c>
      <c r="P12" s="49">
        <f t="shared" si="1"/>
        <v>0</v>
      </c>
      <c r="Q12" s="49">
        <f t="shared" si="1"/>
        <v>0</v>
      </c>
    </row>
    <row r="13" spans="1:17" x14ac:dyDescent="0.2">
      <c r="A13" s="99"/>
      <c r="E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x14ac:dyDescent="0.2">
      <c r="A14" s="99"/>
      <c r="C14" s="14" t="s">
        <v>152</v>
      </c>
      <c r="E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x14ac:dyDescent="0.2">
      <c r="A15" s="99">
        <f>A12+1</f>
        <v>4</v>
      </c>
      <c r="C15" s="1" t="s">
        <v>278</v>
      </c>
      <c r="E15" s="4">
        <f t="shared" ref="E15:E21" si="2">SUM(G15:Q15)</f>
        <v>-14199070.875999998</v>
      </c>
      <c r="G15" s="19"/>
      <c r="H15" s="19">
        <f>'C-2 P1'!E11</f>
        <v>-2605059</v>
      </c>
      <c r="I15" s="19">
        <f>'C-3 '!E11</f>
        <v>-3189557</v>
      </c>
      <c r="J15" s="19">
        <f>'C-4'!E16</f>
        <v>-3936758</v>
      </c>
      <c r="K15" s="19">
        <f>'C-5'!I10</f>
        <v>-936649.44799999986</v>
      </c>
      <c r="L15" s="19"/>
      <c r="M15" s="19"/>
      <c r="N15" s="19">
        <f>'C-8 P1'!I15</f>
        <v>-1773780.4280000001</v>
      </c>
      <c r="O15" s="19">
        <f>'C-9'!E10</f>
        <v>-1504533</v>
      </c>
      <c r="P15" s="19"/>
      <c r="Q15" s="19">
        <f>'C-11 '!E10</f>
        <v>-252734</v>
      </c>
    </row>
    <row r="16" spans="1:17" x14ac:dyDescent="0.2">
      <c r="A16" s="99">
        <f>A15+1</f>
        <v>5</v>
      </c>
      <c r="C16" s="1" t="s">
        <v>279</v>
      </c>
      <c r="E16" s="4">
        <f t="shared" si="2"/>
        <v>-832990</v>
      </c>
      <c r="G16" s="19"/>
      <c r="H16" s="19"/>
      <c r="I16" s="239">
        <f>'C-3 '!E13</f>
        <v>-599502</v>
      </c>
      <c r="J16" s="239"/>
      <c r="K16" s="239"/>
      <c r="L16" s="19">
        <f>'C-6'!E12</f>
        <v>-167559</v>
      </c>
      <c r="M16" s="19">
        <f>'C-7'!E15</f>
        <v>-65929</v>
      </c>
      <c r="N16" s="19"/>
      <c r="O16" s="19"/>
      <c r="P16" s="19"/>
      <c r="Q16" s="19"/>
    </row>
    <row r="17" spans="1:18" x14ac:dyDescent="0.2">
      <c r="A17" s="99">
        <f t="shared" ref="A17:A22" si="3">A16+1</f>
        <v>6</v>
      </c>
      <c r="C17" s="1" t="s">
        <v>280</v>
      </c>
      <c r="E17" s="4">
        <f t="shared" si="2"/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8" x14ac:dyDescent="0.2">
      <c r="A18" s="99">
        <f t="shared" si="3"/>
        <v>7</v>
      </c>
      <c r="C18" s="1" t="s">
        <v>201</v>
      </c>
      <c r="E18" s="4">
        <f t="shared" si="2"/>
        <v>-106876</v>
      </c>
      <c r="G18" s="19"/>
      <c r="H18" s="19"/>
      <c r="I18" s="19"/>
      <c r="J18" s="19"/>
      <c r="K18" s="19"/>
      <c r="L18" s="19"/>
      <c r="M18" s="19"/>
      <c r="N18" s="19">
        <f>'C-8 P1'!I17</f>
        <v>-106876</v>
      </c>
      <c r="O18" s="19"/>
      <c r="P18" s="19"/>
      <c r="Q18" s="19"/>
    </row>
    <row r="19" spans="1:18" x14ac:dyDescent="0.2">
      <c r="A19" s="99">
        <f t="shared" si="3"/>
        <v>8</v>
      </c>
      <c r="C19" s="1" t="s">
        <v>281</v>
      </c>
      <c r="E19" s="4">
        <f t="shared" si="2"/>
        <v>4316241.3536423258</v>
      </c>
      <c r="G19" s="162">
        <f>'C-1 Int.Sync'!I15</f>
        <v>-1550104.6463576742</v>
      </c>
      <c r="H19" s="4">
        <f>-ROUND(H15*D29,0)</f>
        <v>1009462</v>
      </c>
      <c r="I19" s="4">
        <f>-ROUND(SUM(I15:I16)*D29,0)</f>
        <v>1468262</v>
      </c>
      <c r="J19" s="4">
        <f>-ROUND(J15*D29,0)</f>
        <v>1525496</v>
      </c>
      <c r="K19" s="4">
        <f>-ROUND(K15*D29,0)</f>
        <v>362952</v>
      </c>
      <c r="L19" s="4">
        <f>-ROUND(L16*D29,0)</f>
        <v>64929</v>
      </c>
      <c r="M19" s="4">
        <f>-ROUND(M16*D29,0)</f>
        <v>25548</v>
      </c>
      <c r="N19" s="4">
        <f>-ROUND(SUM(N15:N18)*D29,0)</f>
        <v>728755</v>
      </c>
      <c r="O19" s="4">
        <f>-ROUND(O15*D29,0)</f>
        <v>583007</v>
      </c>
      <c r="Q19" s="4">
        <f>-ROUND(Q15*D29,0)</f>
        <v>97935</v>
      </c>
    </row>
    <row r="20" spans="1:18" x14ac:dyDescent="0.2">
      <c r="A20" s="99">
        <f t="shared" si="3"/>
        <v>9</v>
      </c>
      <c r="C20" s="1" t="s">
        <v>282</v>
      </c>
      <c r="E20" s="4">
        <f t="shared" si="2"/>
        <v>0</v>
      </c>
    </row>
    <row r="21" spans="1:18" x14ac:dyDescent="0.2">
      <c r="A21" s="99">
        <f t="shared" si="3"/>
        <v>10</v>
      </c>
      <c r="C21" s="1" t="s">
        <v>283</v>
      </c>
      <c r="E21" s="4">
        <f t="shared" si="2"/>
        <v>0</v>
      </c>
    </row>
    <row r="22" spans="1:18" x14ac:dyDescent="0.2">
      <c r="A22" s="99">
        <f t="shared" si="3"/>
        <v>11</v>
      </c>
      <c r="C22" s="14" t="s">
        <v>153</v>
      </c>
      <c r="E22" s="50">
        <f>SUM(E15:E21)</f>
        <v>-10822695.522357672</v>
      </c>
      <c r="G22" s="50">
        <f>SUM(G15:G21)</f>
        <v>-1550104.6463576742</v>
      </c>
      <c r="H22" s="50">
        <f t="shared" ref="H22:Q22" si="4">SUM(H15:H21)</f>
        <v>-1595597</v>
      </c>
      <c r="I22" s="50">
        <f t="shared" si="4"/>
        <v>-2320797</v>
      </c>
      <c r="J22" s="50">
        <f t="shared" si="4"/>
        <v>-2411262</v>
      </c>
      <c r="K22" s="50">
        <f t="shared" si="4"/>
        <v>-573697.44799999986</v>
      </c>
      <c r="L22" s="50">
        <f t="shared" si="4"/>
        <v>-102630</v>
      </c>
      <c r="M22" s="50">
        <f t="shared" si="4"/>
        <v>-40381</v>
      </c>
      <c r="N22" s="50">
        <f t="shared" si="4"/>
        <v>-1151901.4280000001</v>
      </c>
      <c r="O22" s="50">
        <f t="shared" si="4"/>
        <v>-921526</v>
      </c>
      <c r="P22" s="50">
        <f t="shared" si="4"/>
        <v>0</v>
      </c>
      <c r="Q22" s="50">
        <f t="shared" si="4"/>
        <v>-154799</v>
      </c>
    </row>
    <row r="23" spans="1:18" x14ac:dyDescent="0.2">
      <c r="A23" s="94"/>
      <c r="C23" s="14"/>
    </row>
    <row r="24" spans="1:18" ht="13.5" thickBot="1" x14ac:dyDescent="0.25">
      <c r="A24" s="94">
        <f>A22+1</f>
        <v>12</v>
      </c>
      <c r="C24" s="14" t="s">
        <v>202</v>
      </c>
      <c r="E24" s="20">
        <f>E12-E22</f>
        <v>10822695.522357672</v>
      </c>
      <c r="G24" s="20">
        <f>G12-G22</f>
        <v>1550104.6463576742</v>
      </c>
      <c r="H24" s="20">
        <f t="shared" ref="H24:Q24" si="5">H12-H22</f>
        <v>1595597</v>
      </c>
      <c r="I24" s="20">
        <f t="shared" si="5"/>
        <v>2320797</v>
      </c>
      <c r="J24" s="20">
        <f t="shared" si="5"/>
        <v>2411262</v>
      </c>
      <c r="K24" s="20">
        <f t="shared" si="5"/>
        <v>573697.44799999986</v>
      </c>
      <c r="L24" s="20">
        <f t="shared" si="5"/>
        <v>102630</v>
      </c>
      <c r="M24" s="20">
        <f t="shared" si="5"/>
        <v>40381</v>
      </c>
      <c r="N24" s="20">
        <f t="shared" si="5"/>
        <v>1151901.4280000001</v>
      </c>
      <c r="O24" s="20">
        <f t="shared" si="5"/>
        <v>921526</v>
      </c>
      <c r="P24" s="20">
        <f t="shared" si="5"/>
        <v>0</v>
      </c>
      <c r="Q24" s="20">
        <f t="shared" si="5"/>
        <v>154799</v>
      </c>
    </row>
    <row r="25" spans="1:18" ht="13.5" thickTop="1" x14ac:dyDescent="0.2">
      <c r="A25" s="94"/>
      <c r="E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8" x14ac:dyDescent="0.2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8" spans="1:18" x14ac:dyDescent="0.2">
      <c r="A28" s="13" t="s">
        <v>9</v>
      </c>
      <c r="B28" s="13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8" x14ac:dyDescent="0.2">
      <c r="A29" s="128" t="s">
        <v>329</v>
      </c>
      <c r="B29" s="128"/>
      <c r="C29" s="128"/>
      <c r="D29" s="186">
        <v>0.38750052800000001</v>
      </c>
      <c r="E29" s="186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</row>
    <row r="30" spans="1:18" x14ac:dyDescent="0.2">
      <c r="A30" s="13"/>
      <c r="B30" s="13"/>
      <c r="C30" s="13"/>
      <c r="E30" s="5"/>
    </row>
    <row r="31" spans="1:18" x14ac:dyDescent="0.2">
      <c r="E31" s="44"/>
    </row>
  </sheetData>
  <pageMargins left="0.75" right="0.75" top="1" bottom="0.69" header="0.98" footer="0.5"/>
  <pageSetup fitToWidth="3" orientation="landscape" horizontalDpi="1200" verticalDpi="1200" r:id="rId1"/>
  <headerFooter alignWithMargins="0">
    <oddHeader>&amp;R&amp;"Times New Roman,Regular"Exhibit RCS-1
Schedule C.1 
Case No. 2016-00370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C42" sqref="C42"/>
    </sheetView>
  </sheetViews>
  <sheetFormatPr defaultRowHeight="12.75" x14ac:dyDescent="0.2"/>
  <cols>
    <col min="1" max="1" width="5.42578125" style="1" customWidth="1"/>
    <col min="2" max="2" width="4.42578125" style="1" customWidth="1"/>
    <col min="3" max="3" width="31.7109375" style="1" customWidth="1"/>
    <col min="4" max="4" width="2.28515625" style="1" customWidth="1"/>
    <col min="5" max="5" width="16.140625" style="1" bestFit="1" customWidth="1"/>
    <col min="6" max="6" width="3.28515625" style="1" customWidth="1"/>
    <col min="7" max="7" width="9.42578125" style="1" bestFit="1" customWidth="1"/>
    <col min="8" max="8" width="2.28515625" style="1" customWidth="1"/>
    <col min="9" max="9" width="8.42578125" style="1" bestFit="1" customWidth="1"/>
    <col min="10" max="10" width="2.28515625" style="1" customWidth="1"/>
    <col min="11" max="11" width="10.85546875" style="1" customWidth="1"/>
    <col min="12" max="12" width="1.140625" style="1" customWidth="1"/>
    <col min="13" max="13" width="10.85546875" style="1" customWidth="1"/>
    <col min="14" max="14" width="1.42578125" style="1" customWidth="1"/>
    <col min="15" max="15" width="10.85546875" style="1" customWidth="1"/>
    <col min="16" max="16" width="5.5703125" style="1" customWidth="1"/>
    <col min="17" max="17" width="9.140625" style="1"/>
    <col min="18" max="18" width="9.42578125" style="1" bestFit="1" customWidth="1"/>
    <col min="19" max="16384" width="9.140625" style="1"/>
  </cols>
  <sheetData>
    <row r="1" spans="1:15" x14ac:dyDescent="0.2">
      <c r="A1" s="1" t="str">
        <f>Contents!A1</f>
        <v>Kentucky Utilities Company</v>
      </c>
      <c r="H1" s="10"/>
      <c r="O1" s="27" t="str">
        <f>Contents!A3</f>
        <v>Exhibit RCS-1</v>
      </c>
    </row>
    <row r="2" spans="1:15" x14ac:dyDescent="0.2">
      <c r="A2" s="1" t="s">
        <v>17</v>
      </c>
      <c r="H2" s="10"/>
      <c r="O2" s="27" t="s">
        <v>102</v>
      </c>
    </row>
    <row r="3" spans="1:15" x14ac:dyDescent="0.2">
      <c r="H3" s="10"/>
      <c r="O3" s="27" t="str">
        <f>Contents!A2</f>
        <v>Case No. 2016-00370</v>
      </c>
    </row>
    <row r="4" spans="1:15" x14ac:dyDescent="0.2">
      <c r="A4" s="1" t="s">
        <v>328</v>
      </c>
      <c r="H4" s="10"/>
      <c r="O4" s="27" t="s">
        <v>194</v>
      </c>
    </row>
    <row r="6" spans="1:15" x14ac:dyDescent="0.2">
      <c r="E6" s="99" t="s">
        <v>793</v>
      </c>
      <c r="G6" s="99" t="s">
        <v>21</v>
      </c>
    </row>
    <row r="7" spans="1:15" x14ac:dyDescent="0.2">
      <c r="A7" s="52" t="s">
        <v>0</v>
      </c>
      <c r="E7" s="99" t="s">
        <v>222</v>
      </c>
      <c r="G7" s="52" t="s">
        <v>118</v>
      </c>
      <c r="I7" s="52" t="s">
        <v>20</v>
      </c>
      <c r="K7" s="114" t="s">
        <v>19</v>
      </c>
      <c r="L7" s="114"/>
      <c r="M7" s="114"/>
      <c r="N7" s="114"/>
      <c r="O7" s="114" t="s">
        <v>210</v>
      </c>
    </row>
    <row r="8" spans="1:15" ht="15.75" x14ac:dyDescent="0.25">
      <c r="A8" s="53" t="s">
        <v>2</v>
      </c>
      <c r="B8" s="54"/>
      <c r="C8" s="53" t="s">
        <v>3</v>
      </c>
      <c r="D8" s="81"/>
      <c r="E8" s="82" t="s">
        <v>16</v>
      </c>
      <c r="F8" s="54"/>
      <c r="G8" s="55" t="s">
        <v>24</v>
      </c>
      <c r="I8" s="53" t="s">
        <v>23</v>
      </c>
      <c r="K8" s="11" t="s">
        <v>22</v>
      </c>
      <c r="L8" s="12"/>
      <c r="M8" s="11" t="s">
        <v>211</v>
      </c>
      <c r="N8" s="12"/>
      <c r="O8" s="11" t="s">
        <v>212</v>
      </c>
    </row>
    <row r="9" spans="1:15" x14ac:dyDescent="0.2">
      <c r="E9" s="99" t="s">
        <v>6</v>
      </c>
      <c r="G9" s="99" t="s">
        <v>7</v>
      </c>
      <c r="I9" s="99" t="s">
        <v>18</v>
      </c>
      <c r="K9" s="99" t="s">
        <v>38</v>
      </c>
      <c r="L9" s="99"/>
      <c r="M9" s="99" t="s">
        <v>50</v>
      </c>
      <c r="N9" s="99"/>
      <c r="O9" s="99" t="s">
        <v>262</v>
      </c>
    </row>
    <row r="10" spans="1:15" x14ac:dyDescent="0.2">
      <c r="C10" s="56" t="s">
        <v>121</v>
      </c>
      <c r="D10" s="56"/>
      <c r="E10" s="56"/>
    </row>
    <row r="11" spans="1:15" x14ac:dyDescent="0.2">
      <c r="A11" s="99">
        <v>1</v>
      </c>
      <c r="C11" s="28" t="s">
        <v>26</v>
      </c>
      <c r="D11" s="28"/>
      <c r="E11" s="83">
        <f>'D P2 '!Q12</f>
        <v>1610324675.2008581</v>
      </c>
      <c r="G11" s="29">
        <f>'D P2 '!U12</f>
        <v>0.44254269323256057</v>
      </c>
      <c r="I11" s="29">
        <f>'D P2 '!W12</f>
        <v>4.1173858867490497E-2</v>
      </c>
      <c r="K11" s="29">
        <f>G11*I11</f>
        <v>1.8221190393996591E-2</v>
      </c>
      <c r="L11" s="29"/>
      <c r="M11" s="116">
        <v>1.0049999999999999</v>
      </c>
      <c r="N11" s="29"/>
      <c r="O11" s="29">
        <f>ROUND(K11*M11,4)</f>
        <v>1.83E-2</v>
      </c>
    </row>
    <row r="12" spans="1:15" x14ac:dyDescent="0.2">
      <c r="A12" s="52">
        <f>A11+1</f>
        <v>2</v>
      </c>
      <c r="C12" s="28" t="s">
        <v>25</v>
      </c>
      <c r="D12" s="28"/>
      <c r="E12" s="83">
        <f>'D P2 '!Q13</f>
        <v>89828655.569519952</v>
      </c>
      <c r="G12" s="29">
        <f>'D P2 '!U13</f>
        <v>2.4686335489925004E-2</v>
      </c>
      <c r="I12" s="29">
        <f>'D P2 '!W13</f>
        <v>7.4212675614836578E-3</v>
      </c>
      <c r="K12" s="29">
        <f>G12*I12</f>
        <v>1.832039007832832E-4</v>
      </c>
      <c r="L12" s="29"/>
      <c r="M12" s="116">
        <v>1.0049999999999999</v>
      </c>
      <c r="N12" s="29"/>
      <c r="O12" s="29">
        <f t="shared" ref="O12:O13" si="0">ROUND(K12*M12,4)</f>
        <v>2.0000000000000001E-4</v>
      </c>
    </row>
    <row r="13" spans="1:15" x14ac:dyDescent="0.2">
      <c r="A13" s="52">
        <f>A12+1</f>
        <v>3</v>
      </c>
      <c r="C13" s="28" t="s">
        <v>27</v>
      </c>
      <c r="D13" s="28"/>
      <c r="E13" s="83">
        <f>'D P2 '!Q14</f>
        <v>1938647399.257534</v>
      </c>
      <c r="G13" s="29">
        <f>'D P2 '!U14</f>
        <v>0.53277097127751438</v>
      </c>
      <c r="I13" s="31">
        <f>'D P2 Base Period'!U14</f>
        <v>0.1023</v>
      </c>
      <c r="K13" s="29">
        <f>G13*I13</f>
        <v>5.4502470361689724E-2</v>
      </c>
      <c r="L13" s="29"/>
      <c r="M13" s="116">
        <f>'A-1'!$K$22</f>
        <v>1.6421322016625246</v>
      </c>
      <c r="N13" s="29"/>
      <c r="O13" s="29">
        <f t="shared" si="0"/>
        <v>8.9499999999999996E-2</v>
      </c>
    </row>
    <row r="14" spans="1:15" ht="13.5" thickBot="1" x14ac:dyDescent="0.25">
      <c r="A14" s="52">
        <f t="shared" ref="A14" si="1">A13+1</f>
        <v>4</v>
      </c>
      <c r="C14" s="28" t="s">
        <v>28</v>
      </c>
      <c r="D14" s="28"/>
      <c r="E14" s="102">
        <f>SUM(E11:E13)</f>
        <v>3638800730.0279121</v>
      </c>
      <c r="G14" s="32">
        <f>SUM(G11:G13)</f>
        <v>1</v>
      </c>
      <c r="I14" s="31"/>
      <c r="K14" s="103">
        <f>SUM(K10:K13)</f>
        <v>7.2906864656469603E-2</v>
      </c>
      <c r="L14" s="112"/>
      <c r="M14" s="112"/>
      <c r="N14" s="112"/>
      <c r="O14" s="103">
        <f>ROUND(SUM(O10:O13),4)</f>
        <v>0.108</v>
      </c>
    </row>
    <row r="15" spans="1:15" ht="12" customHeight="1" thickTop="1" x14ac:dyDescent="0.2">
      <c r="I15" s="13"/>
      <c r="J15" s="13"/>
      <c r="K15" s="13"/>
      <c r="L15" s="13"/>
      <c r="M15" s="13"/>
      <c r="N15" s="13"/>
      <c r="O15" s="13"/>
    </row>
    <row r="16" spans="1:15" x14ac:dyDescent="0.2">
      <c r="C16" s="57" t="s">
        <v>169</v>
      </c>
      <c r="D16" s="57"/>
      <c r="E16" s="57"/>
    </row>
    <row r="17" spans="1:16" x14ac:dyDescent="0.2">
      <c r="A17" s="58">
        <f>A14+1</f>
        <v>5</v>
      </c>
      <c r="C17" s="28" t="s">
        <v>26</v>
      </c>
      <c r="D17" s="28"/>
      <c r="E17" s="83">
        <f>'D P2 '!S19</f>
        <v>1706525079.872</v>
      </c>
      <c r="G17" s="29">
        <f>'D P2 '!U19</f>
        <v>0.47360000000000002</v>
      </c>
      <c r="I17" s="29">
        <f>'D P2 '!W19</f>
        <v>4.1173858867490497E-2</v>
      </c>
      <c r="K17" s="29">
        <f>G17*I17</f>
        <v>1.9499939559643499E-2</v>
      </c>
      <c r="L17" s="29"/>
      <c r="M17" s="116">
        <v>1.0049999999999999</v>
      </c>
      <c r="N17" s="29"/>
      <c r="O17" s="29">
        <f>ROUND(K17*M17,4)</f>
        <v>1.9599999999999999E-2</v>
      </c>
    </row>
    <row r="18" spans="1:16" x14ac:dyDescent="0.2">
      <c r="A18" s="52">
        <f t="shared" ref="A18:A20" si="2">A17+1</f>
        <v>6</v>
      </c>
      <c r="C18" s="28" t="s">
        <v>25</v>
      </c>
      <c r="D18" s="28"/>
      <c r="E18" s="83">
        <f>'D P2 '!S20</f>
        <v>95127242.628000006</v>
      </c>
      <c r="G18" s="29">
        <f>'D P2 '!U20</f>
        <v>2.6400000000000003E-2</v>
      </c>
      <c r="I18" s="29">
        <f>'D P2 '!W20</f>
        <v>7.4212675614836578E-3</v>
      </c>
      <c r="K18" s="29">
        <f>G18*I18</f>
        <v>1.9592146362316858E-4</v>
      </c>
      <c r="L18" s="29"/>
      <c r="M18" s="116">
        <v>1.0049999999999999</v>
      </c>
      <c r="N18" s="29"/>
      <c r="O18" s="29">
        <f t="shared" ref="O18:O19" si="3">ROUND(K18*M18,4)</f>
        <v>2.0000000000000001E-4</v>
      </c>
    </row>
    <row r="19" spans="1:16" x14ac:dyDescent="0.2">
      <c r="A19" s="52">
        <f t="shared" si="2"/>
        <v>7</v>
      </c>
      <c r="C19" s="28" t="s">
        <v>27</v>
      </c>
      <c r="D19" s="28"/>
      <c r="E19" s="83">
        <f>'D P2 '!S21</f>
        <v>1801652322.5</v>
      </c>
      <c r="G19" s="29">
        <f>'D P2 '!U21</f>
        <v>0.5</v>
      </c>
      <c r="I19" s="31">
        <f>'D P2 '!W21</f>
        <v>8.7499999999999994E-2</v>
      </c>
      <c r="K19" s="29">
        <f>G19*I19</f>
        <v>4.3749999999999997E-2</v>
      </c>
      <c r="L19" s="29"/>
      <c r="M19" s="116">
        <f>'A-1'!$O$22</f>
        <v>1.6416051320148557</v>
      </c>
      <c r="N19" s="29"/>
      <c r="O19" s="29">
        <f t="shared" si="3"/>
        <v>7.1800000000000003E-2</v>
      </c>
    </row>
    <row r="20" spans="1:16" ht="13.5" thickBot="1" x14ac:dyDescent="0.25">
      <c r="A20" s="52">
        <f t="shared" si="2"/>
        <v>8</v>
      </c>
      <c r="C20" s="28" t="s">
        <v>28</v>
      </c>
      <c r="D20" s="28"/>
      <c r="E20" s="102">
        <f>SUM(E17:E19)</f>
        <v>3603304645</v>
      </c>
      <c r="G20" s="32">
        <f>SUM(G17:G19)</f>
        <v>1</v>
      </c>
      <c r="I20" s="31"/>
      <c r="K20" s="103">
        <f>SUM(K16:K19)</f>
        <v>6.3445861023266659E-2</v>
      </c>
      <c r="L20" s="112"/>
      <c r="M20" s="112"/>
      <c r="N20" s="112"/>
      <c r="O20" s="103">
        <f>ROUND(SUM(O16:O19),4)</f>
        <v>9.1600000000000001E-2</v>
      </c>
    </row>
    <row r="21" spans="1:16" ht="13.5" thickTop="1" x14ac:dyDescent="0.2">
      <c r="A21" s="52"/>
      <c r="C21" s="28"/>
      <c r="D21" s="28"/>
      <c r="E21" s="28"/>
      <c r="I21" s="31"/>
      <c r="K21" s="60"/>
      <c r="L21" s="112"/>
      <c r="M21" s="112"/>
      <c r="N21" s="112"/>
      <c r="O21" s="112"/>
    </row>
    <row r="22" spans="1:16" ht="13.5" thickBot="1" x14ac:dyDescent="0.25">
      <c r="A22" s="58">
        <f>A20+1</f>
        <v>9</v>
      </c>
      <c r="C22" s="28" t="s">
        <v>29</v>
      </c>
      <c r="D22" s="28"/>
      <c r="E22" s="28"/>
      <c r="G22" s="1" t="s">
        <v>369</v>
      </c>
      <c r="K22" s="61">
        <f>K20-K14</f>
        <v>-9.461003633202944E-3</v>
      </c>
      <c r="L22" s="33"/>
      <c r="M22" s="33"/>
      <c r="N22" s="33"/>
      <c r="O22" s="61">
        <f>O20-O14</f>
        <v>-1.6399999999999998E-2</v>
      </c>
    </row>
    <row r="23" spans="1:16" ht="14.25" customHeight="1" thickTop="1" x14ac:dyDescent="0.2">
      <c r="A23" s="58"/>
      <c r="C23" s="28"/>
      <c r="D23" s="28"/>
      <c r="E23" s="28"/>
      <c r="K23" s="33"/>
      <c r="L23" s="33"/>
      <c r="M23" s="33"/>
      <c r="N23" s="33"/>
      <c r="O23" s="33"/>
    </row>
    <row r="24" spans="1:16" ht="13.5" thickBot="1" x14ac:dyDescent="0.25">
      <c r="A24" s="58">
        <f>A22+1</f>
        <v>10</v>
      </c>
      <c r="C24" s="130" t="s">
        <v>186</v>
      </c>
      <c r="D24" s="130"/>
      <c r="E24" s="130"/>
      <c r="F24" s="130"/>
      <c r="G24" s="130" t="s">
        <v>249</v>
      </c>
      <c r="H24" s="130"/>
      <c r="I24" s="130"/>
      <c r="J24" s="130"/>
      <c r="K24" s="133">
        <f>SUM(K17:K18)</f>
        <v>1.9695861023266668E-2</v>
      </c>
      <c r="L24" s="37"/>
      <c r="M24" s="37"/>
      <c r="N24" s="37"/>
      <c r="O24" s="132"/>
    </row>
    <row r="25" spans="1:16" ht="12.75" customHeight="1" thickTop="1" x14ac:dyDescent="0.2">
      <c r="A25" s="58"/>
      <c r="C25" s="130"/>
      <c r="D25" s="130"/>
      <c r="E25" s="130"/>
      <c r="F25" s="130"/>
      <c r="G25" s="130"/>
      <c r="H25" s="130"/>
      <c r="I25" s="130"/>
      <c r="J25" s="130"/>
      <c r="K25" s="132"/>
      <c r="L25" s="37"/>
      <c r="M25" s="37"/>
      <c r="N25" s="37"/>
      <c r="O25" s="37"/>
    </row>
    <row r="26" spans="1:16" ht="15" customHeight="1" x14ac:dyDescent="0.2"/>
    <row r="27" spans="1:16" ht="15.75" customHeight="1" x14ac:dyDescent="0.2">
      <c r="A27" s="2" t="s">
        <v>39</v>
      </c>
      <c r="B27" s="2"/>
      <c r="C27" s="62"/>
      <c r="D27" s="62"/>
      <c r="E27" s="6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13" t="s">
        <v>303</v>
      </c>
      <c r="B28" s="13"/>
      <c r="D28" s="51"/>
      <c r="E28" s="5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130" customFormat="1" x14ac:dyDescent="0.2">
      <c r="A29" s="135" t="s">
        <v>792</v>
      </c>
      <c r="B29" s="51"/>
      <c r="C29" s="51"/>
      <c r="D29" s="131"/>
      <c r="E29" s="13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x14ac:dyDescent="0.2">
      <c r="A30" s="51" t="s">
        <v>791</v>
      </c>
      <c r="B30" s="13"/>
      <c r="C30" s="51"/>
      <c r="D30" s="63"/>
      <c r="E30" s="6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">
      <c r="A31" s="13"/>
      <c r="B31" s="13"/>
      <c r="C31" s="51"/>
      <c r="D31" s="63"/>
      <c r="E31" s="6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2">
      <c r="A32" s="13"/>
      <c r="B32" s="13"/>
      <c r="C32" s="13"/>
      <c r="D32" s="13"/>
      <c r="E32" s="51"/>
      <c r="F32" s="51"/>
      <c r="G32" s="51"/>
      <c r="H32" s="13"/>
      <c r="I32" s="104"/>
      <c r="J32" s="13"/>
      <c r="K32" s="13"/>
      <c r="L32" s="13"/>
      <c r="M32" s="13"/>
      <c r="N32" s="13"/>
      <c r="O32" s="13"/>
      <c r="P32" s="13"/>
    </row>
    <row r="33" spans="1:16" x14ac:dyDescent="0.2">
      <c r="A33" s="135"/>
      <c r="B33" s="13"/>
      <c r="C33" s="13"/>
      <c r="D33" s="13"/>
      <c r="E33" s="51"/>
      <c r="F33" s="51"/>
      <c r="G33" s="51"/>
      <c r="H33" s="13"/>
      <c r="I33" s="104"/>
      <c r="J33" s="13"/>
      <c r="K33" s="13"/>
      <c r="L33" s="13"/>
      <c r="M33" s="13"/>
      <c r="N33" s="13"/>
      <c r="O33" s="13"/>
      <c r="P33" s="13"/>
    </row>
    <row r="34" spans="1:16" x14ac:dyDescent="0.2">
      <c r="C34" s="51"/>
      <c r="D34" s="51"/>
      <c r="E34" s="51"/>
      <c r="F34" s="13"/>
      <c r="G34" s="13"/>
      <c r="H34" s="13"/>
      <c r="I34" s="33"/>
      <c r="J34" s="13"/>
      <c r="K34" s="13"/>
      <c r="L34" s="13"/>
      <c r="M34" s="13"/>
      <c r="N34" s="13"/>
      <c r="O34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17</vt:i4>
      </vt:variant>
    </vt:vector>
  </HeadingPairs>
  <TitlesOfParts>
    <vt:vector size="58" baseType="lpstr">
      <vt:lpstr>Contents</vt:lpstr>
      <vt:lpstr>A</vt:lpstr>
      <vt:lpstr>Ap2</vt:lpstr>
      <vt:lpstr>A-1</vt:lpstr>
      <vt:lpstr>B</vt:lpstr>
      <vt:lpstr>B.1</vt:lpstr>
      <vt:lpstr>C</vt:lpstr>
      <vt:lpstr>C.1</vt:lpstr>
      <vt:lpstr>D P1</vt:lpstr>
      <vt:lpstr>D P2 </vt:lpstr>
      <vt:lpstr>D P3</vt:lpstr>
      <vt:lpstr>B-1</vt:lpstr>
      <vt:lpstr>B-2</vt:lpstr>
      <vt:lpstr>B-3</vt:lpstr>
      <vt:lpstr>B-3, P2</vt:lpstr>
      <vt:lpstr>B-4</vt:lpstr>
      <vt:lpstr>C-1 Int.Sync</vt:lpstr>
      <vt:lpstr>C-2 P1</vt:lpstr>
      <vt:lpstr>C-2 P2</vt:lpstr>
      <vt:lpstr>C-2 P3</vt:lpstr>
      <vt:lpstr>C-3 </vt:lpstr>
      <vt:lpstr>C-4</vt:lpstr>
      <vt:lpstr>C-5</vt:lpstr>
      <vt:lpstr>C-6</vt:lpstr>
      <vt:lpstr>C-7</vt:lpstr>
      <vt:lpstr>C-8 P1</vt:lpstr>
      <vt:lpstr>C-8 P2</vt:lpstr>
      <vt:lpstr>C-8 P3</vt:lpstr>
      <vt:lpstr>C-9</vt:lpstr>
      <vt:lpstr>C-11 </vt:lpstr>
      <vt:lpstr>&lt;- Used</vt:lpstr>
      <vt:lpstr>Not Used -&gt;</vt:lpstr>
      <vt:lpstr>AMS-Avg Service Life</vt:lpstr>
      <vt:lpstr>Affiliate P1</vt:lpstr>
      <vt:lpstr>Affiliate P2</vt:lpstr>
      <vt:lpstr>Affiliate P3</vt:lpstr>
      <vt:lpstr>50 BP ROE</vt:lpstr>
      <vt:lpstr>D Base Period</vt:lpstr>
      <vt:lpstr>D Forecasted Period</vt:lpstr>
      <vt:lpstr>D P2 Base Period</vt:lpstr>
      <vt:lpstr>D P2 Forecasted Period</vt:lpstr>
      <vt:lpstr>A!Print_Area</vt:lpstr>
      <vt:lpstr>'A-1'!Print_Area</vt:lpstr>
      <vt:lpstr>'Ap2'!Print_Area</vt:lpstr>
      <vt:lpstr>B.1!Print_Area</vt:lpstr>
      <vt:lpstr>'B-3, P2'!Print_Area</vt:lpstr>
      <vt:lpstr>'C'!Print_Area</vt:lpstr>
      <vt:lpstr>C.1!Print_Area</vt:lpstr>
      <vt:lpstr>'C-11 '!Print_Area</vt:lpstr>
      <vt:lpstr>Contents!Print_Area</vt:lpstr>
      <vt:lpstr>'D Base Period'!Print_Area</vt:lpstr>
      <vt:lpstr>'D Forecasted Period'!Print_Area</vt:lpstr>
      <vt:lpstr>'D P1'!Print_Area</vt:lpstr>
      <vt:lpstr>'D P2 '!Print_Area</vt:lpstr>
      <vt:lpstr>'D P2 Base Period'!Print_Area</vt:lpstr>
      <vt:lpstr>'D P2 Forecasted Period'!Print_Area</vt:lpstr>
      <vt:lpstr>'D P3'!Print_Area</vt:lpstr>
      <vt:lpstr>C.1!Print_Titles</vt:lpstr>
    </vt:vector>
  </TitlesOfParts>
  <Company>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Kent.Chandler</cp:lastModifiedBy>
  <cp:lastPrinted>2017-03-01T20:40:06Z</cp:lastPrinted>
  <dcterms:created xsi:type="dcterms:W3CDTF">2005-05-02T15:31:48Z</dcterms:created>
  <dcterms:modified xsi:type="dcterms:W3CDTF">2017-03-03T20:15:17Z</dcterms:modified>
</cp:coreProperties>
</file>