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ox Files\Box Sync\Ron.Willhite - U Drive\2016 LGE-KU Rate Case 4-13-17\KU 2016\RLW Supplemental Testimony\"/>
    </mc:Choice>
  </mc:AlternateContent>
  <bookViews>
    <workbookView xWindow="0" yWindow="0" windowWidth="24000" windowHeight="8910"/>
  </bookViews>
  <sheets>
    <sheet name="Billing Data" sheetId="1" r:id="rId1"/>
    <sheet name="Rate Design " sheetId="3" r:id="rId2"/>
  </sheets>
  <definedNames>
    <definedName name="_xlnm.Print_Area" localSheetId="0">'Billing Data'!$A$1:$AN$242</definedName>
    <definedName name="_xlnm.Print_Area" localSheetId="1">'Rate Design '!$A$1:$AC$117</definedName>
    <definedName name="_xlnm.Print_Titles" localSheetId="1">'Rate Design 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0" i="3" l="1"/>
  <c r="L130" i="3" s="1"/>
  <c r="K132" i="3"/>
  <c r="K161" i="3"/>
  <c r="K141" i="3" s="1"/>
  <c r="L141" i="3" s="1"/>
  <c r="K164" i="3"/>
  <c r="K144" i="3" s="1"/>
  <c r="L144" i="3" s="1"/>
  <c r="K165" i="3"/>
  <c r="K145" i="3" s="1"/>
  <c r="L145" i="3" s="1"/>
  <c r="K167" i="3"/>
  <c r="K147" i="3" s="1"/>
  <c r="L147" i="3" s="1"/>
  <c r="K168" i="3"/>
  <c r="K148" i="3" s="1"/>
  <c r="L148" i="3" s="1"/>
  <c r="K160" i="3"/>
  <c r="K140" i="3" s="1"/>
  <c r="L140" i="3" s="1"/>
  <c r="L158" i="3"/>
  <c r="L156" i="3"/>
  <c r="H168" i="3"/>
  <c r="H167" i="3"/>
  <c r="H165" i="3"/>
  <c r="H164" i="3"/>
  <c r="H161" i="3"/>
  <c r="H160" i="3"/>
  <c r="H158" i="3"/>
  <c r="H156" i="3"/>
  <c r="L132" i="3"/>
  <c r="H151" i="3"/>
  <c r="I135" i="3" s="1"/>
  <c r="J135" i="3" s="1"/>
  <c r="H138" i="3"/>
  <c r="H137" i="3"/>
  <c r="H135" i="3"/>
  <c r="H134" i="3"/>
  <c r="J132" i="3"/>
  <c r="H132" i="3"/>
  <c r="J130" i="3"/>
  <c r="H130" i="3"/>
  <c r="H111" i="3"/>
  <c r="H110" i="3"/>
  <c r="H108" i="3"/>
  <c r="H107" i="3"/>
  <c r="H104" i="3"/>
  <c r="H103" i="3"/>
  <c r="Q101" i="3"/>
  <c r="Q100" i="3"/>
  <c r="Q98" i="3"/>
  <c r="Q97" i="3"/>
  <c r="H87" i="3"/>
  <c r="E86" i="3"/>
  <c r="X86" i="3" s="1"/>
  <c r="AA86" i="3" s="1"/>
  <c r="AC85" i="3"/>
  <c r="H84" i="3"/>
  <c r="AB81" i="3"/>
  <c r="H83" i="3" s="1"/>
  <c r="E81" i="3"/>
  <c r="X81" i="3" s="1"/>
  <c r="H80" i="3"/>
  <c r="H79" i="3"/>
  <c r="X75" i="3"/>
  <c r="E74" i="3"/>
  <c r="X74" i="3" s="1"/>
  <c r="H63" i="3"/>
  <c r="H62" i="3"/>
  <c r="X61" i="3"/>
  <c r="H60" i="3"/>
  <c r="H59" i="3"/>
  <c r="H56" i="3"/>
  <c r="H55" i="3"/>
  <c r="Q53" i="3"/>
  <c r="Q52" i="3"/>
  <c r="Q50" i="3"/>
  <c r="Q49" i="3"/>
  <c r="H35" i="3"/>
  <c r="H34" i="3"/>
  <c r="H32" i="3"/>
  <c r="H31" i="3"/>
  <c r="E29" i="3"/>
  <c r="H28" i="3"/>
  <c r="H27" i="3"/>
  <c r="Q25" i="3"/>
  <c r="Q24" i="3"/>
  <c r="E24" i="3"/>
  <c r="Q22" i="3"/>
  <c r="Q21" i="3"/>
  <c r="Q17" i="3"/>
  <c r="S8" i="3"/>
  <c r="R8" i="3"/>
  <c r="Q8" i="3"/>
  <c r="P8" i="3"/>
  <c r="O8" i="3"/>
  <c r="N8" i="3"/>
  <c r="E77" i="3" s="1"/>
  <c r="M8" i="3"/>
  <c r="L8" i="3"/>
  <c r="E80" i="3" s="1"/>
  <c r="K8" i="3"/>
  <c r="E84" i="3" s="1"/>
  <c r="X84" i="3" s="1"/>
  <c r="AA84" i="3" s="1"/>
  <c r="J8" i="3"/>
  <c r="E87" i="3" s="1"/>
  <c r="I8" i="3"/>
  <c r="E76" i="3" s="1"/>
  <c r="H8" i="3"/>
  <c r="E73" i="3" s="1"/>
  <c r="G8" i="3"/>
  <c r="E79" i="3" s="1"/>
  <c r="F8" i="3"/>
  <c r="E83" i="3" s="1"/>
  <c r="E8" i="3"/>
  <c r="D8" i="3"/>
  <c r="F71" i="3" s="1"/>
  <c r="C8" i="3"/>
  <c r="B8" i="3"/>
  <c r="D69" i="3" s="1"/>
  <c r="H69" i="3" s="1"/>
  <c r="S6" i="3"/>
  <c r="R6" i="3"/>
  <c r="Q6" i="3"/>
  <c r="E57" i="3" s="1"/>
  <c r="E105" i="3" s="1"/>
  <c r="P6" i="3"/>
  <c r="O6" i="3"/>
  <c r="N6" i="3"/>
  <c r="E53" i="3" s="1"/>
  <c r="M6" i="3"/>
  <c r="E50" i="3" s="1"/>
  <c r="K66" i="3" s="1"/>
  <c r="L6" i="3"/>
  <c r="E56" i="3" s="1"/>
  <c r="K6" i="3"/>
  <c r="E60" i="3" s="1"/>
  <c r="E108" i="3" s="1"/>
  <c r="J6" i="3"/>
  <c r="E63" i="3" s="1"/>
  <c r="I6" i="3"/>
  <c r="E52" i="3" s="1"/>
  <c r="K52" i="3" s="1"/>
  <c r="T52" i="3" s="1"/>
  <c r="H6" i="3"/>
  <c r="E49" i="3" s="1"/>
  <c r="K49" i="3" s="1"/>
  <c r="T49" i="3" s="1"/>
  <c r="G6" i="3"/>
  <c r="E55" i="3" s="1"/>
  <c r="F6" i="3"/>
  <c r="E59" i="3" s="1"/>
  <c r="E6" i="3"/>
  <c r="E62" i="3" s="1"/>
  <c r="Q62" i="3" s="1"/>
  <c r="D6" i="3"/>
  <c r="F47" i="3" s="1"/>
  <c r="C6" i="3"/>
  <c r="B6" i="3"/>
  <c r="D45" i="3" s="1"/>
  <c r="S4" i="3"/>
  <c r="R4" i="3"/>
  <c r="Q4" i="3"/>
  <c r="P4" i="3"/>
  <c r="O4" i="3"/>
  <c r="N4" i="3"/>
  <c r="E25" i="3" s="1"/>
  <c r="M4" i="3"/>
  <c r="E22" i="3" s="1"/>
  <c r="L4" i="3"/>
  <c r="E28" i="3" s="1"/>
  <c r="K4" i="3"/>
  <c r="E32" i="3" s="1"/>
  <c r="J4" i="3"/>
  <c r="E35" i="3" s="1"/>
  <c r="I4" i="3"/>
  <c r="H4" i="3"/>
  <c r="E21" i="3" s="1"/>
  <c r="G4" i="3"/>
  <c r="E27" i="3" s="1"/>
  <c r="Q27" i="3" s="1"/>
  <c r="F4" i="3"/>
  <c r="E31" i="3" s="1"/>
  <c r="E4" i="3"/>
  <c r="E34" i="3" s="1"/>
  <c r="Q34" i="3" s="1"/>
  <c r="D4" i="3"/>
  <c r="F19" i="3" s="1"/>
  <c r="C4" i="3"/>
  <c r="B4" i="3"/>
  <c r="D17" i="3" s="1"/>
  <c r="X76" i="3" l="1"/>
  <c r="Q76" i="3"/>
  <c r="M49" i="3"/>
  <c r="M50" i="3"/>
  <c r="M52" i="3"/>
  <c r="M53" i="3"/>
  <c r="I134" i="3"/>
  <c r="J134" i="3" s="1"/>
  <c r="I138" i="3"/>
  <c r="J138" i="3" s="1"/>
  <c r="H170" i="3"/>
  <c r="I137" i="3"/>
  <c r="J137" i="3" s="1"/>
  <c r="E104" i="3"/>
  <c r="Q104" i="3" s="1"/>
  <c r="L150" i="3"/>
  <c r="H150" i="3"/>
  <c r="T17" i="3"/>
  <c r="H17" i="3"/>
  <c r="N17" i="3"/>
  <c r="K17" i="3"/>
  <c r="Q31" i="3"/>
  <c r="Q35" i="3"/>
  <c r="K25" i="3"/>
  <c r="T25" i="3" s="1"/>
  <c r="N47" i="3"/>
  <c r="F95" i="3"/>
  <c r="T47" i="3"/>
  <c r="H47" i="3"/>
  <c r="Y47" i="3"/>
  <c r="Q47" i="3"/>
  <c r="K47" i="3"/>
  <c r="N19" i="3"/>
  <c r="T19" i="3"/>
  <c r="H19" i="3"/>
  <c r="Q19" i="3"/>
  <c r="K19" i="3"/>
  <c r="K21" i="3"/>
  <c r="T21" i="3" s="1"/>
  <c r="Q28" i="3"/>
  <c r="D93" i="3"/>
  <c r="Q45" i="3"/>
  <c r="W45" i="3"/>
  <c r="K45" i="3"/>
  <c r="T45" i="3"/>
  <c r="N45" i="3"/>
  <c r="H45" i="3"/>
  <c r="H65" i="3" s="1"/>
  <c r="X63" i="3"/>
  <c r="E111" i="3"/>
  <c r="Q63" i="3"/>
  <c r="N71" i="3"/>
  <c r="T71" i="3"/>
  <c r="H71" i="3"/>
  <c r="Q71" i="3"/>
  <c r="K71" i="3"/>
  <c r="Y71" i="3"/>
  <c r="E107" i="3"/>
  <c r="Q59" i="3"/>
  <c r="E101" i="3"/>
  <c r="X53" i="3"/>
  <c r="X73" i="3"/>
  <c r="Q73" i="3"/>
  <c r="Q80" i="3"/>
  <c r="K24" i="3"/>
  <c r="T24" i="3" s="1"/>
  <c r="E103" i="3"/>
  <c r="Q55" i="3"/>
  <c r="Q60" i="3"/>
  <c r="K22" i="3"/>
  <c r="T22" i="3" s="1"/>
  <c r="X60" i="3"/>
  <c r="K74" i="3"/>
  <c r="T74" i="3" s="1"/>
  <c r="Q90" i="3"/>
  <c r="X79" i="3"/>
  <c r="X80" i="3"/>
  <c r="Q86" i="3"/>
  <c r="E97" i="3"/>
  <c r="X49" i="3"/>
  <c r="Q56" i="3"/>
  <c r="Q69" i="3"/>
  <c r="W69" i="3"/>
  <c r="K69" i="3"/>
  <c r="Q83" i="3"/>
  <c r="Q87" i="3"/>
  <c r="Q77" i="3"/>
  <c r="X77" i="3"/>
  <c r="X56" i="3"/>
  <c r="X59" i="3"/>
  <c r="N69" i="3"/>
  <c r="K73" i="3"/>
  <c r="T73" i="3" s="1"/>
  <c r="K76" i="3"/>
  <c r="T76" i="3" s="1"/>
  <c r="K77" i="3"/>
  <c r="T77" i="3" s="1"/>
  <c r="Q108" i="3"/>
  <c r="Q32" i="3"/>
  <c r="E100" i="3"/>
  <c r="X52" i="3"/>
  <c r="E98" i="3"/>
  <c r="X50" i="3"/>
  <c r="K50" i="3"/>
  <c r="T50" i="3" s="1"/>
  <c r="K53" i="3"/>
  <c r="T53" i="3" s="1"/>
  <c r="X55" i="3"/>
  <c r="X57" i="3"/>
  <c r="E110" i="3"/>
  <c r="X62" i="3"/>
  <c r="T69" i="3"/>
  <c r="Q74" i="3"/>
  <c r="Q79" i="3"/>
  <c r="X83" i="3"/>
  <c r="Q84" i="3"/>
  <c r="X87" i="3"/>
  <c r="T111" i="1"/>
  <c r="S112" i="1"/>
  <c r="S111" i="1"/>
  <c r="J132" i="1"/>
  <c r="J128" i="1"/>
  <c r="H132" i="1"/>
  <c r="H126" i="1"/>
  <c r="J150" i="3" l="1"/>
  <c r="J151" i="3" s="1"/>
  <c r="M150" i="3"/>
  <c r="Q37" i="3"/>
  <c r="H37" i="3"/>
  <c r="K98" i="3"/>
  <c r="T98" i="3" s="1"/>
  <c r="Q89" i="3"/>
  <c r="K117" i="3"/>
  <c r="K97" i="3"/>
  <c r="T97" i="3" s="1"/>
  <c r="K101" i="3"/>
  <c r="T101" i="3" s="1"/>
  <c r="AA71" i="3"/>
  <c r="AC71" i="3"/>
  <c r="Q111" i="3"/>
  <c r="Q93" i="3"/>
  <c r="K93" i="3"/>
  <c r="T93" i="3"/>
  <c r="N93" i="3"/>
  <c r="H93" i="3"/>
  <c r="K95" i="3"/>
  <c r="Q95" i="3"/>
  <c r="T95" i="3"/>
  <c r="N95" i="3"/>
  <c r="H95" i="3"/>
  <c r="K37" i="3"/>
  <c r="AA87" i="3"/>
  <c r="AA52" i="3"/>
  <c r="K65" i="3"/>
  <c r="AA47" i="3"/>
  <c r="AC47" i="3"/>
  <c r="Q110" i="3"/>
  <c r="K100" i="3"/>
  <c r="T100" i="3" s="1"/>
  <c r="K89" i="3"/>
  <c r="AA80" i="3"/>
  <c r="Q117" i="3"/>
  <c r="Q103" i="3"/>
  <c r="AC45" i="3"/>
  <c r="AA45" i="3"/>
  <c r="AA83" i="3"/>
  <c r="AA50" i="3"/>
  <c r="AC69" i="3"/>
  <c r="AA69" i="3"/>
  <c r="AA49" i="3"/>
  <c r="AA79" i="3"/>
  <c r="AA53" i="3"/>
  <c r="Q107" i="3"/>
  <c r="Q65" i="3"/>
  <c r="T112" i="1"/>
  <c r="W95" i="1"/>
  <c r="W93" i="1"/>
  <c r="L168" i="3" l="1"/>
  <c r="L167" i="3"/>
  <c r="L161" i="3"/>
  <c r="L165" i="3"/>
  <c r="L164" i="3"/>
  <c r="L160" i="3"/>
  <c r="AA89" i="3"/>
  <c r="K113" i="3"/>
  <c r="H113" i="3"/>
  <c r="Q113" i="3"/>
  <c r="AA65" i="3"/>
  <c r="S108" i="3"/>
  <c r="S104" i="3"/>
  <c r="S34" i="3"/>
  <c r="T34" i="3" s="1"/>
  <c r="S111" i="3"/>
  <c r="S31" i="3"/>
  <c r="T31" i="3" s="1"/>
  <c r="S29" i="3"/>
  <c r="S27" i="3"/>
  <c r="T27" i="3" s="1"/>
  <c r="T37" i="3" s="1"/>
  <c r="S107" i="3"/>
  <c r="S28" i="3"/>
  <c r="T28" i="3" s="1"/>
  <c r="S32" i="3"/>
  <c r="T32" i="3" s="1"/>
  <c r="S110" i="3"/>
  <c r="S105" i="3"/>
  <c r="S103" i="3"/>
  <c r="S35" i="3"/>
  <c r="T35" i="3" s="1"/>
  <c r="M101" i="3"/>
  <c r="M98" i="3"/>
  <c r="M100" i="3"/>
  <c r="M97" i="3"/>
  <c r="M21" i="3"/>
  <c r="N21" i="3" s="1"/>
  <c r="M22" i="3"/>
  <c r="N22" i="3" s="1"/>
  <c r="M24" i="3"/>
  <c r="N24" i="3" s="1"/>
  <c r="M25" i="3"/>
  <c r="N25" i="3" s="1"/>
  <c r="R112" i="1"/>
  <c r="V95" i="1"/>
  <c r="U95" i="1"/>
  <c r="T95" i="1"/>
  <c r="P28" i="1"/>
  <c r="P12" i="1"/>
  <c r="P44" i="1"/>
  <c r="P61" i="1"/>
  <c r="P78" i="1"/>
  <c r="L170" i="3" l="1"/>
  <c r="M170" i="3" s="1"/>
  <c r="M172" i="3" s="1"/>
  <c r="S62" i="3"/>
  <c r="T62" i="3" s="1"/>
  <c r="S86" i="3"/>
  <c r="T110" i="3"/>
  <c r="M76" i="3"/>
  <c r="N76" i="3" s="1"/>
  <c r="N100" i="3"/>
  <c r="S56" i="3"/>
  <c r="T56" i="3" s="1"/>
  <c r="S80" i="3"/>
  <c r="T104" i="3"/>
  <c r="M73" i="3"/>
  <c r="N73" i="3" s="1"/>
  <c r="N97" i="3"/>
  <c r="M74" i="3"/>
  <c r="N74" i="3" s="1"/>
  <c r="N98" i="3"/>
  <c r="S79" i="3"/>
  <c r="S55" i="3"/>
  <c r="T55" i="3" s="1"/>
  <c r="T103" i="3"/>
  <c r="S84" i="3"/>
  <c r="S60" i="3"/>
  <c r="T60" i="3" s="1"/>
  <c r="T108" i="3"/>
  <c r="N37" i="3"/>
  <c r="M77" i="3"/>
  <c r="N77" i="3" s="1"/>
  <c r="N101" i="3"/>
  <c r="S83" i="3"/>
  <c r="S59" i="3"/>
  <c r="T59" i="3" s="1"/>
  <c r="T107" i="3"/>
  <c r="S63" i="3"/>
  <c r="T63" i="3" s="1"/>
  <c r="S87" i="3"/>
  <c r="T111" i="3"/>
  <c r="T65" i="3" l="1"/>
  <c r="AB87" i="3"/>
  <c r="AC87" i="3" s="1"/>
  <c r="T87" i="3"/>
  <c r="AB83" i="3"/>
  <c r="AC83" i="3" s="1"/>
  <c r="T83" i="3"/>
  <c r="T113" i="3"/>
  <c r="T115" i="3" s="1"/>
  <c r="N89" i="3"/>
  <c r="O90" i="3" s="1"/>
  <c r="AB80" i="3"/>
  <c r="AC80" i="3" s="1"/>
  <c r="T80" i="3"/>
  <c r="AB52" i="3"/>
  <c r="AC52" i="3" s="1"/>
  <c r="N52" i="3"/>
  <c r="AB50" i="3"/>
  <c r="AC50" i="3" s="1"/>
  <c r="N50" i="3"/>
  <c r="AB53" i="3"/>
  <c r="AC53" i="3" s="1"/>
  <c r="N53" i="3"/>
  <c r="AB79" i="3"/>
  <c r="AC79" i="3" s="1"/>
  <c r="T79" i="3"/>
  <c r="N113" i="3"/>
  <c r="N115" i="3" s="1"/>
  <c r="AB86" i="3"/>
  <c r="AC86" i="3" s="1"/>
  <c r="T86" i="3"/>
  <c r="AB84" i="3"/>
  <c r="T84" i="3"/>
  <c r="AB49" i="3"/>
  <c r="AC49" i="3" s="1"/>
  <c r="N49" i="3"/>
  <c r="D75" i="1"/>
  <c r="D79" i="1" s="1"/>
  <c r="N65" i="3" l="1"/>
  <c r="O66" i="3" s="1"/>
  <c r="AC65" i="3"/>
  <c r="AE65" i="3" s="1"/>
  <c r="H86" i="3"/>
  <c r="H89" i="3" s="1"/>
  <c r="AC84" i="3"/>
  <c r="AC89" i="3" s="1"/>
  <c r="AE89" i="3" s="1"/>
  <c r="T89" i="3"/>
  <c r="U90" i="3" s="1"/>
  <c r="U65" i="3"/>
  <c r="J90" i="3" s="1"/>
  <c r="K90" i="3" s="1"/>
  <c r="U66" i="3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A88" i="1"/>
  <c r="AA90" i="1"/>
  <c r="AA92" i="1"/>
  <c r="AA94" i="1"/>
  <c r="Z94" i="1"/>
  <c r="Z92" i="1"/>
  <c r="Z90" i="1"/>
  <c r="Z88" i="1"/>
  <c r="X94" i="1"/>
  <c r="W94" i="1"/>
  <c r="X92" i="1"/>
  <c r="W92" i="1"/>
  <c r="X90" i="1"/>
  <c r="W90" i="1"/>
  <c r="X88" i="1"/>
  <c r="W88" i="1"/>
  <c r="U88" i="1"/>
  <c r="T88" i="1"/>
  <c r="J102" i="1"/>
  <c r="G102" i="1"/>
  <c r="D100" i="1"/>
  <c r="D98" i="1"/>
  <c r="P90" i="1"/>
  <c r="O90" i="1"/>
  <c r="N90" i="1"/>
  <c r="M90" i="1"/>
  <c r="K90" i="1"/>
  <c r="J90" i="1"/>
  <c r="H90" i="1"/>
  <c r="G90" i="1"/>
  <c r="E90" i="1"/>
  <c r="D90" i="1"/>
  <c r="P88" i="1"/>
  <c r="O88" i="1"/>
  <c r="N88" i="1"/>
  <c r="M88" i="1"/>
  <c r="K88" i="1"/>
  <c r="J88" i="1"/>
  <c r="H88" i="1"/>
  <c r="G88" i="1"/>
  <c r="E88" i="1"/>
  <c r="D88" i="1"/>
  <c r="E85" i="1"/>
  <c r="S83" i="1"/>
  <c r="S82" i="1"/>
  <c r="S81" i="1"/>
  <c r="U77" i="1"/>
  <c r="U79" i="1" s="1"/>
  <c r="T77" i="1"/>
  <c r="T79" i="1" s="1"/>
  <c r="P77" i="1"/>
  <c r="P79" i="1" s="1"/>
  <c r="U75" i="1"/>
  <c r="T75" i="1"/>
  <c r="P75" i="1"/>
  <c r="O75" i="1"/>
  <c r="M75" i="1"/>
  <c r="K75" i="1"/>
  <c r="K79" i="1" s="1"/>
  <c r="J75" i="1"/>
  <c r="J79" i="1" s="1"/>
  <c r="H75" i="1"/>
  <c r="H79" i="1" s="1"/>
  <c r="G75" i="1"/>
  <c r="G79" i="1" s="1"/>
  <c r="E75" i="1"/>
  <c r="E79" i="1" s="1"/>
  <c r="AE92" i="3" l="1"/>
  <c r="U92" i="3"/>
  <c r="S17" i="1" l="1"/>
  <c r="S16" i="1"/>
  <c r="S15" i="1"/>
  <c r="S33" i="1"/>
  <c r="S32" i="1"/>
  <c r="S31" i="1"/>
  <c r="S49" i="1"/>
  <c r="S48" i="1"/>
  <c r="S47" i="1"/>
  <c r="S66" i="1"/>
  <c r="S65" i="1"/>
  <c r="S64" i="1"/>
  <c r="AF230" i="1" l="1"/>
  <c r="AF228" i="1"/>
  <c r="M217" i="1" l="1"/>
  <c r="D187" i="1" l="1"/>
  <c r="D191" i="1" s="1"/>
  <c r="W185" i="1" s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Z223" i="1"/>
  <c r="Z221" i="1"/>
  <c r="Z217" i="1"/>
  <c r="E229" i="1"/>
  <c r="D229" i="1"/>
  <c r="K219" i="1"/>
  <c r="J219" i="1"/>
  <c r="H219" i="1"/>
  <c r="G219" i="1"/>
  <c r="E219" i="1"/>
  <c r="D219" i="1"/>
  <c r="J231" i="1"/>
  <c r="G231" i="1"/>
  <c r="X223" i="1"/>
  <c r="W223" i="1"/>
  <c r="V223" i="1"/>
  <c r="V225" i="1" s="1"/>
  <c r="X221" i="1"/>
  <c r="W221" i="1"/>
  <c r="O220" i="1"/>
  <c r="P219" i="1"/>
  <c r="O219" i="1"/>
  <c r="M219" i="1"/>
  <c r="M221" i="1" s="1"/>
  <c r="X217" i="1"/>
  <c r="W217" i="1"/>
  <c r="U217" i="1"/>
  <c r="U221" i="1" s="1"/>
  <c r="U223" i="1" s="1"/>
  <c r="U225" i="1" s="1"/>
  <c r="T217" i="1"/>
  <c r="T221" i="1" s="1"/>
  <c r="T223" i="1" s="1"/>
  <c r="T225" i="1" s="1"/>
  <c r="D197" i="1"/>
  <c r="E231" i="1" l="1"/>
  <c r="F219" i="1"/>
  <c r="I219" i="1"/>
  <c r="L219" i="1"/>
  <c r="E214" i="1"/>
  <c r="D214" i="1"/>
  <c r="U206" i="1"/>
  <c r="U208" i="1" s="1"/>
  <c r="T206" i="1"/>
  <c r="T208" i="1" s="1"/>
  <c r="U204" i="1"/>
  <c r="T204" i="1"/>
  <c r="P204" i="1"/>
  <c r="P206" i="1" s="1"/>
  <c r="P208" i="1" s="1"/>
  <c r="O204" i="1"/>
  <c r="X202" i="1" s="1"/>
  <c r="M204" i="1"/>
  <c r="K204" i="1"/>
  <c r="K208" i="1" s="1"/>
  <c r="J204" i="1"/>
  <c r="J208" i="1" s="1"/>
  <c r="H204" i="1"/>
  <c r="H208" i="1" s="1"/>
  <c r="G204" i="1"/>
  <c r="G208" i="1" s="1"/>
  <c r="E204" i="1"/>
  <c r="E208" i="1" s="1"/>
  <c r="D204" i="1"/>
  <c r="E197" i="1"/>
  <c r="U189" i="1"/>
  <c r="U191" i="1" s="1"/>
  <c r="T189" i="1"/>
  <c r="T191" i="1" s="1"/>
  <c r="U187" i="1"/>
  <c r="T187" i="1"/>
  <c r="P187" i="1"/>
  <c r="P189" i="1" s="1"/>
  <c r="P191" i="1" s="1"/>
  <c r="O187" i="1"/>
  <c r="X185" i="1" s="1"/>
  <c r="M187" i="1"/>
  <c r="K187" i="1"/>
  <c r="K191" i="1" s="1"/>
  <c r="J187" i="1"/>
  <c r="J191" i="1" s="1"/>
  <c r="H187" i="1"/>
  <c r="H191" i="1" s="1"/>
  <c r="G187" i="1"/>
  <c r="G191" i="1" s="1"/>
  <c r="E187" i="1"/>
  <c r="E191" i="1" s="1"/>
  <c r="D208" i="1" l="1"/>
  <c r="W202" i="1"/>
  <c r="AA219" i="1"/>
  <c r="AB219" i="1"/>
  <c r="AC219" i="1"/>
  <c r="AD219" i="1"/>
  <c r="AE219" i="1"/>
  <c r="AF219" i="1"/>
  <c r="AG219" i="1"/>
  <c r="AI219" i="1"/>
  <c r="AJ219" i="1"/>
  <c r="AK219" i="1"/>
  <c r="AL219" i="1"/>
  <c r="AM219" i="1"/>
  <c r="AN219" i="1"/>
  <c r="J111" i="1"/>
  <c r="J113" i="1" s="1"/>
  <c r="G111" i="1"/>
  <c r="G113" i="1" s="1"/>
  <c r="Z219" i="1"/>
  <c r="T108" i="1"/>
  <c r="S108" i="1"/>
  <c r="P217" i="1"/>
  <c r="P221" i="1" s="1"/>
  <c r="P223" i="1" s="1"/>
  <c r="P225" i="1" s="1"/>
  <c r="O217" i="1"/>
  <c r="O221" i="1" s="1"/>
  <c r="D227" i="1"/>
  <c r="K217" i="1"/>
  <c r="J217" i="1"/>
  <c r="J221" i="1" s="1"/>
  <c r="J225" i="1" s="1"/>
  <c r="H217" i="1"/>
  <c r="G217" i="1"/>
  <c r="G221" i="1" s="1"/>
  <c r="G225" i="1" s="1"/>
  <c r="E217" i="1"/>
  <c r="D217" i="1"/>
  <c r="D221" i="1" s="1"/>
  <c r="D225" i="1" s="1"/>
  <c r="E68" i="1"/>
  <c r="D68" i="1"/>
  <c r="U60" i="1"/>
  <c r="U62" i="1" s="1"/>
  <c r="T60" i="1"/>
  <c r="T62" i="1" s="1"/>
  <c r="U58" i="1"/>
  <c r="T58" i="1"/>
  <c r="P58" i="1"/>
  <c r="P60" i="1" s="1"/>
  <c r="P62" i="1" s="1"/>
  <c r="O58" i="1"/>
  <c r="M58" i="1"/>
  <c r="K58" i="1"/>
  <c r="K62" i="1" s="1"/>
  <c r="J58" i="1"/>
  <c r="J62" i="1" s="1"/>
  <c r="H58" i="1"/>
  <c r="H62" i="1" s="1"/>
  <c r="G58" i="1"/>
  <c r="G62" i="1" s="1"/>
  <c r="E58" i="1"/>
  <c r="E62" i="1" s="1"/>
  <c r="D58" i="1"/>
  <c r="D62" i="1" s="1"/>
  <c r="AA237" i="1" l="1"/>
  <c r="AA240" i="1"/>
  <c r="AA236" i="1"/>
  <c r="AA239" i="1"/>
  <c r="AA232" i="1"/>
  <c r="AA233" i="1"/>
  <c r="P81" i="1"/>
  <c r="P83" i="1"/>
  <c r="P82" i="1"/>
  <c r="AH219" i="1"/>
  <c r="P64" i="1"/>
  <c r="P65" i="1"/>
  <c r="P66" i="1"/>
  <c r="R108" i="1"/>
  <c r="W219" i="1"/>
  <c r="Q110" i="1"/>
  <c r="X219" i="1"/>
  <c r="Q108" i="1"/>
  <c r="H221" i="1"/>
  <c r="I217" i="1"/>
  <c r="E221" i="1"/>
  <c r="F217" i="1"/>
  <c r="K221" i="1"/>
  <c r="L217" i="1"/>
  <c r="AA171" i="1"/>
  <c r="AD171" i="1" s="1"/>
  <c r="AA166" i="1"/>
  <c r="AD166" i="1" s="1"/>
  <c r="AA174" i="1"/>
  <c r="AD174" i="1" s="1"/>
  <c r="AA170" i="1"/>
  <c r="AD170" i="1" s="1"/>
  <c r="Z228" i="1"/>
  <c r="D231" i="1"/>
  <c r="Q106" i="1" s="1"/>
  <c r="AA167" i="1"/>
  <c r="AD167" i="1" s="1"/>
  <c r="AK167" i="1" s="1"/>
  <c r="AA173" i="1"/>
  <c r="T43" i="1"/>
  <c r="T45" i="1" s="1"/>
  <c r="U43" i="1"/>
  <c r="U45" i="1" s="1"/>
  <c r="V94" i="1"/>
  <c r="V96" i="1" s="1"/>
  <c r="X157" i="1"/>
  <c r="AB145" i="1"/>
  <c r="AA154" i="1"/>
  <c r="AA147" i="1"/>
  <c r="AA151" i="1"/>
  <c r="AA155" i="1"/>
  <c r="AA152" i="1"/>
  <c r="AA148" i="1"/>
  <c r="AA149" i="1"/>
  <c r="AB230" i="1" l="1"/>
  <c r="AD230" i="1" s="1"/>
  <c r="X232" i="1"/>
  <c r="D111" i="1"/>
  <c r="D113" i="1" s="1"/>
  <c r="AD228" i="1"/>
  <c r="AG228" i="1"/>
  <c r="F221" i="1"/>
  <c r="E225" i="1"/>
  <c r="F225" i="1" s="1"/>
  <c r="AI149" i="1"/>
  <c r="AG149" i="1"/>
  <c r="K225" i="1"/>
  <c r="L221" i="1"/>
  <c r="I221" i="1"/>
  <c r="H225" i="1"/>
  <c r="AD173" i="1"/>
  <c r="AF179" i="1"/>
  <c r="AG155" i="1"/>
  <c r="AD155" i="1"/>
  <c r="AD154" i="1"/>
  <c r="AG154" i="1"/>
  <c r="AD152" i="1"/>
  <c r="AG152" i="1"/>
  <c r="AG151" i="1"/>
  <c r="AD151" i="1"/>
  <c r="AG147" i="1"/>
  <c r="AD147" i="1"/>
  <c r="AD148" i="1"/>
  <c r="AK148" i="1" s="1"/>
  <c r="AG145" i="1"/>
  <c r="AD145" i="1"/>
  <c r="AG230" i="1" l="1"/>
  <c r="AI230" i="1" s="1"/>
  <c r="AK230" i="1" s="1"/>
  <c r="AD242" i="1"/>
  <c r="W232" i="1" s="1"/>
  <c r="AK149" i="1"/>
  <c r="AF174" i="1"/>
  <c r="AF167" i="1"/>
  <c r="AF170" i="1"/>
  <c r="AF173" i="1"/>
  <c r="AF171" i="1"/>
  <c r="AF166" i="1"/>
  <c r="AF168" i="1"/>
  <c r="AI168" i="1" s="1"/>
  <c r="AI147" i="1"/>
  <c r="AK147" i="1" s="1"/>
  <c r="AI152" i="1"/>
  <c r="AK152" i="1" s="1"/>
  <c r="AI145" i="1"/>
  <c r="AK145" i="1" s="1"/>
  <c r="AI151" i="1"/>
  <c r="AK151" i="1" s="1"/>
  <c r="AI154" i="1"/>
  <c r="AK154" i="1" s="1"/>
  <c r="AI155" i="1"/>
  <c r="AK155" i="1" s="1"/>
  <c r="AG166" i="1" l="1"/>
  <c r="AI166" i="1" s="1"/>
  <c r="AK166" i="1" s="1"/>
  <c r="AF232" i="1"/>
  <c r="AG232" i="1" s="1"/>
  <c r="AG167" i="1"/>
  <c r="AF233" i="1"/>
  <c r="AG233" i="1" s="1"/>
  <c r="AI233" i="1" s="1"/>
  <c r="AK233" i="1" s="1"/>
  <c r="AG171" i="1"/>
  <c r="AI171" i="1" s="1"/>
  <c r="AK171" i="1" s="1"/>
  <c r="AF237" i="1"/>
  <c r="AG237" i="1" s="1"/>
  <c r="AI237" i="1" s="1"/>
  <c r="AK237" i="1" s="1"/>
  <c r="AG174" i="1"/>
  <c r="AI174" i="1" s="1"/>
  <c r="AK174" i="1" s="1"/>
  <c r="AF240" i="1"/>
  <c r="AG240" i="1" s="1"/>
  <c r="AI240" i="1" s="1"/>
  <c r="AK240" i="1" s="1"/>
  <c r="AG173" i="1"/>
  <c r="AI173" i="1" s="1"/>
  <c r="AK173" i="1" s="1"/>
  <c r="AF239" i="1"/>
  <c r="AG239" i="1" s="1"/>
  <c r="AI239" i="1" s="1"/>
  <c r="AK239" i="1" s="1"/>
  <c r="AK168" i="1"/>
  <c r="AG170" i="1"/>
  <c r="AI170" i="1" s="1"/>
  <c r="AK170" i="1" s="1"/>
  <c r="AF236" i="1"/>
  <c r="AG236" i="1" s="1"/>
  <c r="AI236" i="1" s="1"/>
  <c r="AK236" i="1" s="1"/>
  <c r="E51" i="1"/>
  <c r="D51" i="1"/>
  <c r="E35" i="1"/>
  <c r="D35" i="1"/>
  <c r="E19" i="1"/>
  <c r="D19" i="1"/>
  <c r="AI232" i="1" l="1"/>
  <c r="AK232" i="1" s="1"/>
  <c r="AG242" i="1"/>
  <c r="AI242" i="1" s="1"/>
  <c r="AK242" i="1" s="1"/>
  <c r="AD121" i="1"/>
  <c r="AG121" i="1"/>
  <c r="D102" i="1"/>
  <c r="E102" i="1"/>
  <c r="X139" i="1"/>
  <c r="AI228" i="1" l="1"/>
  <c r="AK228" i="1" s="1"/>
  <c r="AI121" i="1"/>
  <c r="AK121" i="1" s="1"/>
  <c r="T110" i="1"/>
  <c r="S110" i="1"/>
  <c r="U41" i="1"/>
  <c r="T41" i="1"/>
  <c r="U25" i="1"/>
  <c r="U27" i="1" s="1"/>
  <c r="U29" i="1" s="1"/>
  <c r="T25" i="1"/>
  <c r="T27" i="1" s="1"/>
  <c r="T29" i="1" s="1"/>
  <c r="U9" i="1"/>
  <c r="T9" i="1"/>
  <c r="U92" i="1"/>
  <c r="T92" i="1"/>
  <c r="R110" i="1" l="1"/>
  <c r="T11" i="1"/>
  <c r="T13" i="1" s="1"/>
  <c r="U11" i="1"/>
  <c r="U13" i="1" s="1"/>
  <c r="S116" i="1"/>
  <c r="T94" i="1"/>
  <c r="T96" i="1" s="1"/>
  <c r="S114" i="1" s="1"/>
  <c r="T116" i="1"/>
  <c r="U94" i="1"/>
  <c r="U96" i="1" s="1"/>
  <c r="T114" i="1" s="1"/>
  <c r="AB131" i="1"/>
  <c r="AA133" i="1"/>
  <c r="AA136" i="1"/>
  <c r="AA134" i="1"/>
  <c r="AA137" i="1"/>
  <c r="AB164" i="1" l="1"/>
  <c r="R116" i="1"/>
  <c r="R114" i="1"/>
  <c r="AD133" i="1"/>
  <c r="AG133" i="1"/>
  <c r="AG123" i="1"/>
  <c r="AD123" i="1"/>
  <c r="AD125" i="1" s="1"/>
  <c r="AD137" i="1"/>
  <c r="AG137" i="1"/>
  <c r="AG134" i="1"/>
  <c r="AD134" i="1"/>
  <c r="AG136" i="1"/>
  <c r="AD136" i="1"/>
  <c r="AD131" i="1"/>
  <c r="AG131" i="1"/>
  <c r="J107" i="1"/>
  <c r="G107" i="1"/>
  <c r="D107" i="1"/>
  <c r="D109" i="1" s="1"/>
  <c r="D115" i="1" s="1"/>
  <c r="AD164" i="1" l="1"/>
  <c r="AI136" i="1"/>
  <c r="AK136" i="1" s="1"/>
  <c r="AI133" i="1"/>
  <c r="AK133" i="1" s="1"/>
  <c r="AG164" i="1"/>
  <c r="AI134" i="1"/>
  <c r="AK134" i="1" s="1"/>
  <c r="AI123" i="1"/>
  <c r="AK123" i="1" s="1"/>
  <c r="AG125" i="1"/>
  <c r="AI125" i="1" s="1"/>
  <c r="AK125" i="1" s="1"/>
  <c r="AI137" i="1"/>
  <c r="AK137" i="1" s="1"/>
  <c r="AI131" i="1"/>
  <c r="AK131" i="1" s="1"/>
  <c r="AI164" i="1" l="1"/>
  <c r="AK164" i="1" s="1"/>
  <c r="P92" i="1"/>
  <c r="P94" i="1" s="1"/>
  <c r="P41" i="1"/>
  <c r="P43" i="1" s="1"/>
  <c r="P45" i="1" s="1"/>
  <c r="P25" i="1"/>
  <c r="P27" i="1" s="1"/>
  <c r="P29" i="1" s="1"/>
  <c r="P9" i="1"/>
  <c r="K19" i="1"/>
  <c r="H19" i="1"/>
  <c r="O9" i="1"/>
  <c r="M9" i="1"/>
  <c r="K9" i="1"/>
  <c r="J9" i="1"/>
  <c r="H9" i="1"/>
  <c r="G9" i="1"/>
  <c r="E9" i="1"/>
  <c r="D9" i="1"/>
  <c r="O25" i="1"/>
  <c r="M25" i="1"/>
  <c r="K25" i="1"/>
  <c r="J25" i="1"/>
  <c r="H25" i="1"/>
  <c r="G25" i="1"/>
  <c r="E25" i="1"/>
  <c r="D25" i="1"/>
  <c r="O41" i="1"/>
  <c r="M41" i="1"/>
  <c r="K41" i="1"/>
  <c r="J41" i="1"/>
  <c r="H41" i="1"/>
  <c r="G41" i="1"/>
  <c r="E41" i="1"/>
  <c r="D41" i="1"/>
  <c r="O91" i="1"/>
  <c r="J92" i="1"/>
  <c r="G92" i="1"/>
  <c r="D92" i="1"/>
  <c r="P212" i="1" l="1"/>
  <c r="P211" i="1"/>
  <c r="P195" i="1"/>
  <c r="P229" i="1" s="1"/>
  <c r="P210" i="1"/>
  <c r="P194" i="1"/>
  <c r="P228" i="1" s="1"/>
  <c r="R231" i="1" s="1"/>
  <c r="P193" i="1"/>
  <c r="P227" i="1" s="1"/>
  <c r="E29" i="1"/>
  <c r="E13" i="1"/>
  <c r="P11" i="1"/>
  <c r="P13" i="1" s="1"/>
  <c r="G13" i="1"/>
  <c r="K13" i="1"/>
  <c r="H13" i="1"/>
  <c r="D13" i="1"/>
  <c r="H29" i="1"/>
  <c r="K29" i="1"/>
  <c r="D29" i="1"/>
  <c r="D96" i="1"/>
  <c r="D45" i="1"/>
  <c r="J45" i="1"/>
  <c r="P96" i="1"/>
  <c r="G109" i="1"/>
  <c r="G115" i="1" s="1"/>
  <c r="S120" i="1" s="1"/>
  <c r="J109" i="1"/>
  <c r="J115" i="1" s="1"/>
  <c r="T120" i="1" s="1"/>
  <c r="F90" i="1"/>
  <c r="L90" i="1"/>
  <c r="O92" i="1"/>
  <c r="I90" i="1"/>
  <c r="F88" i="1"/>
  <c r="L88" i="1"/>
  <c r="Z129" i="1"/>
  <c r="I88" i="1"/>
  <c r="E92" i="1"/>
  <c r="K92" i="1"/>
  <c r="H92" i="1"/>
  <c r="M92" i="1"/>
  <c r="P49" i="1"/>
  <c r="P32" i="1"/>
  <c r="R120" i="1" l="1"/>
  <c r="P98" i="1"/>
  <c r="P100" i="1"/>
  <c r="P99" i="1"/>
  <c r="Z143" i="1"/>
  <c r="AG129" i="1"/>
  <c r="AG139" i="1" s="1"/>
  <c r="AD129" i="1"/>
  <c r="G29" i="1"/>
  <c r="J13" i="1"/>
  <c r="E45" i="1"/>
  <c r="J29" i="1"/>
  <c r="G96" i="1"/>
  <c r="G45" i="1"/>
  <c r="J96" i="1"/>
  <c r="I92" i="1"/>
  <c r="L92" i="1"/>
  <c r="F92" i="1"/>
  <c r="E96" i="1"/>
  <c r="F96" i="1" s="1"/>
  <c r="T106" i="1"/>
  <c r="S106" i="1"/>
  <c r="P17" i="1"/>
  <c r="P15" i="1"/>
  <c r="P16" i="1"/>
  <c r="P48" i="1"/>
  <c r="P47" i="1"/>
  <c r="P31" i="1"/>
  <c r="P33" i="1"/>
  <c r="R106" i="1" l="1"/>
  <c r="Z162" i="1"/>
  <c r="AI129" i="1"/>
  <c r="AK129" i="1" s="1"/>
  <c r="AD139" i="1"/>
  <c r="AD143" i="1"/>
  <c r="AD157" i="1" s="1"/>
  <c r="W157" i="1" s="1"/>
  <c r="AG143" i="1"/>
  <c r="K96" i="1"/>
  <c r="K45" i="1"/>
  <c r="H96" i="1"/>
  <c r="H45" i="1"/>
  <c r="R102" i="1"/>
  <c r="R118" i="1" s="1"/>
  <c r="AD162" i="1" l="1"/>
  <c r="AD176" i="1" s="1"/>
  <c r="AD178" i="1" s="1"/>
  <c r="AD180" i="1" s="1"/>
  <c r="AG162" i="1"/>
  <c r="AG176" i="1" s="1"/>
  <c r="S118" i="1"/>
  <c r="T118" i="1"/>
  <c r="W139" i="1"/>
  <c r="AB178" i="1"/>
  <c r="AI139" i="1"/>
  <c r="AK139" i="1" s="1"/>
  <c r="AI143" i="1"/>
  <c r="AK143" i="1" s="1"/>
  <c r="AG157" i="1"/>
  <c r="AI157" i="1" s="1"/>
  <c r="AK157" i="1" s="1"/>
  <c r="AI176" i="1" l="1"/>
  <c r="AK176" i="1" s="1"/>
  <c r="AI162" i="1"/>
  <c r="AK162" i="1" s="1"/>
</calcChain>
</file>

<file path=xl/sharedStrings.xml><?xml version="1.0" encoding="utf-8"?>
<sst xmlns="http://schemas.openxmlformats.org/spreadsheetml/2006/main" count="548" uniqueCount="112">
  <si>
    <t>% Increase</t>
  </si>
  <si>
    <t>Avg KW</t>
  </si>
  <si>
    <t>&lt;250</t>
  </si>
  <si>
    <t>KWH</t>
  </si>
  <si>
    <t>GS 3- P  Current</t>
  </si>
  <si>
    <t>GS 3-P Proposed</t>
  </si>
  <si>
    <t>AES 3-P Current</t>
  </si>
  <si>
    <t>AES 3-P Proposed</t>
  </si>
  <si>
    <t>PS Sec Current</t>
  </si>
  <si>
    <t>PS Proposed</t>
  </si>
  <si>
    <t>TODS Current</t>
  </si>
  <si>
    <t>TODS Proposed</t>
  </si>
  <si>
    <t>kwh</t>
  </si>
  <si>
    <t>Total</t>
  </si>
  <si>
    <t>Less AES</t>
  </si>
  <si>
    <t xml:space="preserve">SUm of non AES </t>
  </si>
  <si>
    <t>Total Acct</t>
  </si>
  <si>
    <t>Net Accounts</t>
  </si>
  <si>
    <t>SID</t>
  </si>
  <si>
    <t>Winter CC Coincident Peak</t>
  </si>
  <si>
    <t>Summer CC Coincident Peak</t>
  </si>
  <si>
    <t>KU Coincident Peak</t>
  </si>
  <si>
    <t>Non-Coincident Peak</t>
  </si>
  <si>
    <t>Loss Adjusted NCP</t>
  </si>
  <si>
    <t>Loss Factor</t>
  </si>
  <si>
    <t>TOTAL</t>
  </si>
  <si>
    <t>SID less AES</t>
  </si>
  <si>
    <t>Per PSC 2-97</t>
  </si>
  <si>
    <t>LOLP</t>
  </si>
  <si>
    <t>CP Ratio</t>
  </si>
  <si>
    <t>Adjust to remove ECR</t>
  </si>
  <si>
    <t>Metered KW</t>
  </si>
  <si>
    <t>Minimum Increment</t>
  </si>
  <si>
    <t>Peak</t>
  </si>
  <si>
    <t>Inter</t>
  </si>
  <si>
    <t>Base</t>
  </si>
  <si>
    <t>Summer</t>
  </si>
  <si>
    <t>Winter</t>
  </si>
  <si>
    <t>TODS</t>
  </si>
  <si>
    <t>PS</t>
  </si>
  <si>
    <t>Current KW</t>
  </si>
  <si>
    <t>Proposed KW</t>
  </si>
  <si>
    <t>GS 3-P</t>
  </si>
  <si>
    <t>AES</t>
  </si>
  <si>
    <t>Kwh</t>
  </si>
  <si>
    <t>Customers</t>
  </si>
  <si>
    <t>Energy</t>
  </si>
  <si>
    <t>Revenues</t>
  </si>
  <si>
    <t>Max NCP</t>
  </si>
  <si>
    <t>School</t>
  </si>
  <si>
    <t>Rev</t>
  </si>
  <si>
    <t>Cost Study Input</t>
  </si>
  <si>
    <t>Customer Months</t>
  </si>
  <si>
    <t>kWh</t>
  </si>
  <si>
    <t>Current</t>
  </si>
  <si>
    <t>Rates</t>
  </si>
  <si>
    <t>Calculated</t>
  </si>
  <si>
    <t>PS-Secondary</t>
  </si>
  <si>
    <t xml:space="preserve">Basic Service </t>
  </si>
  <si>
    <t>Summer kW</t>
  </si>
  <si>
    <t>Winter kW</t>
  </si>
  <si>
    <t>Base kW</t>
  </si>
  <si>
    <t>Peak kW</t>
  </si>
  <si>
    <t xml:space="preserve">  Min Incr</t>
  </si>
  <si>
    <t xml:space="preserve">       Total</t>
  </si>
  <si>
    <t xml:space="preserve">    Total</t>
  </si>
  <si>
    <t>Inter kW</t>
  </si>
  <si>
    <t>Demand</t>
  </si>
  <si>
    <t>KW</t>
  </si>
  <si>
    <t xml:space="preserve">  Min Incr Old</t>
  </si>
  <si>
    <t xml:space="preserve">  Min Incr New</t>
  </si>
  <si>
    <t xml:space="preserve">Proposed </t>
  </si>
  <si>
    <t>Increase</t>
  </si>
  <si>
    <t>Percent</t>
  </si>
  <si>
    <t xml:space="preserve">Total Net </t>
  </si>
  <si>
    <t>`</t>
  </si>
  <si>
    <t>AES #1</t>
  </si>
  <si>
    <t>AES #2</t>
  </si>
  <si>
    <t>AES 3-P</t>
  </si>
  <si>
    <t>Total PS &amp; TODS</t>
  </si>
  <si>
    <t xml:space="preserve">rate Design </t>
  </si>
  <si>
    <t>Months</t>
  </si>
  <si>
    <t xml:space="preserve">Customer </t>
  </si>
  <si>
    <t>Cust</t>
  </si>
  <si>
    <t>Revenue</t>
  </si>
  <si>
    <t>Bills</t>
  </si>
  <si>
    <t>Kw</t>
  </si>
  <si>
    <t>KWh</t>
  </si>
  <si>
    <t>PS &amp; TODS</t>
  </si>
  <si>
    <t>Billings</t>
  </si>
  <si>
    <t>ECR</t>
  </si>
  <si>
    <t>Reduction</t>
  </si>
  <si>
    <t>Present Rates</t>
  </si>
  <si>
    <t>Proposed Rates</t>
  </si>
  <si>
    <t>Seelye Corrections Post Filing Billing Data</t>
  </si>
  <si>
    <t>#1</t>
  </si>
  <si>
    <t>#2</t>
  </si>
  <si>
    <t>#3</t>
  </si>
  <si>
    <t>#4</t>
  </si>
  <si>
    <t>Did not update AES</t>
  </si>
  <si>
    <t>#5</t>
  </si>
  <si>
    <t>ECR Base</t>
  </si>
  <si>
    <t>Base ECR</t>
  </si>
  <si>
    <t>Demands</t>
  </si>
  <si>
    <t>Kw Chg Adj</t>
  </si>
  <si>
    <t>PS sec</t>
  </si>
  <si>
    <t>Base Rat</t>
  </si>
  <si>
    <t>Present</t>
  </si>
  <si>
    <t>Interim</t>
  </si>
  <si>
    <t>Proposed</t>
  </si>
  <si>
    <t>Existing PS</t>
  </si>
  <si>
    <t>Existing TODS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</si>
</sst>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0.0%"/>
    <numFmt numFmtId="168" formatCode="_(* #,##0.0_);_(* \(#,##0.0\);_(* &quot;-&quot;??_);_(@_)"/>
    <numFmt numFmtId="169" formatCode="&quot;$&quot;#,##0.0000"/>
    <numFmt numFmtId="170" formatCode="&quot;$&quot;#,##0.000000"/>
    <numFmt numFmtId="171" formatCode="0.00000"/>
    <numFmt numFmtId="172" formatCode="&quot;$&quot;#,##0.0"/>
    <numFmt numFmtId="173" formatCode="_(* #,##0.0000_);_(* \(#,##0.0000\);_(* &quot;-&quot;??_);_(@_)"/>
    <numFmt numFmtId="174" formatCode="_(* #,##0.00000_);_(* \(#,##0.00000\);_(* &quot;-&quot;??_);_(@_)"/>
    <numFmt numFmtId="175" formatCode="&quot;$&quot;#,##0.00000"/>
    <numFmt numFmtId="176" formatCode="&quot;$&quot;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4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165" fontId="0" fillId="0" borderId="5" xfId="1" applyNumberFormat="1" applyFont="1" applyFill="1" applyBorder="1"/>
    <xf numFmtId="165" fontId="0" fillId="0" borderId="0" xfId="1" applyNumberFormat="1" applyFont="1" applyFill="1" applyBorder="1"/>
    <xf numFmtId="164" fontId="0" fillId="0" borderId="11" xfId="0" applyNumberFormat="1" applyBorder="1"/>
    <xf numFmtId="164" fontId="0" fillId="0" borderId="0" xfId="0" applyNumberFormat="1" applyBorder="1"/>
    <xf numFmtId="164" fontId="0" fillId="0" borderId="8" xfId="0" applyNumberFormat="1" applyBorder="1"/>
    <xf numFmtId="0" fontId="0" fillId="0" borderId="0" xfId="0" applyBorder="1"/>
    <xf numFmtId="0" fontId="0" fillId="0" borderId="7" xfId="0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9" xfId="0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165" fontId="0" fillId="0" borderId="0" xfId="1" applyNumberFormat="1" applyFont="1" applyBorder="1"/>
    <xf numFmtId="165" fontId="0" fillId="0" borderId="8" xfId="1" applyNumberFormat="1" applyFont="1" applyBorder="1"/>
    <xf numFmtId="165" fontId="0" fillId="0" borderId="10" xfId="1" applyNumberFormat="1" applyFont="1" applyBorder="1"/>
    <xf numFmtId="165" fontId="0" fillId="0" borderId="11" xfId="1" applyNumberFormat="1" applyFont="1" applyBorder="1"/>
    <xf numFmtId="0" fontId="0" fillId="0" borderId="21" xfId="0" applyBorder="1"/>
    <xf numFmtId="165" fontId="1" fillId="0" borderId="0" xfId="1" applyNumberFormat="1" applyFont="1" applyFill="1" applyBorder="1"/>
    <xf numFmtId="165" fontId="0" fillId="0" borderId="0" xfId="0" applyNumberFormat="1" applyBorder="1"/>
    <xf numFmtId="0" fontId="0" fillId="0" borderId="8" xfId="0" applyBorder="1"/>
    <xf numFmtId="0" fontId="8" fillId="0" borderId="0" xfId="0" applyFont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164" fontId="0" fillId="0" borderId="8" xfId="3" applyNumberFormat="1" applyFont="1" applyBorder="1"/>
    <xf numFmtId="0" fontId="0" fillId="0" borderId="10" xfId="0" applyBorder="1"/>
    <xf numFmtId="166" fontId="0" fillId="0" borderId="0" xfId="0" applyNumberFormat="1" applyBorder="1"/>
    <xf numFmtId="175" fontId="0" fillId="0" borderId="0" xfId="0" applyNumberFormat="1" applyBorder="1"/>
    <xf numFmtId="0" fontId="0" fillId="0" borderId="0" xfId="0" applyBorder="1" applyAlignment="1">
      <alignment horizontal="center"/>
    </xf>
    <xf numFmtId="166" fontId="0" fillId="0" borderId="0" xfId="3" applyNumberFormat="1" applyFont="1" applyBorder="1"/>
    <xf numFmtId="175" fontId="0" fillId="0" borderId="0" xfId="3" applyNumberFormat="1" applyFont="1" applyBorder="1"/>
    <xf numFmtId="165" fontId="1" fillId="0" borderId="4" xfId="1" applyNumberFormat="1" applyFont="1" applyFill="1" applyBorder="1"/>
    <xf numFmtId="165" fontId="1" fillId="0" borderId="5" xfId="1" applyNumberFormat="1" applyFont="1" applyFill="1" applyBorder="1"/>
    <xf numFmtId="165" fontId="1" fillId="0" borderId="6" xfId="1" applyNumberFormat="1" applyFont="1" applyFill="1" applyBorder="1"/>
    <xf numFmtId="165" fontId="1" fillId="0" borderId="7" xfId="1" applyNumberFormat="1" applyFont="1" applyBorder="1"/>
    <xf numFmtId="165" fontId="1" fillId="0" borderId="0" xfId="1" applyNumberFormat="1" applyFont="1" applyBorder="1"/>
    <xf numFmtId="165" fontId="1" fillId="0" borderId="8" xfId="1" applyNumberFormat="1" applyFont="1" applyBorder="1"/>
    <xf numFmtId="165" fontId="1" fillId="0" borderId="7" xfId="1" applyNumberFormat="1" applyFont="1" applyFill="1" applyBorder="1"/>
    <xf numFmtId="165" fontId="1" fillId="0" borderId="8" xfId="1" applyNumberFormat="1" applyFont="1" applyFill="1" applyBorder="1"/>
    <xf numFmtId="165" fontId="1" fillId="0" borderId="7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5" fontId="1" fillId="0" borderId="8" xfId="1" applyNumberFormat="1" applyFont="1" applyBorder="1" applyAlignment="1">
      <alignment horizontal="center"/>
    </xf>
    <xf numFmtId="165" fontId="1" fillId="0" borderId="9" xfId="1" applyNumberFormat="1" applyFont="1" applyFill="1" applyBorder="1"/>
    <xf numFmtId="165" fontId="1" fillId="0" borderId="10" xfId="1" applyNumberFormat="1" applyFont="1" applyFill="1" applyBorder="1"/>
    <xf numFmtId="165" fontId="1" fillId="0" borderId="11" xfId="1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7" xfId="0" applyNumberFormat="1" applyBorder="1"/>
    <xf numFmtId="175" fontId="0" fillId="0" borderId="7" xfId="0" applyNumberFormat="1" applyBorder="1"/>
    <xf numFmtId="164" fontId="0" fillId="0" borderId="9" xfId="0" applyNumberFormat="1" applyBorder="1"/>
    <xf numFmtId="164" fontId="0" fillId="0" borderId="6" xfId="3" applyNumberFormat="1" applyFont="1" applyBorder="1"/>
    <xf numFmtId="166" fontId="0" fillId="0" borderId="4" xfId="3" applyNumberFormat="1" applyFont="1" applyBorder="1"/>
    <xf numFmtId="166" fontId="0" fillId="0" borderId="5" xfId="3" applyNumberFormat="1" applyFont="1" applyBorder="1"/>
    <xf numFmtId="164" fontId="0" fillId="0" borderId="13" xfId="0" applyNumberFormat="1" applyBorder="1"/>
    <xf numFmtId="164" fontId="0" fillId="0" borderId="21" xfId="0" applyNumberFormat="1" applyBorder="1"/>
    <xf numFmtId="164" fontId="0" fillId="0" borderId="14" xfId="0" applyNumberFormat="1" applyBorder="1"/>
    <xf numFmtId="10" fontId="0" fillId="0" borderId="13" xfId="2" applyNumberFormat="1" applyFont="1" applyBorder="1"/>
    <xf numFmtId="10" fontId="0" fillId="0" borderId="21" xfId="2" applyNumberFormat="1" applyFont="1" applyBorder="1"/>
    <xf numFmtId="10" fontId="0" fillId="0" borderId="14" xfId="2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165" fontId="0" fillId="2" borderId="0" xfId="1" applyNumberFormat="1" applyFont="1" applyFill="1"/>
    <xf numFmtId="165" fontId="1" fillId="2" borderId="0" xfId="1" applyNumberFormat="1" applyFont="1" applyFill="1" applyBorder="1"/>
    <xf numFmtId="165" fontId="0" fillId="2" borderId="23" xfId="1" applyNumberFormat="1" applyFont="1" applyFill="1" applyBorder="1"/>
    <xf numFmtId="165" fontId="0" fillId="0" borderId="10" xfId="1" applyNumberFormat="1" applyFont="1" applyFill="1" applyBorder="1"/>
    <xf numFmtId="165" fontId="1" fillId="2" borderId="4" xfId="1" applyNumberFormat="1" applyFont="1" applyFill="1" applyBorder="1"/>
    <xf numFmtId="165" fontId="1" fillId="2" borderId="5" xfId="1" applyNumberFormat="1" applyFont="1" applyFill="1" applyBorder="1"/>
    <xf numFmtId="165" fontId="1" fillId="2" borderId="6" xfId="1" applyNumberFormat="1" applyFont="1" applyFill="1" applyBorder="1"/>
    <xf numFmtId="165" fontId="1" fillId="2" borderId="7" xfId="1" applyNumberFormat="1" applyFont="1" applyFill="1" applyBorder="1"/>
    <xf numFmtId="165" fontId="1" fillId="2" borderId="8" xfId="1" applyNumberFormat="1" applyFont="1" applyFill="1" applyBorder="1"/>
    <xf numFmtId="0" fontId="0" fillId="0" borderId="0" xfId="0" applyAlignment="1">
      <alignment horizontal="center"/>
    </xf>
    <xf numFmtId="0" fontId="4" fillId="0" borderId="4" xfId="0" applyFont="1" applyBorder="1"/>
    <xf numFmtId="166" fontId="0" fillId="0" borderId="7" xfId="3" applyNumberFormat="1" applyFont="1" applyBorder="1"/>
    <xf numFmtId="0" fontId="0" fillId="0" borderId="13" xfId="0" applyBorder="1"/>
    <xf numFmtId="10" fontId="0" fillId="0" borderId="0" xfId="2" applyNumberFormat="1" applyFont="1" applyBorder="1"/>
    <xf numFmtId="0" fontId="0" fillId="3" borderId="0" xfId="0" applyFill="1"/>
    <xf numFmtId="175" fontId="0" fillId="0" borderId="7" xfId="3" applyNumberFormat="1" applyFont="1" applyBorder="1"/>
    <xf numFmtId="166" fontId="0" fillId="0" borderId="0" xfId="0" applyNumberFormat="1"/>
    <xf numFmtId="14" fontId="2" fillId="0" borderId="0" xfId="0" applyNumberFormat="1" applyFont="1"/>
    <xf numFmtId="10" fontId="0" fillId="0" borderId="0" xfId="2" applyNumberFormat="1" applyFont="1"/>
    <xf numFmtId="164" fontId="0" fillId="0" borderId="7" xfId="0" applyNumberFormat="1" applyBorder="1"/>
    <xf numFmtId="176" fontId="0" fillId="0" borderId="0" xfId="0" applyNumberFormat="1"/>
    <xf numFmtId="165" fontId="1" fillId="2" borderId="9" xfId="1" applyNumberFormat="1" applyFont="1" applyFill="1" applyBorder="1"/>
    <xf numFmtId="165" fontId="1" fillId="2" borderId="10" xfId="1" applyNumberFormat="1" applyFont="1" applyFill="1" applyBorder="1"/>
    <xf numFmtId="165" fontId="1" fillId="2" borderId="11" xfId="1" applyNumberFormat="1" applyFont="1" applyFill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165" fontId="2" fillId="0" borderId="5" xfId="0" applyNumberFormat="1" applyFont="1" applyBorder="1"/>
    <xf numFmtId="165" fontId="2" fillId="0" borderId="6" xfId="0" applyNumberFormat="1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165" fontId="2" fillId="0" borderId="0" xfId="0" applyNumberFormat="1" applyFont="1" applyBorder="1"/>
    <xf numFmtId="165" fontId="2" fillId="0" borderId="8" xfId="0" applyNumberFormat="1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43" fontId="2" fillId="0" borderId="0" xfId="0" applyNumberFormat="1" applyFont="1" applyBorder="1"/>
    <xf numFmtId="43" fontId="2" fillId="0" borderId="8" xfId="0" applyNumberFormat="1" applyFont="1" applyBorder="1"/>
    <xf numFmtId="0" fontId="2" fillId="0" borderId="10" xfId="0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Fill="1" applyBorder="1"/>
    <xf numFmtId="164" fontId="2" fillId="2" borderId="5" xfId="0" applyNumberFormat="1" applyFont="1" applyFill="1" applyBorder="1"/>
    <xf numFmtId="165" fontId="2" fillId="2" borderId="5" xfId="1" applyNumberFormat="1" applyFont="1" applyFill="1" applyBorder="1"/>
    <xf numFmtId="165" fontId="2" fillId="2" borderId="12" xfId="1" applyNumberFormat="1" applyFont="1" applyFill="1" applyBorder="1"/>
    <xf numFmtId="165" fontId="2" fillId="2" borderId="22" xfId="1" applyNumberFormat="1" applyFont="1" applyFill="1" applyBorder="1"/>
    <xf numFmtId="0" fontId="2" fillId="2" borderId="0" xfId="0" applyFont="1" applyFill="1"/>
    <xf numFmtId="165" fontId="2" fillId="2" borderId="0" xfId="1" applyNumberFormat="1" applyFont="1" applyFill="1"/>
    <xf numFmtId="0" fontId="2" fillId="0" borderId="7" xfId="0" applyFont="1" applyFill="1" applyBorder="1"/>
    <xf numFmtId="164" fontId="2" fillId="0" borderId="0" xfId="0" applyNumberFormat="1" applyFont="1" applyFill="1" applyBorder="1"/>
    <xf numFmtId="167" fontId="2" fillId="0" borderId="0" xfId="2" applyNumberFormat="1" applyFont="1" applyFill="1" applyBorder="1"/>
    <xf numFmtId="165" fontId="2" fillId="0" borderId="0" xfId="1" applyNumberFormat="1" applyFont="1" applyFill="1" applyBorder="1"/>
    <xf numFmtId="0" fontId="2" fillId="0" borderId="0" xfId="0" applyFont="1" applyFill="1" applyBorder="1"/>
    <xf numFmtId="165" fontId="2" fillId="0" borderId="8" xfId="1" applyNumberFormat="1" applyFont="1" applyFill="1" applyBorder="1"/>
    <xf numFmtId="165" fontId="2" fillId="0" borderId="0" xfId="1" applyNumberFormat="1" applyFont="1"/>
    <xf numFmtId="9" fontId="2" fillId="0" borderId="0" xfId="2" applyFont="1" applyFill="1" applyBorder="1"/>
    <xf numFmtId="165" fontId="2" fillId="0" borderId="4" xfId="1" applyNumberFormat="1" applyFont="1" applyBorder="1"/>
    <xf numFmtId="165" fontId="2" fillId="0" borderId="6" xfId="1" applyNumberFormat="1" applyFont="1" applyBorder="1"/>
    <xf numFmtId="164" fontId="2" fillId="2" borderId="0" xfId="3" applyNumberFormat="1" applyFont="1" applyFill="1"/>
    <xf numFmtId="169" fontId="2" fillId="0" borderId="0" xfId="0" applyNumberFormat="1" applyFont="1" applyFill="1" applyBorder="1"/>
    <xf numFmtId="166" fontId="2" fillId="0" borderId="0" xfId="0" applyNumberFormat="1" applyFont="1" applyFill="1" applyBorder="1"/>
    <xf numFmtId="0" fontId="2" fillId="0" borderId="8" xfId="0" applyFont="1" applyFill="1" applyBorder="1"/>
    <xf numFmtId="171" fontId="2" fillId="0" borderId="0" xfId="0" applyNumberFormat="1" applyFont="1"/>
    <xf numFmtId="174" fontId="2" fillId="0" borderId="7" xfId="1" applyNumberFormat="1" applyFont="1" applyBorder="1"/>
    <xf numFmtId="174" fontId="2" fillId="0" borderId="8" xfId="1" applyNumberFormat="1" applyFont="1" applyBorder="1"/>
    <xf numFmtId="165" fontId="2" fillId="0" borderId="0" xfId="0" applyNumberFormat="1" applyFont="1"/>
    <xf numFmtId="165" fontId="2" fillId="0" borderId="7" xfId="1" applyNumberFormat="1" applyFont="1" applyBorder="1"/>
    <xf numFmtId="165" fontId="2" fillId="0" borderId="8" xfId="1" applyNumberFormat="1" applyFont="1" applyBorder="1"/>
    <xf numFmtId="173" fontId="2" fillId="0" borderId="7" xfId="1" applyNumberFormat="1" applyFont="1" applyBorder="1"/>
    <xf numFmtId="173" fontId="2" fillId="0" borderId="8" xfId="1" applyNumberFormat="1" applyFont="1" applyBorder="1"/>
    <xf numFmtId="165" fontId="2" fillId="0" borderId="9" xfId="1" applyNumberFormat="1" applyFont="1" applyBorder="1"/>
    <xf numFmtId="165" fontId="2" fillId="0" borderId="11" xfId="1" applyNumberFormat="1" applyFont="1" applyBorder="1"/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0" fontId="2" fillId="0" borderId="0" xfId="0" applyFont="1" applyAlignment="1"/>
    <xf numFmtId="0" fontId="3" fillId="0" borderId="0" xfId="0" applyFont="1"/>
    <xf numFmtId="164" fontId="2" fillId="0" borderId="8" xfId="0" applyNumberFormat="1" applyFont="1" applyFill="1" applyBorder="1"/>
    <xf numFmtId="0" fontId="2" fillId="0" borderId="7" xfId="0" applyFont="1" applyFill="1" applyBorder="1" applyAlignment="1">
      <alignment horizontal="right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0" xfId="0" applyFont="1" applyFill="1" applyAlignment="1">
      <alignment vertical="center"/>
    </xf>
    <xf numFmtId="0" fontId="2" fillId="0" borderId="5" xfId="0" applyFont="1" applyFill="1" applyBorder="1"/>
    <xf numFmtId="167" fontId="2" fillId="2" borderId="5" xfId="2" applyNumberFormat="1" applyFont="1" applyFill="1" applyBorder="1"/>
    <xf numFmtId="167" fontId="2" fillId="0" borderId="5" xfId="2" applyNumberFormat="1" applyFont="1" applyFill="1" applyBorder="1"/>
    <xf numFmtId="165" fontId="2" fillId="2" borderId="6" xfId="1" applyNumberFormat="1" applyFont="1" applyFill="1" applyBorder="1"/>
    <xf numFmtId="165" fontId="2" fillId="2" borderId="0" xfId="1" applyNumberFormat="1" applyFont="1" applyFill="1" applyBorder="1"/>
    <xf numFmtId="0" fontId="2" fillId="2" borderId="0" xfId="0" applyFont="1" applyFill="1" applyBorder="1"/>
    <xf numFmtId="165" fontId="2" fillId="2" borderId="8" xfId="1" applyNumberFormat="1" applyFont="1" applyFill="1" applyBorder="1"/>
    <xf numFmtId="164" fontId="2" fillId="2" borderId="0" xfId="0" applyNumberFormat="1" applyFont="1" applyFill="1" applyBorder="1"/>
    <xf numFmtId="167" fontId="2" fillId="2" borderId="0" xfId="2" applyNumberFormat="1" applyFont="1" applyFill="1" applyBorder="1"/>
    <xf numFmtId="164" fontId="2" fillId="2" borderId="0" xfId="0" applyNumberFormat="1" applyFont="1" applyFill="1"/>
    <xf numFmtId="165" fontId="2" fillId="0" borderId="0" xfId="1" applyNumberFormat="1" applyFont="1" applyFill="1"/>
    <xf numFmtId="164" fontId="2" fillId="0" borderId="0" xfId="0" applyNumberFormat="1" applyFont="1"/>
    <xf numFmtId="165" fontId="2" fillId="0" borderId="4" xfId="1" applyNumberFormat="1" applyFont="1" applyFill="1" applyBorder="1"/>
    <xf numFmtId="165" fontId="2" fillId="0" borderId="6" xfId="1" applyNumberFormat="1" applyFont="1" applyFill="1" applyBorder="1"/>
    <xf numFmtId="170" fontId="2" fillId="0" borderId="0" xfId="0" applyNumberFormat="1" applyFont="1" applyFill="1" applyBorder="1"/>
    <xf numFmtId="171" fontId="2" fillId="0" borderId="0" xfId="0" applyNumberFormat="1" applyFont="1" applyFill="1"/>
    <xf numFmtId="43" fontId="2" fillId="2" borderId="5" xfId="1" applyFont="1" applyFill="1" applyBorder="1"/>
    <xf numFmtId="0" fontId="2" fillId="2" borderId="8" xfId="0" applyFont="1" applyFill="1" applyBorder="1"/>
    <xf numFmtId="168" fontId="2" fillId="0" borderId="8" xfId="1" applyNumberFormat="1" applyFont="1" applyFill="1" applyBorder="1"/>
    <xf numFmtId="172" fontId="2" fillId="0" borderId="0" xfId="0" applyNumberFormat="1" applyFont="1" applyFill="1" applyBorder="1"/>
    <xf numFmtId="0" fontId="2" fillId="0" borderId="0" xfId="0" applyFont="1" applyAlignment="1">
      <alignment horizontal="center" vertical="center"/>
    </xf>
    <xf numFmtId="1" fontId="2" fillId="2" borderId="10" xfId="0" applyNumberFormat="1" applyFont="1" applyFill="1" applyBorder="1"/>
    <xf numFmtId="165" fontId="2" fillId="0" borderId="5" xfId="1" applyNumberFormat="1" applyFont="1" applyFill="1" applyBorder="1"/>
    <xf numFmtId="165" fontId="2" fillId="2" borderId="23" xfId="1" applyNumberFormat="1" applyFont="1" applyFill="1" applyBorder="1"/>
    <xf numFmtId="0" fontId="2" fillId="0" borderId="0" xfId="0" applyFont="1" applyFill="1" applyBorder="1" applyAlignment="1">
      <alignment horizontal="center" wrapText="1"/>
    </xf>
    <xf numFmtId="165" fontId="2" fillId="2" borderId="24" xfId="1" applyNumberFormat="1" applyFont="1" applyFill="1" applyBorder="1"/>
    <xf numFmtId="165" fontId="2" fillId="0" borderId="13" xfId="1" applyNumberFormat="1" applyFont="1" applyBorder="1"/>
    <xf numFmtId="171" fontId="2" fillId="0" borderId="7" xfId="0" applyNumberFormat="1" applyFont="1" applyFill="1" applyBorder="1"/>
    <xf numFmtId="171" fontId="2" fillId="0" borderId="21" xfId="0" applyNumberFormat="1" applyFont="1" applyFill="1" applyBorder="1"/>
    <xf numFmtId="164" fontId="2" fillId="0" borderId="0" xfId="3" applyNumberFormat="1" applyFont="1" applyFill="1" applyBorder="1"/>
    <xf numFmtId="165" fontId="2" fillId="0" borderId="7" xfId="0" applyNumberFormat="1" applyFont="1" applyBorder="1"/>
    <xf numFmtId="165" fontId="2" fillId="0" borderId="21" xfId="1" applyNumberFormat="1" applyFont="1" applyBorder="1"/>
    <xf numFmtId="0" fontId="2" fillId="0" borderId="21" xfId="0" applyFont="1" applyBorder="1"/>
    <xf numFmtId="164" fontId="2" fillId="2" borderId="3" xfId="0" applyNumberFormat="1" applyFont="1" applyFill="1" applyBorder="1"/>
    <xf numFmtId="165" fontId="2" fillId="2" borderId="12" xfId="0" applyNumberFormat="1" applyFont="1" applyFill="1" applyBorder="1"/>
    <xf numFmtId="165" fontId="2" fillId="2" borderId="23" xfId="0" applyNumberFormat="1" applyFont="1" applyFill="1" applyBorder="1"/>
    <xf numFmtId="165" fontId="2" fillId="0" borderId="7" xfId="1" applyNumberFormat="1" applyFont="1" applyFill="1" applyBorder="1"/>
    <xf numFmtId="165" fontId="2" fillId="4" borderId="21" xfId="1" applyNumberFormat="1" applyFont="1" applyFill="1" applyBorder="1"/>
    <xf numFmtId="0" fontId="2" fillId="0" borderId="13" xfId="0" applyFont="1" applyBorder="1" applyAlignment="1">
      <alignment horizontal="center"/>
    </xf>
    <xf numFmtId="43" fontId="2" fillId="2" borderId="14" xfId="0" applyNumberFormat="1" applyFont="1" applyFill="1" applyBorder="1" applyAlignment="1">
      <alignment horizontal="center" vertical="center"/>
    </xf>
    <xf numFmtId="165" fontId="2" fillId="0" borderId="14" xfId="1" applyNumberFormat="1" applyFont="1" applyBorder="1"/>
    <xf numFmtId="164" fontId="2" fillId="0" borderId="5" xfId="0" applyNumberFormat="1" applyFont="1" applyBorder="1"/>
    <xf numFmtId="167" fontId="2" fillId="0" borderId="0" xfId="2" applyNumberFormat="1" applyFont="1"/>
    <xf numFmtId="0" fontId="9" fillId="0" borderId="0" xfId="0" applyFont="1" applyBorder="1"/>
    <xf numFmtId="0" fontId="9" fillId="0" borderId="4" xfId="0" applyFont="1" applyBorder="1"/>
    <xf numFmtId="0" fontId="2" fillId="3" borderId="0" xfId="0" applyFont="1" applyFill="1"/>
    <xf numFmtId="1" fontId="2" fillId="0" borderId="0" xfId="0" applyNumberFormat="1" applyFont="1" applyFill="1" applyBorder="1"/>
    <xf numFmtId="165" fontId="2" fillId="0" borderId="0" xfId="1" applyNumberFormat="1" applyFont="1" applyBorder="1"/>
    <xf numFmtId="171" fontId="2" fillId="0" borderId="0" xfId="0" applyNumberFormat="1" applyFont="1" applyFill="1" applyBorder="1"/>
    <xf numFmtId="165" fontId="2" fillId="0" borderId="21" xfId="0" applyNumberFormat="1" applyFont="1" applyBorder="1"/>
    <xf numFmtId="165" fontId="2" fillId="2" borderId="22" xfId="0" applyNumberFormat="1" applyFont="1" applyFill="1" applyBorder="1"/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10" fillId="0" borderId="23" xfId="1" applyNumberFormat="1" applyFont="1" applyFill="1" applyBorder="1"/>
    <xf numFmtId="0" fontId="0" fillId="0" borderId="12" xfId="0" applyBorder="1" applyAlignment="1">
      <alignment horizontal="center"/>
    </xf>
    <xf numFmtId="164" fontId="0" fillId="0" borderId="10" xfId="0" applyNumberFormat="1" applyBorder="1"/>
    <xf numFmtId="165" fontId="1" fillId="0" borderId="0" xfId="1" applyNumberFormat="1" applyFont="1" applyFill="1"/>
    <xf numFmtId="165" fontId="1" fillId="0" borderId="12" xfId="1" applyNumberFormat="1" applyFont="1" applyFill="1" applyBorder="1"/>
    <xf numFmtId="0" fontId="2" fillId="0" borderId="0" xfId="0" applyFont="1" applyAlignment="1">
      <alignment horizontal="center" vertical="center" wrapText="1"/>
    </xf>
    <xf numFmtId="0" fontId="0" fillId="2" borderId="0" xfId="0" applyFill="1" applyBorder="1"/>
    <xf numFmtId="0" fontId="0" fillId="2" borderId="10" xfId="0" applyFill="1" applyBorder="1"/>
    <xf numFmtId="14" fontId="2" fillId="0" borderId="2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1" fillId="0" borderId="5" xfId="0" applyNumberFormat="1" applyFont="1" applyBorder="1"/>
    <xf numFmtId="164" fontId="0" fillId="0" borderId="5" xfId="0" applyNumberFormat="1" applyBorder="1"/>
    <xf numFmtId="164" fontId="0" fillId="0" borderId="6" xfId="0" applyNumberFormat="1" applyBorder="1"/>
    <xf numFmtId="165" fontId="2" fillId="2" borderId="10" xfId="1" applyNumberFormat="1" applyFont="1" applyFill="1" applyBorder="1"/>
    <xf numFmtId="164" fontId="12" fillId="0" borderId="5" xfId="0" applyNumberFormat="1" applyFont="1" applyBorder="1" applyAlignment="1">
      <alignment horizontal="center"/>
    </xf>
    <xf numFmtId="164" fontId="12" fillId="0" borderId="5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65" fontId="4" fillId="0" borderId="0" xfId="1" applyNumberFormat="1" applyFont="1" applyFill="1"/>
    <xf numFmtId="0" fontId="4" fillId="0" borderId="0" xfId="0" applyFont="1" applyAlignment="1">
      <alignment horizontal="center"/>
    </xf>
    <xf numFmtId="165" fontId="4" fillId="0" borderId="12" xfId="1" applyNumberFormat="1" applyFont="1" applyFill="1" applyBorder="1"/>
    <xf numFmtId="164" fontId="2" fillId="2" borderId="10" xfId="0" applyNumberFormat="1" applyFont="1" applyFill="1" applyBorder="1"/>
    <xf numFmtId="165" fontId="2" fillId="2" borderId="0" xfId="1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/>
    <xf numFmtId="165" fontId="2" fillId="0" borderId="12" xfId="1" applyNumberFormat="1" applyFont="1" applyFill="1" applyBorder="1"/>
    <xf numFmtId="164" fontId="2" fillId="0" borderId="10" xfId="0" applyNumberFormat="1" applyFont="1" applyFill="1" applyBorder="1"/>
    <xf numFmtId="165" fontId="2" fillId="0" borderId="15" xfId="1" applyNumberFormat="1" applyFont="1" applyBorder="1"/>
    <xf numFmtId="164" fontId="0" fillId="4" borderId="0" xfId="0" applyNumberFormat="1" applyFill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6" fontId="0" fillId="0" borderId="0" xfId="0" applyNumberFormat="1" applyBorder="1"/>
    <xf numFmtId="0" fontId="0" fillId="0" borderId="11" xfId="0" applyBorder="1"/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0" borderId="0" xfId="3" applyNumberFormat="1" applyFont="1" applyBorder="1"/>
    <xf numFmtId="0" fontId="2" fillId="0" borderId="5" xfId="0" applyFont="1" applyBorder="1" applyAlignment="1">
      <alignment horizontal="center"/>
    </xf>
    <xf numFmtId="43" fontId="2" fillId="0" borderId="8" xfId="1" applyFont="1" applyBorder="1"/>
    <xf numFmtId="43" fontId="2" fillId="0" borderId="28" xfId="1" applyFont="1" applyBorder="1"/>
    <xf numFmtId="0" fontId="2" fillId="0" borderId="11" xfId="0" applyFont="1" applyBorder="1"/>
    <xf numFmtId="0" fontId="2" fillId="0" borderId="0" xfId="0" applyFont="1" applyAlignment="1">
      <alignment horizont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5"/>
  <sheetViews>
    <sheetView tabSelected="1" zoomScaleNormal="100" zoomScaleSheetLayoutView="30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V16" sqref="V16"/>
    </sheetView>
  </sheetViews>
  <sheetFormatPr defaultRowHeight="15.75" x14ac:dyDescent="0.25"/>
  <cols>
    <col min="1" max="1" width="9.5703125" style="109" customWidth="1"/>
    <col min="2" max="2" width="10" style="109" customWidth="1"/>
    <col min="3" max="3" width="9.140625" style="109"/>
    <col min="4" max="4" width="12.85546875" style="109" bestFit="1" customWidth="1"/>
    <col min="5" max="5" width="12.140625" style="109" customWidth="1"/>
    <col min="6" max="6" width="9.5703125" style="109" bestFit="1" customWidth="1"/>
    <col min="7" max="7" width="13.7109375" style="109" customWidth="1"/>
    <col min="8" max="8" width="12.28515625" style="109" customWidth="1"/>
    <col min="9" max="9" width="9.28515625" style="109" bestFit="1" customWidth="1"/>
    <col min="10" max="10" width="15.7109375" style="109" bestFit="1" customWidth="1"/>
    <col min="11" max="11" width="12.140625" style="109" customWidth="1"/>
    <col min="12" max="12" width="9.28515625" style="109" bestFit="1" customWidth="1"/>
    <col min="13" max="13" width="14" style="109" bestFit="1" customWidth="1"/>
    <col min="14" max="14" width="15" style="109" hidden="1" customWidth="1"/>
    <col min="15" max="15" width="14.85546875" style="109" customWidth="1"/>
    <col min="16" max="16" width="10.5703125" style="109" customWidth="1"/>
    <col min="17" max="17" width="13.28515625" style="109" customWidth="1"/>
    <col min="18" max="18" width="13.7109375" style="109" customWidth="1"/>
    <col min="19" max="19" width="13.5703125" style="109" customWidth="1"/>
    <col min="20" max="20" width="14.28515625" style="109" customWidth="1"/>
    <col min="21" max="21" width="9.85546875" style="109" bestFit="1" customWidth="1"/>
    <col min="22" max="22" width="8.5703125" style="109" customWidth="1"/>
    <col min="23" max="23" width="13.28515625" style="109" customWidth="1"/>
    <col min="24" max="24" width="14.28515625" style="109" customWidth="1"/>
    <col min="25" max="25" width="11" style="109" customWidth="1"/>
    <col min="26" max="26" width="10.28515625" customWidth="1"/>
    <col min="27" max="27" width="11.28515625" customWidth="1"/>
    <col min="28" max="28" width="13.42578125" customWidth="1"/>
    <col min="29" max="29" width="14.28515625" bestFit="1" customWidth="1"/>
    <col min="30" max="30" width="13.42578125" customWidth="1"/>
    <col min="31" max="31" width="10.140625" bestFit="1" customWidth="1"/>
    <col min="32" max="32" width="13.28515625" customWidth="1"/>
    <col min="33" max="33" width="12.5703125" customWidth="1"/>
    <col min="34" max="34" width="9.5703125" bestFit="1" customWidth="1"/>
    <col min="35" max="35" width="12" customWidth="1"/>
    <col min="36" max="37" width="9.5703125" bestFit="1" customWidth="1"/>
    <col min="38" max="38" width="10.5703125" bestFit="1" customWidth="1"/>
    <col min="39" max="39" width="9.5703125" bestFit="1" customWidth="1"/>
    <col min="40" max="40" width="9.28515625" bestFit="1" customWidth="1"/>
    <col min="43" max="43" width="11.28515625" customWidth="1"/>
    <col min="44" max="44" width="18.7109375" bestFit="1" customWidth="1"/>
    <col min="45" max="45" width="10.85546875" customWidth="1"/>
    <col min="46" max="46" width="14.85546875" customWidth="1"/>
    <col min="48" max="48" width="10.85546875" customWidth="1"/>
    <col min="49" max="49" width="13.42578125" customWidth="1"/>
    <col min="51" max="51" width="12.42578125" customWidth="1"/>
  </cols>
  <sheetData>
    <row r="1" spans="1:40" ht="16.5" thickBot="1" x14ac:dyDescent="0.3">
      <c r="A1" s="255" t="s">
        <v>4</v>
      </c>
      <c r="B1" s="255" t="s">
        <v>5</v>
      </c>
      <c r="C1" s="259" t="s">
        <v>0</v>
      </c>
      <c r="D1" s="257" t="s">
        <v>6</v>
      </c>
      <c r="E1" s="257" t="s">
        <v>7</v>
      </c>
      <c r="F1" s="259" t="s">
        <v>0</v>
      </c>
      <c r="G1" s="257" t="s">
        <v>8</v>
      </c>
      <c r="H1" s="257" t="s">
        <v>9</v>
      </c>
      <c r="I1" s="259" t="s">
        <v>0</v>
      </c>
      <c r="J1" s="258" t="s">
        <v>10</v>
      </c>
      <c r="K1" s="258" t="s">
        <v>11</v>
      </c>
      <c r="L1" s="259" t="s">
        <v>0</v>
      </c>
      <c r="N1" s="110">
        <v>250</v>
      </c>
      <c r="O1" s="110"/>
      <c r="X1" s="111"/>
      <c r="Y1" s="111"/>
      <c r="AE1" s="262" t="s">
        <v>38</v>
      </c>
      <c r="AF1" s="262"/>
      <c r="AG1" s="262"/>
      <c r="AH1" s="262" t="s">
        <v>39</v>
      </c>
      <c r="AI1" s="262"/>
      <c r="AJ1" s="262" t="s">
        <v>38</v>
      </c>
      <c r="AK1" s="262"/>
      <c r="AL1" s="262"/>
      <c r="AM1" s="262" t="s">
        <v>39</v>
      </c>
      <c r="AN1" s="262"/>
    </row>
    <row r="2" spans="1:40" ht="31.5" customHeight="1" thickTop="1" thickBot="1" x14ac:dyDescent="0.3">
      <c r="A2" s="255"/>
      <c r="B2" s="255"/>
      <c r="C2" s="259"/>
      <c r="D2" s="257"/>
      <c r="E2" s="257"/>
      <c r="F2" s="259"/>
      <c r="G2" s="257"/>
      <c r="H2" s="257"/>
      <c r="I2" s="259"/>
      <c r="J2" s="258"/>
      <c r="K2" s="258"/>
      <c r="L2" s="259"/>
      <c r="M2" s="112" t="s">
        <v>1</v>
      </c>
      <c r="N2" s="113" t="s">
        <v>2</v>
      </c>
      <c r="O2" s="114" t="s">
        <v>3</v>
      </c>
      <c r="P2" s="115" t="s">
        <v>18</v>
      </c>
      <c r="R2" s="221">
        <v>42839</v>
      </c>
      <c r="S2" s="260" t="s">
        <v>94</v>
      </c>
      <c r="T2" s="260"/>
      <c r="U2" s="261"/>
      <c r="X2" s="116"/>
      <c r="Y2" s="116"/>
      <c r="Z2" s="263" t="s">
        <v>31</v>
      </c>
      <c r="AA2" s="263"/>
      <c r="AB2" s="263"/>
      <c r="AC2" s="263"/>
      <c r="AD2" s="263"/>
      <c r="AE2" s="263" t="s">
        <v>32</v>
      </c>
      <c r="AF2" s="263"/>
      <c r="AG2" s="264"/>
      <c r="AH2" s="263" t="s">
        <v>32</v>
      </c>
      <c r="AI2" s="263"/>
      <c r="AJ2" s="263" t="s">
        <v>32</v>
      </c>
      <c r="AK2" s="263"/>
      <c r="AL2" s="264"/>
      <c r="AM2" s="263" t="s">
        <v>32</v>
      </c>
      <c r="AN2" s="263"/>
    </row>
    <row r="3" spans="1:40" ht="17.25" thickTop="1" thickBot="1" x14ac:dyDescent="0.3">
      <c r="T3" s="117"/>
      <c r="U3" s="117"/>
      <c r="X3" s="111"/>
      <c r="Y3" s="111"/>
      <c r="Z3" s="10" t="s">
        <v>33</v>
      </c>
      <c r="AA3" s="10" t="s">
        <v>34</v>
      </c>
      <c r="AB3" s="10" t="s">
        <v>35</v>
      </c>
      <c r="AC3" s="11" t="s">
        <v>36</v>
      </c>
      <c r="AD3" s="11" t="s">
        <v>37</v>
      </c>
      <c r="AE3" s="11" t="s">
        <v>33</v>
      </c>
      <c r="AF3" s="11" t="s">
        <v>34</v>
      </c>
      <c r="AG3" s="11" t="s">
        <v>35</v>
      </c>
      <c r="AH3" s="11" t="s">
        <v>36</v>
      </c>
      <c r="AI3" s="11" t="s">
        <v>37</v>
      </c>
      <c r="AJ3" s="10" t="s">
        <v>33</v>
      </c>
      <c r="AK3" s="10" t="s">
        <v>34</v>
      </c>
      <c r="AL3" s="10" t="s">
        <v>35</v>
      </c>
      <c r="AM3" s="10" t="s">
        <v>36</v>
      </c>
      <c r="AN3" s="10" t="s">
        <v>37</v>
      </c>
    </row>
    <row r="4" spans="1:40" ht="21.75" thickBot="1" x14ac:dyDescent="0.4">
      <c r="M4" s="110"/>
      <c r="O4" s="110" t="s">
        <v>12</v>
      </c>
      <c r="T4" s="118" t="s">
        <v>39</v>
      </c>
      <c r="U4" s="119" t="s">
        <v>38</v>
      </c>
      <c r="W4" s="110" t="s">
        <v>50</v>
      </c>
      <c r="X4" s="110" t="s">
        <v>44</v>
      </c>
      <c r="Z4" s="272" t="s">
        <v>38</v>
      </c>
      <c r="AA4" s="270"/>
      <c r="AB4" s="270"/>
      <c r="AC4" s="273" t="s">
        <v>39</v>
      </c>
      <c r="AD4" s="274"/>
      <c r="AE4" s="273" t="s">
        <v>40</v>
      </c>
      <c r="AF4" s="275"/>
      <c r="AG4" s="275"/>
      <c r="AH4" s="275"/>
      <c r="AI4" s="274"/>
      <c r="AJ4" s="270" t="s">
        <v>41</v>
      </c>
      <c r="AK4" s="270"/>
      <c r="AL4" s="270"/>
      <c r="AM4" s="270"/>
      <c r="AN4" s="271"/>
    </row>
    <row r="5" spans="1:40" ht="16.5" thickBot="1" x14ac:dyDescent="0.3">
      <c r="A5" s="276" t="s">
        <v>95</v>
      </c>
      <c r="B5" s="120" t="s">
        <v>13</v>
      </c>
      <c r="C5" s="120"/>
      <c r="D5" s="223">
        <v>4339542.1725100009</v>
      </c>
      <c r="E5" s="224">
        <v>4491187.6410099994</v>
      </c>
      <c r="F5" s="225"/>
      <c r="G5" s="223">
        <v>5062401.8003800008</v>
      </c>
      <c r="H5" s="224">
        <v>5337711.9053800022</v>
      </c>
      <c r="I5" s="225"/>
      <c r="J5" s="223">
        <v>4991499.7061300008</v>
      </c>
      <c r="K5" s="224">
        <v>5218481.4150900012</v>
      </c>
      <c r="L5" s="226"/>
      <c r="M5" s="216">
        <v>14654.515000000001</v>
      </c>
      <c r="N5" s="222"/>
      <c r="O5" s="217">
        <v>51496979</v>
      </c>
      <c r="P5" s="217">
        <v>18306.82</v>
      </c>
      <c r="Q5" s="109" t="s">
        <v>18</v>
      </c>
      <c r="T5" s="123">
        <v>8752.82</v>
      </c>
      <c r="U5" s="124">
        <v>9554</v>
      </c>
      <c r="W5" s="125"/>
      <c r="X5" s="126">
        <v>0</v>
      </c>
      <c r="Y5" s="93" t="s">
        <v>42</v>
      </c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5">
        <v>0</v>
      </c>
    </row>
    <row r="6" spans="1:40" x14ac:dyDescent="0.25">
      <c r="A6" s="276"/>
      <c r="B6" s="127"/>
      <c r="C6" s="127"/>
      <c r="D6" s="128"/>
      <c r="E6" s="128"/>
      <c r="F6" s="129"/>
      <c r="G6" s="128"/>
      <c r="H6" s="128"/>
      <c r="I6" s="129"/>
      <c r="J6" s="128"/>
      <c r="K6" s="128"/>
      <c r="L6" s="129"/>
      <c r="M6" s="130"/>
      <c r="N6" s="131"/>
      <c r="O6" s="132"/>
      <c r="P6" s="133"/>
      <c r="W6" s="125"/>
      <c r="X6" s="126"/>
      <c r="Y6" s="97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</row>
    <row r="7" spans="1:40" x14ac:dyDescent="0.25">
      <c r="A7" s="276"/>
      <c r="B7" s="127" t="s">
        <v>14</v>
      </c>
      <c r="C7" s="127"/>
      <c r="D7" s="128">
        <v>0</v>
      </c>
      <c r="E7" s="128">
        <v>0</v>
      </c>
      <c r="F7" s="129" t="e">
        <v>#DIV/0!</v>
      </c>
      <c r="G7" s="128">
        <v>0</v>
      </c>
      <c r="H7" s="128">
        <v>0</v>
      </c>
      <c r="I7" s="129" t="e">
        <v>#DIV/0!</v>
      </c>
      <c r="J7" s="128">
        <v>0</v>
      </c>
      <c r="K7" s="128">
        <v>0</v>
      </c>
      <c r="L7" s="129" t="e">
        <v>#DIV/0!</v>
      </c>
      <c r="M7" s="130">
        <v>0</v>
      </c>
      <c r="N7" s="131"/>
      <c r="O7" s="132">
        <v>0</v>
      </c>
      <c r="P7" s="133">
        <v>0</v>
      </c>
      <c r="W7" s="125"/>
      <c r="X7" s="126">
        <v>0</v>
      </c>
      <c r="Y7" s="97" t="s">
        <v>43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7">
        <v>0</v>
      </c>
    </row>
    <row r="8" spans="1:40" ht="16.5" thickBot="1" x14ac:dyDescent="0.3">
      <c r="A8" s="276"/>
      <c r="B8" s="127"/>
      <c r="C8" s="127"/>
      <c r="D8" s="128"/>
      <c r="E8" s="128"/>
      <c r="F8" s="129"/>
      <c r="G8" s="128"/>
      <c r="H8" s="128"/>
      <c r="I8" s="129"/>
      <c r="J8" s="128"/>
      <c r="K8" s="128"/>
      <c r="L8" s="129"/>
      <c r="M8" s="130"/>
      <c r="N8" s="131"/>
      <c r="O8" s="132"/>
      <c r="P8" s="133"/>
      <c r="W8" s="125"/>
      <c r="X8" s="126"/>
      <c r="Y8" s="97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</row>
    <row r="9" spans="1:40" x14ac:dyDescent="0.25">
      <c r="A9" s="276"/>
      <c r="B9" s="127" t="s">
        <v>15</v>
      </c>
      <c r="C9" s="127"/>
      <c r="D9" s="128">
        <f>D5-D7</f>
        <v>4339542.1725100009</v>
      </c>
      <c r="E9" s="128">
        <f>E5-E7</f>
        <v>4491187.6410099994</v>
      </c>
      <c r="F9" s="129"/>
      <c r="G9" s="128">
        <f>G5-G7</f>
        <v>5062401.8003800008</v>
      </c>
      <c r="H9" s="128">
        <f>H5-H7</f>
        <v>5337711.9053800022</v>
      </c>
      <c r="I9" s="134"/>
      <c r="J9" s="128">
        <f>J5-J7</f>
        <v>4991499.7061300008</v>
      </c>
      <c r="K9" s="128">
        <f>K5-K7</f>
        <v>5218481.4150900012</v>
      </c>
      <c r="L9" s="129"/>
      <c r="M9" s="130">
        <f>M5-M7</f>
        <v>14654.515000000001</v>
      </c>
      <c r="N9" s="131"/>
      <c r="O9" s="132">
        <f t="shared" ref="O9" si="0">O5-O7</f>
        <v>51496979</v>
      </c>
      <c r="P9" s="133">
        <f>P5-P7</f>
        <v>18306.82</v>
      </c>
      <c r="Q9" s="109" t="s">
        <v>26</v>
      </c>
      <c r="T9" s="135">
        <f t="shared" ref="T9:U9" si="1">T5-T7</f>
        <v>8752.82</v>
      </c>
      <c r="U9" s="136">
        <f t="shared" si="1"/>
        <v>9554</v>
      </c>
      <c r="W9" s="137">
        <v>2423570</v>
      </c>
      <c r="X9" s="126">
        <v>24612936</v>
      </c>
      <c r="Y9" s="97" t="s">
        <v>39</v>
      </c>
      <c r="Z9" s="16">
        <v>83354.179999999978</v>
      </c>
      <c r="AA9" s="16">
        <v>83354.179999999978</v>
      </c>
      <c r="AB9" s="16">
        <v>79308.479999999981</v>
      </c>
      <c r="AC9" s="16">
        <v>35561.42</v>
      </c>
      <c r="AD9" s="16">
        <v>47792.760000000009</v>
      </c>
      <c r="AE9" s="16">
        <v>801.35</v>
      </c>
      <c r="AF9" s="16">
        <v>801.35</v>
      </c>
      <c r="AG9" s="16">
        <v>43964.72</v>
      </c>
      <c r="AH9" s="16">
        <v>552.65</v>
      </c>
      <c r="AI9" s="16">
        <v>248.69999999999993</v>
      </c>
      <c r="AJ9" s="16">
        <v>801.34999999999991</v>
      </c>
      <c r="AK9" s="16">
        <v>801.34999999999991</v>
      </c>
      <c r="AL9" s="16">
        <v>49170.720000000001</v>
      </c>
      <c r="AM9" s="16">
        <v>552.65</v>
      </c>
      <c r="AN9" s="17">
        <v>248.70000000000002</v>
      </c>
    </row>
    <row r="10" spans="1:40" x14ac:dyDescent="0.25">
      <c r="A10" s="276"/>
      <c r="B10" s="127"/>
      <c r="C10" s="127"/>
      <c r="D10" s="138"/>
      <c r="E10" s="139"/>
      <c r="F10" s="139"/>
      <c r="G10" s="139"/>
      <c r="H10" s="139"/>
      <c r="I10" s="139"/>
      <c r="J10" s="139"/>
      <c r="K10" s="131"/>
      <c r="L10" s="131"/>
      <c r="M10" s="130"/>
      <c r="N10" s="131"/>
      <c r="O10" s="140"/>
      <c r="P10" s="141">
        <v>1.1875812547</v>
      </c>
      <c r="T10" s="142">
        <v>1.1875812547</v>
      </c>
      <c r="U10" s="143">
        <v>1.1875812547</v>
      </c>
      <c r="W10" s="125"/>
      <c r="X10" s="126"/>
      <c r="Y10" s="97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</row>
    <row r="11" spans="1:40" ht="16.5" thickBot="1" x14ac:dyDescent="0.3">
      <c r="A11" s="276"/>
      <c r="B11" s="127"/>
      <c r="C11" s="127"/>
      <c r="D11" s="128"/>
      <c r="E11" s="128"/>
      <c r="F11" s="131"/>
      <c r="G11" s="128"/>
      <c r="H11" s="128"/>
      <c r="I11" s="131"/>
      <c r="J11" s="128"/>
      <c r="K11" s="128"/>
      <c r="L11" s="131"/>
      <c r="M11" s="130"/>
      <c r="N11" s="131"/>
      <c r="O11" s="140"/>
      <c r="P11" s="144">
        <f>P9/P10</f>
        <v>15415.214687456955</v>
      </c>
      <c r="Q11" s="109" t="s">
        <v>22</v>
      </c>
      <c r="T11" s="145">
        <f t="shared" ref="T11:U11" si="2">T9/T10</f>
        <v>7370.2914772017748</v>
      </c>
      <c r="U11" s="146">
        <f t="shared" si="2"/>
        <v>8044.9232102551814</v>
      </c>
      <c r="W11" s="137">
        <v>2491682.8636099999</v>
      </c>
      <c r="X11" s="227">
        <v>26884043</v>
      </c>
      <c r="Y11" s="89" t="s">
        <v>38</v>
      </c>
      <c r="Z11" s="18">
        <v>92500.000000000015</v>
      </c>
      <c r="AA11" s="18">
        <v>92934</v>
      </c>
      <c r="AB11" s="18">
        <v>93656.6</v>
      </c>
      <c r="AC11" s="18">
        <v>39703.199999999997</v>
      </c>
      <c r="AD11" s="18">
        <v>52796.800000000003</v>
      </c>
      <c r="AE11" s="18">
        <v>128.19999999999999</v>
      </c>
      <c r="AF11" s="18">
        <v>127.69999999999999</v>
      </c>
      <c r="AG11" s="18">
        <v>2286.1499999999996</v>
      </c>
      <c r="AH11" s="18">
        <v>128.19999999999999</v>
      </c>
      <c r="AI11" s="18">
        <v>0</v>
      </c>
      <c r="AJ11" s="18">
        <v>128.19999999999999</v>
      </c>
      <c r="AK11" s="18">
        <v>127.69999999999999</v>
      </c>
      <c r="AL11" s="18">
        <v>21026.199999999997</v>
      </c>
      <c r="AM11" s="18">
        <v>128.19999999999999</v>
      </c>
      <c r="AN11" s="19">
        <v>0</v>
      </c>
    </row>
    <row r="12" spans="1:40" x14ac:dyDescent="0.25">
      <c r="A12" s="276"/>
      <c r="B12" s="127"/>
      <c r="C12" s="127"/>
      <c r="D12" s="128"/>
      <c r="E12" s="128"/>
      <c r="F12" s="131"/>
      <c r="G12" s="128"/>
      <c r="H12" s="128"/>
      <c r="I12" s="131"/>
      <c r="J12" s="128"/>
      <c r="K12" s="128"/>
      <c r="L12" s="131"/>
      <c r="M12" s="130"/>
      <c r="N12" s="131"/>
      <c r="O12" s="140"/>
      <c r="P12" s="109">
        <f>P95</f>
        <v>1.0898522576911902</v>
      </c>
      <c r="Q12" s="109" t="s">
        <v>24</v>
      </c>
      <c r="T12" s="147">
        <v>1.0933999999999999</v>
      </c>
      <c r="U12" s="148">
        <v>1.0933999999999999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6.5" thickBot="1" x14ac:dyDescent="0.3">
      <c r="A13" s="276"/>
      <c r="B13" s="127" t="s">
        <v>74</v>
      </c>
      <c r="C13" s="127"/>
      <c r="D13" s="128">
        <f>D9-D11</f>
        <v>4339542.1725100009</v>
      </c>
      <c r="E13" s="128">
        <f>E9-E11</f>
        <v>4491187.6410099994</v>
      </c>
      <c r="F13" s="131"/>
      <c r="G13" s="128">
        <f>G9-G11</f>
        <v>5062401.8003800008</v>
      </c>
      <c r="H13" s="128">
        <f>H9-H11</f>
        <v>5337711.9053800022</v>
      </c>
      <c r="I13" s="131"/>
      <c r="J13" s="128">
        <f>J9-J11</f>
        <v>4991499.7061300008</v>
      </c>
      <c r="K13" s="128">
        <f>K9-K11</f>
        <v>5218481.4150900012</v>
      </c>
      <c r="L13" s="131"/>
      <c r="M13" s="130"/>
      <c r="N13" s="131"/>
      <c r="O13" s="140"/>
      <c r="P13" s="144">
        <f>P11*P12</f>
        <v>16800.306529919359</v>
      </c>
      <c r="Q13" s="109" t="s">
        <v>23</v>
      </c>
      <c r="T13" s="149">
        <f>T11*T12</f>
        <v>8058.6767011724196</v>
      </c>
      <c r="U13" s="150">
        <f>U11*U12</f>
        <v>8796.3190380930155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6.5" thickBot="1" x14ac:dyDescent="0.3">
      <c r="A14" s="276"/>
      <c r="B14" s="127"/>
      <c r="C14" s="127"/>
      <c r="D14" s="131"/>
      <c r="E14" s="131"/>
      <c r="F14" s="131"/>
      <c r="G14" s="131"/>
      <c r="H14" s="131"/>
      <c r="I14" s="131"/>
      <c r="J14" s="131"/>
      <c r="K14" s="131"/>
      <c r="L14" s="131"/>
      <c r="M14" s="98"/>
      <c r="N14" s="131"/>
      <c r="O14" s="140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276"/>
      <c r="B15" s="127" t="s">
        <v>16</v>
      </c>
      <c r="C15" s="127"/>
      <c r="D15" s="131">
        <v>62</v>
      </c>
      <c r="E15" s="131">
        <v>62</v>
      </c>
      <c r="F15" s="131"/>
      <c r="G15" s="131"/>
      <c r="H15" s="131"/>
      <c r="I15" s="131"/>
      <c r="J15" s="131"/>
      <c r="K15" s="131"/>
      <c r="L15" s="120"/>
      <c r="M15" s="151"/>
      <c r="N15" s="151"/>
      <c r="O15" s="152"/>
      <c r="P15" s="144">
        <f>S15*$P$13</f>
        <v>17814.003750450167</v>
      </c>
      <c r="Q15" s="153" t="s">
        <v>19</v>
      </c>
      <c r="S15" s="154">
        <f>$S$98</f>
        <v>1.0603380193525358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276"/>
      <c r="B16" s="127"/>
      <c r="C16" s="127"/>
      <c r="D16" s="131"/>
      <c r="E16" s="131"/>
      <c r="F16" s="131"/>
      <c r="G16" s="131"/>
      <c r="H16" s="131"/>
      <c r="I16" s="131"/>
      <c r="J16" s="131"/>
      <c r="K16" s="131"/>
      <c r="L16" s="127"/>
      <c r="M16" s="128"/>
      <c r="N16" s="128"/>
      <c r="O16" s="155"/>
      <c r="P16" s="144">
        <f>S16*$P$13</f>
        <v>9390.7067785349082</v>
      </c>
      <c r="Q16" s="153" t="s">
        <v>20</v>
      </c>
      <c r="S16" s="154">
        <f>$S$99</f>
        <v>0.55896044288306113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x14ac:dyDescent="0.25">
      <c r="A17" s="276"/>
      <c r="B17" s="127" t="s">
        <v>14</v>
      </c>
      <c r="C17" s="127"/>
      <c r="D17" s="131">
        <v>0</v>
      </c>
      <c r="E17" s="131">
        <v>0</v>
      </c>
      <c r="F17" s="131"/>
      <c r="G17" s="131"/>
      <c r="H17" s="131"/>
      <c r="I17" s="131"/>
      <c r="J17" s="131"/>
      <c r="K17" s="131"/>
      <c r="L17" s="156"/>
      <c r="M17" s="128"/>
      <c r="N17" s="128"/>
      <c r="O17" s="155"/>
      <c r="P17" s="144">
        <f>S17*$P$13</f>
        <v>17814.003750450167</v>
      </c>
      <c r="Q17" s="153" t="s">
        <v>21</v>
      </c>
      <c r="S17" s="154">
        <f>$S$100</f>
        <v>1.0603380193525358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x14ac:dyDescent="0.25">
      <c r="A18" s="276"/>
      <c r="B18" s="127"/>
      <c r="C18" s="127"/>
      <c r="D18" s="131"/>
      <c r="E18" s="131"/>
      <c r="F18" s="131"/>
      <c r="G18" s="131"/>
      <c r="H18" s="131"/>
      <c r="I18" s="131"/>
      <c r="J18" s="131"/>
      <c r="K18" s="131"/>
      <c r="L18" s="127"/>
      <c r="M18" s="128"/>
      <c r="N18" s="128"/>
      <c r="O18" s="155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6.5" thickBot="1" x14ac:dyDescent="0.3">
      <c r="A19" s="276"/>
      <c r="B19" s="157" t="s">
        <v>17</v>
      </c>
      <c r="C19" s="157"/>
      <c r="D19" s="158">
        <f>D15-D17</f>
        <v>62</v>
      </c>
      <c r="E19" s="158">
        <f>E15-E17</f>
        <v>62</v>
      </c>
      <c r="F19" s="158"/>
      <c r="G19" s="158">
        <v>39</v>
      </c>
      <c r="H19" s="158">
        <f>H15-H17</f>
        <v>0</v>
      </c>
      <c r="I19" s="158"/>
      <c r="J19" s="158">
        <v>23</v>
      </c>
      <c r="K19" s="158">
        <f>K15-K17</f>
        <v>0</v>
      </c>
      <c r="L19" s="157"/>
      <c r="M19" s="107"/>
      <c r="N19" s="107"/>
      <c r="O19" s="108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6.5" thickBot="1" x14ac:dyDescent="0.3">
      <c r="A20" s="159"/>
      <c r="T20" s="118" t="s">
        <v>39</v>
      </c>
      <c r="U20" s="119" t="s">
        <v>38</v>
      </c>
      <c r="Y20" s="24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6.5" thickBot="1" x14ac:dyDescent="0.3">
      <c r="A21" s="276" t="s">
        <v>96</v>
      </c>
      <c r="B21" s="120" t="s">
        <v>13</v>
      </c>
      <c r="C21" s="160"/>
      <c r="D21" s="228">
        <v>2709537.7145388094</v>
      </c>
      <c r="E21" s="229">
        <v>2806948.8099123095</v>
      </c>
      <c r="F21" s="230"/>
      <c r="G21" s="228">
        <v>3223300.8494942803</v>
      </c>
      <c r="H21" s="229">
        <v>3400469.9034942803</v>
      </c>
      <c r="I21" s="230"/>
      <c r="J21" s="228">
        <v>3228537.5198822315</v>
      </c>
      <c r="K21" s="229">
        <v>3358155.4630921897</v>
      </c>
      <c r="L21" s="231"/>
      <c r="M21" s="232">
        <v>9464.0666666666693</v>
      </c>
      <c r="N21" s="233"/>
      <c r="O21" s="234">
        <v>32140730.249000002</v>
      </c>
      <c r="P21" s="234">
        <v>12001.800000000001</v>
      </c>
      <c r="Q21" s="109" t="s">
        <v>18</v>
      </c>
      <c r="T21" s="123">
        <v>6036</v>
      </c>
      <c r="U21" s="124">
        <v>5878</v>
      </c>
      <c r="W21" s="125"/>
      <c r="X21" s="126"/>
      <c r="Y21" s="93" t="s">
        <v>42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5"/>
    </row>
    <row r="22" spans="1:40" x14ac:dyDescent="0.25">
      <c r="A22" s="276"/>
      <c r="B22" s="127"/>
      <c r="C22" s="131"/>
      <c r="D22" s="128"/>
      <c r="E22" s="128"/>
      <c r="F22" s="129"/>
      <c r="G22" s="128"/>
      <c r="H22" s="128"/>
      <c r="I22" s="129"/>
      <c r="J22" s="128"/>
      <c r="K22" s="128"/>
      <c r="L22" s="129"/>
      <c r="M22" s="164"/>
      <c r="N22" s="165"/>
      <c r="O22" s="166"/>
      <c r="P22" s="133"/>
      <c r="W22" s="125"/>
      <c r="X22" s="126"/>
      <c r="Y22" s="97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7"/>
    </row>
    <row r="23" spans="1:40" x14ac:dyDescent="0.25">
      <c r="A23" s="276"/>
      <c r="B23" s="127" t="s">
        <v>14</v>
      </c>
      <c r="C23" s="131"/>
      <c r="D23" s="167">
        <v>15293.335230000001</v>
      </c>
      <c r="E23" s="167">
        <v>17950.23573</v>
      </c>
      <c r="F23" s="168"/>
      <c r="G23" s="167">
        <v>22725</v>
      </c>
      <c r="H23" s="167">
        <v>23985</v>
      </c>
      <c r="I23" s="168"/>
      <c r="J23" s="167">
        <v>50708</v>
      </c>
      <c r="K23" s="167">
        <v>41607</v>
      </c>
      <c r="L23" s="129" t="e">
        <v>#DIV/0!</v>
      </c>
      <c r="M23" s="164">
        <v>55</v>
      </c>
      <c r="N23" s="165"/>
      <c r="O23" s="166">
        <v>171267</v>
      </c>
      <c r="P23" s="126">
        <v>88</v>
      </c>
      <c r="W23" s="169">
        <v>15293</v>
      </c>
      <c r="X23" s="126">
        <v>171267</v>
      </c>
      <c r="Y23" s="97" t="s">
        <v>43</v>
      </c>
      <c r="Z23" s="16">
        <v>780.8</v>
      </c>
      <c r="AA23" s="16">
        <v>780.8</v>
      </c>
      <c r="AB23" s="16">
        <v>780.8</v>
      </c>
      <c r="AC23" s="16">
        <v>287.60000000000002</v>
      </c>
      <c r="AD23" s="16">
        <v>493.20000000000005</v>
      </c>
      <c r="AE23" s="16">
        <v>32.4</v>
      </c>
      <c r="AF23" s="16">
        <v>32.4</v>
      </c>
      <c r="AG23" s="16">
        <v>5219.2</v>
      </c>
      <c r="AH23" s="16">
        <v>28.399999999999991</v>
      </c>
      <c r="AI23" s="16">
        <v>3.9999999999999973</v>
      </c>
      <c r="AJ23" s="16">
        <v>32.399999999999991</v>
      </c>
      <c r="AK23" s="16">
        <v>32.399999999999991</v>
      </c>
      <c r="AL23" s="16">
        <v>5219.2</v>
      </c>
      <c r="AM23" s="16">
        <v>28.399999999999991</v>
      </c>
      <c r="AN23" s="17">
        <v>3.9999999999999987</v>
      </c>
    </row>
    <row r="24" spans="1:40" ht="16.5" thickBot="1" x14ac:dyDescent="0.3">
      <c r="A24" s="276"/>
      <c r="B24" s="127"/>
      <c r="C24" s="131"/>
      <c r="D24" s="128"/>
      <c r="E24" s="128"/>
      <c r="F24" s="129"/>
      <c r="G24" s="128"/>
      <c r="H24" s="128"/>
      <c r="I24" s="129"/>
      <c r="J24" s="128"/>
      <c r="K24" s="128"/>
      <c r="L24" s="129"/>
      <c r="M24" s="164"/>
      <c r="N24" s="165"/>
      <c r="O24" s="166"/>
      <c r="P24" s="133"/>
      <c r="W24" s="125"/>
      <c r="X24" s="126"/>
      <c r="Y24" s="97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7"/>
    </row>
    <row r="25" spans="1:40" x14ac:dyDescent="0.25">
      <c r="A25" s="276"/>
      <c r="B25" s="127" t="s">
        <v>15</v>
      </c>
      <c r="C25" s="131"/>
      <c r="D25" s="128">
        <f>D21-D23</f>
        <v>2694244.3793088095</v>
      </c>
      <c r="E25" s="128">
        <f>E21-E23</f>
        <v>2788998.5741823097</v>
      </c>
      <c r="F25" s="129"/>
      <c r="G25" s="128">
        <f>G21-G23</f>
        <v>3200575.8494942803</v>
      </c>
      <c r="H25" s="128">
        <f>H21-H23</f>
        <v>3376484.9034942803</v>
      </c>
      <c r="I25" s="134"/>
      <c r="J25" s="128">
        <f>J21-J23</f>
        <v>3177829.5198822315</v>
      </c>
      <c r="K25" s="128">
        <f>K21-K23</f>
        <v>3316548.4630921897</v>
      </c>
      <c r="L25" s="129"/>
      <c r="M25" s="164">
        <f>M21-M23</f>
        <v>9409.0666666666693</v>
      </c>
      <c r="N25" s="165"/>
      <c r="O25" s="164">
        <f t="shared" ref="O25" si="3">O21-O23</f>
        <v>31969463.249000002</v>
      </c>
      <c r="P25" s="170">
        <f>P21-P23</f>
        <v>11913.800000000001</v>
      </c>
      <c r="Q25" s="109" t="s">
        <v>26</v>
      </c>
      <c r="R25" s="171"/>
      <c r="T25" s="172">
        <f t="shared" ref="T25:U25" si="4">T21-T23</f>
        <v>6036</v>
      </c>
      <c r="U25" s="173">
        <f t="shared" si="4"/>
        <v>5878</v>
      </c>
      <c r="W25" s="137">
        <v>1597601.1501399998</v>
      </c>
      <c r="X25" s="164">
        <v>15561962</v>
      </c>
      <c r="Y25" s="97" t="s">
        <v>39</v>
      </c>
      <c r="Z25" s="16">
        <v>56599.000000000007</v>
      </c>
      <c r="AA25" s="16">
        <v>56599.000000000007</v>
      </c>
      <c r="AB25" s="16">
        <v>56599.000000000007</v>
      </c>
      <c r="AC25" s="16">
        <v>24505.400000000005</v>
      </c>
      <c r="AD25" s="16">
        <v>32093.599999999999</v>
      </c>
      <c r="AE25" s="16">
        <v>99.95</v>
      </c>
      <c r="AF25" s="16">
        <v>99.950000000000102</v>
      </c>
      <c r="AG25" s="16">
        <v>27829.649999999998</v>
      </c>
      <c r="AH25" s="16">
        <v>28.249999999999993</v>
      </c>
      <c r="AI25" s="16">
        <v>71.700000000000045</v>
      </c>
      <c r="AJ25" s="16">
        <v>99.949999999999989</v>
      </c>
      <c r="AK25" s="16">
        <v>99.949999999999989</v>
      </c>
      <c r="AL25" s="16">
        <v>30734.6</v>
      </c>
      <c r="AM25" s="16">
        <v>28.250000000000014</v>
      </c>
      <c r="AN25" s="17">
        <v>71.700000000000031</v>
      </c>
    </row>
    <row r="26" spans="1:40" x14ac:dyDescent="0.25">
      <c r="A26" s="276"/>
      <c r="B26" s="127"/>
      <c r="C26" s="131"/>
      <c r="D26" s="174"/>
      <c r="E26" s="131"/>
      <c r="F26" s="131"/>
      <c r="G26" s="139"/>
      <c r="H26" s="139"/>
      <c r="I26" s="139"/>
      <c r="J26" s="139"/>
      <c r="K26" s="131"/>
      <c r="L26" s="131"/>
      <c r="M26" s="130"/>
      <c r="N26" s="131"/>
      <c r="O26" s="140"/>
      <c r="P26" s="175">
        <v>1.1875812547</v>
      </c>
      <c r="R26" s="171"/>
      <c r="T26" s="142">
        <v>1.1875812547</v>
      </c>
      <c r="U26" s="143">
        <v>1.1875812547</v>
      </c>
      <c r="W26" s="125"/>
      <c r="X26" s="236"/>
      <c r="Y26" s="97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7"/>
    </row>
    <row r="27" spans="1:40" ht="16.5" thickBot="1" x14ac:dyDescent="0.3">
      <c r="A27" s="276"/>
      <c r="B27" s="127"/>
      <c r="C27" s="131"/>
      <c r="D27" s="128"/>
      <c r="E27" s="128"/>
      <c r="F27" s="131"/>
      <c r="G27" s="128"/>
      <c r="H27" s="128"/>
      <c r="I27" s="131"/>
      <c r="J27" s="128"/>
      <c r="K27" s="128"/>
      <c r="L27" s="131"/>
      <c r="M27" s="130"/>
      <c r="N27" s="131"/>
      <c r="O27" s="140"/>
      <c r="P27" s="144">
        <f>P25/P26</f>
        <v>10031.987245377662</v>
      </c>
      <c r="Q27" s="109" t="s">
        <v>22</v>
      </c>
      <c r="R27" s="171"/>
      <c r="T27" s="145">
        <f t="shared" ref="T27" si="5">T25/T26</f>
        <v>5082.5995914905043</v>
      </c>
      <c r="U27" s="146">
        <f t="shared" ref="U27" si="6">U25/U26</f>
        <v>4949.5560634163658</v>
      </c>
      <c r="W27" s="235">
        <v>1520718.0340522297</v>
      </c>
      <c r="X27" s="227">
        <v>16407501.249</v>
      </c>
      <c r="Y27" s="89" t="s">
        <v>38</v>
      </c>
      <c r="Z27" s="18">
        <v>56189</v>
      </c>
      <c r="AA27" s="18">
        <v>57175.600000000006</v>
      </c>
      <c r="AB27" s="18">
        <v>57185.5</v>
      </c>
      <c r="AC27" s="18">
        <v>24184.100000000002</v>
      </c>
      <c r="AD27" s="18">
        <v>32004.899999999994</v>
      </c>
      <c r="AE27" s="18">
        <v>40.950000000000017</v>
      </c>
      <c r="AF27" s="18">
        <v>52.94999999999996</v>
      </c>
      <c r="AG27" s="18">
        <v>2293.4499999999998</v>
      </c>
      <c r="AH27" s="18">
        <v>25.949999999999946</v>
      </c>
      <c r="AI27" s="18">
        <v>14.999999999999973</v>
      </c>
      <c r="AJ27" s="18">
        <v>40.950000000000038</v>
      </c>
      <c r="AK27" s="18">
        <v>52.950000000000045</v>
      </c>
      <c r="AL27" s="18">
        <v>14750.900000000003</v>
      </c>
      <c r="AM27" s="18">
        <v>25.950000000000024</v>
      </c>
      <c r="AN27" s="19">
        <v>14.999999999999991</v>
      </c>
    </row>
    <row r="28" spans="1:40" x14ac:dyDescent="0.25">
      <c r="A28" s="276"/>
      <c r="B28" s="127"/>
      <c r="C28" s="131"/>
      <c r="D28" s="128"/>
      <c r="E28" s="128"/>
      <c r="F28" s="131"/>
      <c r="G28" s="128"/>
      <c r="H28" s="128"/>
      <c r="I28" s="131"/>
      <c r="J28" s="128"/>
      <c r="K28" s="128"/>
      <c r="L28" s="131"/>
      <c r="M28" s="130"/>
      <c r="N28" s="131"/>
      <c r="O28" s="140"/>
      <c r="P28" s="109">
        <f>P95</f>
        <v>1.0898522576911902</v>
      </c>
      <c r="Q28" s="109" t="s">
        <v>24</v>
      </c>
      <c r="R28" s="171"/>
      <c r="T28" s="147">
        <v>1.0933999999999999</v>
      </c>
      <c r="U28" s="148">
        <v>1.0933999999999999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6.5" thickBot="1" x14ac:dyDescent="0.3">
      <c r="A29" s="276"/>
      <c r="B29" s="127" t="s">
        <v>74</v>
      </c>
      <c r="C29" s="131"/>
      <c r="D29" s="128">
        <f>D25-D27</f>
        <v>2694244.3793088095</v>
      </c>
      <c r="E29" s="128">
        <f>E25-E27</f>
        <v>2788998.5741823097</v>
      </c>
      <c r="F29" s="131"/>
      <c r="G29" s="128">
        <f>G25-G27</f>
        <v>3200575.8494942803</v>
      </c>
      <c r="H29" s="128">
        <f>H25-H27</f>
        <v>3376484.9034942803</v>
      </c>
      <c r="I29" s="131"/>
      <c r="J29" s="128">
        <f>J25-J27</f>
        <v>3177829.5198822315</v>
      </c>
      <c r="K29" s="128">
        <f>K25-K27</f>
        <v>3316548.4630921897</v>
      </c>
      <c r="L29" s="131"/>
      <c r="M29" s="130"/>
      <c r="N29" s="131"/>
      <c r="O29" s="140"/>
      <c r="P29" s="144">
        <f>P27*P28</f>
        <v>10933.38394850407</v>
      </c>
      <c r="Q29" s="109" t="s">
        <v>23</v>
      </c>
      <c r="R29" s="171"/>
      <c r="T29" s="149">
        <f t="shared" ref="T29" si="7">T27*T28</f>
        <v>5557.3143933357169</v>
      </c>
      <c r="U29" s="150">
        <f t="shared" ref="U29" si="8">U27*U28</f>
        <v>5411.8445997394538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6.5" thickBot="1" x14ac:dyDescent="0.3">
      <c r="A30" s="276"/>
      <c r="B30" s="127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40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x14ac:dyDescent="0.25">
      <c r="A31" s="276"/>
      <c r="B31" s="127" t="s">
        <v>16</v>
      </c>
      <c r="C31" s="131"/>
      <c r="D31" s="131">
        <v>41</v>
      </c>
      <c r="E31" s="131">
        <v>41</v>
      </c>
      <c r="F31" s="131"/>
      <c r="G31" s="131"/>
      <c r="H31" s="131"/>
      <c r="I31" s="131"/>
      <c r="J31" s="131"/>
      <c r="K31" s="131"/>
      <c r="L31" s="120"/>
      <c r="M31" s="151"/>
      <c r="N31" s="151"/>
      <c r="O31" s="152"/>
      <c r="P31" s="144">
        <f>S31*$P$29</f>
        <v>11593.082680777612</v>
      </c>
      <c r="Q31" s="153" t="s">
        <v>19</v>
      </c>
      <c r="S31" s="154">
        <f>$S$98</f>
        <v>1.0603380193525358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x14ac:dyDescent="0.25">
      <c r="A32" s="276"/>
      <c r="B32" s="127"/>
      <c r="C32" s="131"/>
      <c r="D32" s="131"/>
      <c r="E32" s="131"/>
      <c r="F32" s="131"/>
      <c r="G32" s="131"/>
      <c r="H32" s="131"/>
      <c r="I32" s="131"/>
      <c r="J32" s="131"/>
      <c r="K32" s="131"/>
      <c r="L32" s="127"/>
      <c r="M32" s="128"/>
      <c r="N32" s="128"/>
      <c r="O32" s="155"/>
      <c r="P32" s="144">
        <f>S32*$P$29</f>
        <v>6111.3291340663864</v>
      </c>
      <c r="Q32" s="153" t="s">
        <v>20</v>
      </c>
      <c r="S32" s="154">
        <f>$S$99</f>
        <v>0.55896044288306113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x14ac:dyDescent="0.25">
      <c r="A33" s="276"/>
      <c r="B33" s="127" t="s">
        <v>14</v>
      </c>
      <c r="C33" s="131"/>
      <c r="D33" s="131">
        <v>2</v>
      </c>
      <c r="E33" s="131">
        <v>2</v>
      </c>
      <c r="F33" s="131"/>
      <c r="G33" s="131"/>
      <c r="H33" s="131"/>
      <c r="I33" s="131"/>
      <c r="J33" s="131"/>
      <c r="K33" s="131"/>
      <c r="L33" s="156"/>
      <c r="M33" s="128"/>
      <c r="N33" s="128"/>
      <c r="O33" s="155"/>
      <c r="P33" s="144">
        <f>S33*$P$29</f>
        <v>11593.082680777612</v>
      </c>
      <c r="Q33" s="153" t="s">
        <v>21</v>
      </c>
      <c r="S33" s="154">
        <f>$S$100</f>
        <v>1.0603380193525358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x14ac:dyDescent="0.25">
      <c r="A34" s="276"/>
      <c r="B34" s="127"/>
      <c r="C34" s="131"/>
      <c r="D34" s="131"/>
      <c r="E34" s="131"/>
      <c r="F34" s="131"/>
      <c r="G34" s="131"/>
      <c r="H34" s="131"/>
      <c r="I34" s="131"/>
      <c r="J34" s="131"/>
      <c r="K34" s="131"/>
      <c r="L34" s="127"/>
      <c r="M34" s="128"/>
      <c r="N34" s="128"/>
      <c r="O34" s="155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6.5" thickBot="1" x14ac:dyDescent="0.3">
      <c r="A35" s="276"/>
      <c r="B35" s="157" t="s">
        <v>17</v>
      </c>
      <c r="C35" s="158"/>
      <c r="D35" s="158">
        <f>D31-D33</f>
        <v>39</v>
      </c>
      <c r="E35" s="158">
        <f>E31-E33</f>
        <v>39</v>
      </c>
      <c r="F35" s="158"/>
      <c r="G35" s="158">
        <v>27</v>
      </c>
      <c r="H35" s="158"/>
      <c r="I35" s="158"/>
      <c r="J35" s="158">
        <v>12</v>
      </c>
      <c r="K35" s="158"/>
      <c r="L35" s="157"/>
      <c r="M35" s="107"/>
      <c r="N35" s="107"/>
      <c r="O35" s="108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6.5" thickBot="1" x14ac:dyDescent="0.3">
      <c r="T36" s="118" t="s">
        <v>39</v>
      </c>
      <c r="U36" s="119" t="s">
        <v>38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6.5" thickBot="1" x14ac:dyDescent="0.3">
      <c r="A37" s="265" t="s">
        <v>97</v>
      </c>
      <c r="B37" s="120" t="s">
        <v>13</v>
      </c>
      <c r="C37" s="160"/>
      <c r="D37" s="121">
        <v>7237527.0742699979</v>
      </c>
      <c r="E37" s="121">
        <v>7439723.9987699986</v>
      </c>
      <c r="F37" s="161"/>
      <c r="G37" s="121">
        <v>7697482.9732600013</v>
      </c>
      <c r="H37" s="121">
        <v>8094885.2570600007</v>
      </c>
      <c r="I37" s="161"/>
      <c r="J37" s="121">
        <v>7361788.6120100012</v>
      </c>
      <c r="K37" s="121">
        <v>7831676.0459300019</v>
      </c>
      <c r="L37" s="162"/>
      <c r="M37" s="122">
        <v>21116.033333333333</v>
      </c>
      <c r="N37" s="176"/>
      <c r="O37" s="163">
        <v>86131283</v>
      </c>
      <c r="P37" s="126">
        <v>27065.800000000003</v>
      </c>
      <c r="Q37" s="109" t="s">
        <v>18</v>
      </c>
      <c r="T37" s="123">
        <v>2663</v>
      </c>
      <c r="U37" s="124">
        <v>16918</v>
      </c>
      <c r="W37" s="125"/>
      <c r="X37" s="177"/>
      <c r="Y37" s="93" t="s">
        <v>42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5">
        <v>0</v>
      </c>
    </row>
    <row r="38" spans="1:40" ht="16.5" thickBot="1" x14ac:dyDescent="0.3">
      <c r="A38" s="265"/>
      <c r="B38" s="127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40"/>
      <c r="W38" s="125"/>
      <c r="X38" s="177"/>
      <c r="Y38" s="97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7"/>
    </row>
    <row r="39" spans="1:40" x14ac:dyDescent="0.25">
      <c r="A39" s="265"/>
      <c r="B39" s="127" t="s">
        <v>14</v>
      </c>
      <c r="C39" s="131"/>
      <c r="D39" s="167">
        <v>1896262.9286000005</v>
      </c>
      <c r="E39" s="167">
        <v>1951695.3385999999</v>
      </c>
      <c r="F39" s="168">
        <v>2.9232449342309754E-2</v>
      </c>
      <c r="G39" s="167">
        <v>2092362.1793</v>
      </c>
      <c r="H39" s="167">
        <v>2202923.6992999995</v>
      </c>
      <c r="I39" s="168">
        <v>5.2840526890515639E-2</v>
      </c>
      <c r="J39" s="167">
        <v>2011292.0248000005</v>
      </c>
      <c r="K39" s="167">
        <v>2136008.5554</v>
      </c>
      <c r="L39" s="129">
        <v>6.2008166423471539E-2</v>
      </c>
      <c r="M39" s="164">
        <v>70933.440000000002</v>
      </c>
      <c r="N39" s="165"/>
      <c r="O39" s="166">
        <v>22554940</v>
      </c>
      <c r="P39" s="126">
        <v>7485.3999999999987</v>
      </c>
      <c r="W39" s="169">
        <v>1896262.9286000005</v>
      </c>
      <c r="X39" s="166">
        <v>22554940</v>
      </c>
      <c r="Y39" s="97" t="s">
        <v>43</v>
      </c>
      <c r="Z39" s="35">
        <v>70933.439999999988</v>
      </c>
      <c r="AA39" s="36">
        <v>70933.439999999988</v>
      </c>
      <c r="AB39" s="36">
        <v>70933.439999999988</v>
      </c>
      <c r="AC39" s="36">
        <v>26285.639999999996</v>
      </c>
      <c r="AD39" s="36">
        <v>44647.799999999996</v>
      </c>
      <c r="AE39" s="36">
        <v>512.91000000000008</v>
      </c>
      <c r="AF39" s="36">
        <v>512.91000000000008</v>
      </c>
      <c r="AG39" s="36">
        <v>8097.56</v>
      </c>
      <c r="AH39" s="36">
        <v>497.26</v>
      </c>
      <c r="AI39" s="36">
        <v>15.649999999999997</v>
      </c>
      <c r="AJ39" s="36">
        <v>512.90999999999985</v>
      </c>
      <c r="AK39" s="36">
        <v>512.91000000000008</v>
      </c>
      <c r="AL39" s="36">
        <v>22233.360000000001</v>
      </c>
      <c r="AM39" s="36">
        <v>497.25999999999988</v>
      </c>
      <c r="AN39" s="37">
        <v>15.649999999999999</v>
      </c>
    </row>
    <row r="40" spans="1:40" ht="18" customHeight="1" thickBot="1" x14ac:dyDescent="0.3">
      <c r="A40" s="265"/>
      <c r="B40" s="127"/>
      <c r="C40" s="131"/>
      <c r="D40" s="128"/>
      <c r="E40" s="128"/>
      <c r="F40" s="129"/>
      <c r="G40" s="128"/>
      <c r="H40" s="128"/>
      <c r="I40" s="134"/>
      <c r="J40" s="128"/>
      <c r="K40" s="128"/>
      <c r="L40" s="129"/>
      <c r="M40" s="130"/>
      <c r="N40" s="131"/>
      <c r="O40" s="178"/>
      <c r="P40" s="133"/>
      <c r="W40" s="165"/>
      <c r="X40" s="166"/>
      <c r="Y40" s="97"/>
      <c r="Z40" s="38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40"/>
    </row>
    <row r="41" spans="1:40" x14ac:dyDescent="0.25">
      <c r="A41" s="265"/>
      <c r="B41" s="127" t="s">
        <v>15</v>
      </c>
      <c r="C41" s="131"/>
      <c r="D41" s="128">
        <f>D37-D39</f>
        <v>5341264.1456699977</v>
      </c>
      <c r="E41" s="128">
        <f>E37-E39</f>
        <v>5488028.6601699982</v>
      </c>
      <c r="F41" s="129"/>
      <c r="G41" s="128">
        <f>G37-G39</f>
        <v>5605120.7939600013</v>
      </c>
      <c r="H41" s="128">
        <f>H37-H39</f>
        <v>5891961.5577600012</v>
      </c>
      <c r="I41" s="134"/>
      <c r="J41" s="128">
        <f>J37-J39</f>
        <v>5350496.5872100005</v>
      </c>
      <c r="K41" s="128">
        <f>K37-K39</f>
        <v>5695667.4905300019</v>
      </c>
      <c r="L41" s="129"/>
      <c r="M41" s="130">
        <f>M37-M39</f>
        <v>-49817.406666666669</v>
      </c>
      <c r="N41" s="131"/>
      <c r="O41" s="130">
        <f t="shared" ref="O41" si="9">O37-O39</f>
        <v>63576343</v>
      </c>
      <c r="P41" s="133">
        <f>P37-P39</f>
        <v>19580.400000000005</v>
      </c>
      <c r="Q41" s="109" t="s">
        <v>26</v>
      </c>
      <c r="T41" s="135">
        <f t="shared" ref="T41:U41" si="10">T37-T39</f>
        <v>2663</v>
      </c>
      <c r="U41" s="136">
        <f t="shared" si="10"/>
        <v>16918</v>
      </c>
      <c r="W41" s="167">
        <v>719990.93770000013</v>
      </c>
      <c r="X41" s="166">
        <v>7586285</v>
      </c>
      <c r="Y41" s="97" t="s">
        <v>39</v>
      </c>
      <c r="Z41" s="41">
        <v>24278.500000000007</v>
      </c>
      <c r="AA41" s="21">
        <v>24278.500000000007</v>
      </c>
      <c r="AB41" s="21">
        <v>24278.500000000007</v>
      </c>
      <c r="AC41" s="21">
        <v>9890.1000000000022</v>
      </c>
      <c r="AD41" s="21">
        <v>14388.400000000001</v>
      </c>
      <c r="AE41" s="21">
        <v>317.84999999999991</v>
      </c>
      <c r="AF41" s="21">
        <v>317.85000000000002</v>
      </c>
      <c r="AG41" s="21">
        <v>7650.8499999999985</v>
      </c>
      <c r="AH41" s="21">
        <v>295.95000000000005</v>
      </c>
      <c r="AI41" s="21">
        <v>21.899999999999995</v>
      </c>
      <c r="AJ41" s="21">
        <v>317.85000000000002</v>
      </c>
      <c r="AK41" s="21">
        <v>317.85000000000002</v>
      </c>
      <c r="AL41" s="21">
        <v>11607.300000000001</v>
      </c>
      <c r="AM41" s="21">
        <v>295.95000000000005</v>
      </c>
      <c r="AN41" s="42">
        <v>21.900000000000034</v>
      </c>
    </row>
    <row r="42" spans="1:40" x14ac:dyDescent="0.25">
      <c r="A42" s="265"/>
      <c r="B42" s="127"/>
      <c r="C42" s="131"/>
      <c r="D42" s="138"/>
      <c r="E42" s="131"/>
      <c r="F42" s="131"/>
      <c r="G42" s="139"/>
      <c r="H42" s="139"/>
      <c r="I42" s="139"/>
      <c r="J42" s="139"/>
      <c r="K42" s="131"/>
      <c r="L42" s="131"/>
      <c r="M42" s="130"/>
      <c r="N42" s="131"/>
      <c r="O42" s="140"/>
      <c r="P42" s="175">
        <v>1.1875812547</v>
      </c>
      <c r="T42" s="142">
        <v>1.1875812547</v>
      </c>
      <c r="U42" s="143">
        <v>1.1875812547</v>
      </c>
      <c r="W42" s="137"/>
      <c r="X42" s="166"/>
      <c r="Y42" s="97"/>
      <c r="Z42" s="43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5"/>
    </row>
    <row r="43" spans="1:40" ht="16.5" thickBot="1" x14ac:dyDescent="0.3">
      <c r="A43" s="265"/>
      <c r="B43" s="127"/>
      <c r="C43" s="131"/>
      <c r="D43" s="128"/>
      <c r="E43" s="128"/>
      <c r="F43" s="131"/>
      <c r="G43" s="128"/>
      <c r="H43" s="128"/>
      <c r="I43" s="131"/>
      <c r="J43" s="128"/>
      <c r="K43" s="128"/>
      <c r="L43" s="131"/>
      <c r="M43" s="130"/>
      <c r="N43" s="131"/>
      <c r="O43" s="140"/>
      <c r="P43" s="144">
        <f>P41/P42</f>
        <v>16487.62972849912</v>
      </c>
      <c r="Q43" s="109" t="s">
        <v>22</v>
      </c>
      <c r="T43" s="145">
        <f>T37/T42</f>
        <v>2242.3728814014598</v>
      </c>
      <c r="U43" s="146">
        <f>U37/U42</f>
        <v>14245.762075685279</v>
      </c>
      <c r="W43" s="137">
        <v>4630898.6042600013</v>
      </c>
      <c r="X43" s="166">
        <v>55990058</v>
      </c>
      <c r="Y43" s="89" t="s">
        <v>38</v>
      </c>
      <c r="Z43" s="46">
        <v>158180.46</v>
      </c>
      <c r="AA43" s="47">
        <v>158180.46</v>
      </c>
      <c r="AB43" s="47">
        <v>158180.46</v>
      </c>
      <c r="AC43" s="47">
        <v>60725.600000000006</v>
      </c>
      <c r="AD43" s="47">
        <v>97454.860000000015</v>
      </c>
      <c r="AE43" s="47">
        <v>2155.0499999999997</v>
      </c>
      <c r="AF43" s="47">
        <v>2155.0499999999997</v>
      </c>
      <c r="AG43" s="47">
        <v>8733.5250000000015</v>
      </c>
      <c r="AH43" s="47">
        <v>2097.2999999999997</v>
      </c>
      <c r="AI43" s="47">
        <v>57.749999999999986</v>
      </c>
      <c r="AJ43" s="47">
        <v>2155.0499999999997</v>
      </c>
      <c r="AK43" s="47">
        <v>2155.0499999999997</v>
      </c>
      <c r="AL43" s="47">
        <v>44740.939999999995</v>
      </c>
      <c r="AM43" s="47">
        <v>2097.3000000000002</v>
      </c>
      <c r="AN43" s="48">
        <v>57.749999999999929</v>
      </c>
    </row>
    <row r="44" spans="1:40" x14ac:dyDescent="0.25">
      <c r="A44" s="265"/>
      <c r="B44" s="127"/>
      <c r="C44" s="131"/>
      <c r="D44" s="128"/>
      <c r="E44" s="128"/>
      <c r="F44" s="131"/>
      <c r="G44" s="128"/>
      <c r="H44" s="128"/>
      <c r="I44" s="131"/>
      <c r="J44" s="128"/>
      <c r="K44" s="128"/>
      <c r="L44" s="131"/>
      <c r="M44" s="130"/>
      <c r="N44" s="131"/>
      <c r="O44" s="140"/>
      <c r="P44" s="109">
        <f>P95</f>
        <v>1.0898522576911902</v>
      </c>
      <c r="Q44" s="109" t="s">
        <v>24</v>
      </c>
      <c r="T44" s="147">
        <v>1.0933999999999999</v>
      </c>
      <c r="U44" s="148">
        <v>1.0933999999999999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6.5" thickBot="1" x14ac:dyDescent="0.3">
      <c r="A45" s="265"/>
      <c r="B45" s="127" t="s">
        <v>74</v>
      </c>
      <c r="C45" s="131"/>
      <c r="D45" s="128">
        <f>D41-D43</f>
        <v>5341264.1456699977</v>
      </c>
      <c r="E45" s="128">
        <f>E41-E43</f>
        <v>5488028.6601699982</v>
      </c>
      <c r="F45" s="131"/>
      <c r="G45" s="128">
        <f t="shared" ref="G45:H45" si="11">G41-G43</f>
        <v>5605120.7939600013</v>
      </c>
      <c r="H45" s="128">
        <f t="shared" si="11"/>
        <v>5891961.5577600012</v>
      </c>
      <c r="I45" s="131"/>
      <c r="J45" s="128">
        <f t="shared" ref="J45:K45" si="12">J41-J43</f>
        <v>5350496.5872100005</v>
      </c>
      <c r="K45" s="128">
        <f t="shared" si="12"/>
        <v>5695667.4905300019</v>
      </c>
      <c r="L45" s="131"/>
      <c r="M45" s="130"/>
      <c r="N45" s="131"/>
      <c r="O45" s="140"/>
      <c r="P45" s="144">
        <f>P43*P44</f>
        <v>17969.08048358115</v>
      </c>
      <c r="Q45" s="109" t="s">
        <v>23</v>
      </c>
      <c r="T45" s="149">
        <f t="shared" ref="T45" si="13">T43*T44</f>
        <v>2451.810508524356</v>
      </c>
      <c r="U45" s="150">
        <f t="shared" ref="U45" si="14">U43*U44</f>
        <v>15576.316253554283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x14ac:dyDescent="0.25">
      <c r="A46" s="265"/>
      <c r="B46" s="127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40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6.5" thickBot="1" x14ac:dyDescent="0.3">
      <c r="A47" s="265"/>
      <c r="B47" s="127" t="s">
        <v>16</v>
      </c>
      <c r="C47" s="131"/>
      <c r="D47" s="131">
        <v>61</v>
      </c>
      <c r="E47" s="131">
        <v>61</v>
      </c>
      <c r="F47" s="131"/>
      <c r="G47" s="131"/>
      <c r="H47" s="131"/>
      <c r="I47" s="131"/>
      <c r="J47" s="131"/>
      <c r="K47" s="131"/>
      <c r="L47" s="131"/>
      <c r="M47" s="179"/>
      <c r="N47" s="131"/>
      <c r="O47" s="140"/>
      <c r="P47" s="144">
        <f>S47*$P$45</f>
        <v>19053.299209546742</v>
      </c>
      <c r="Q47" s="153" t="s">
        <v>19</v>
      </c>
      <c r="S47" s="154">
        <f>$S$98</f>
        <v>1.0603380193525358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x14ac:dyDescent="0.25">
      <c r="A48" s="265"/>
      <c r="B48" s="127"/>
      <c r="C48" s="131"/>
      <c r="D48" s="131"/>
      <c r="E48" s="131"/>
      <c r="F48" s="131"/>
      <c r="G48" s="131"/>
      <c r="H48" s="131"/>
      <c r="I48" s="131"/>
      <c r="J48" s="131"/>
      <c r="K48" s="131"/>
      <c r="L48" s="120"/>
      <c r="M48" s="151"/>
      <c r="N48" s="151"/>
      <c r="O48" s="152"/>
      <c r="P48" s="144">
        <f>S48*$P$45</f>
        <v>10044.005185303889</v>
      </c>
      <c r="Q48" s="153" t="s">
        <v>20</v>
      </c>
      <c r="S48" s="154">
        <f>$S$99</f>
        <v>0.55896044288306113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x14ac:dyDescent="0.25">
      <c r="A49" s="265"/>
      <c r="B49" s="127" t="s">
        <v>14</v>
      </c>
      <c r="C49" s="131"/>
      <c r="D49" s="131">
        <v>18</v>
      </c>
      <c r="E49" s="131">
        <v>17</v>
      </c>
      <c r="F49" s="131"/>
      <c r="G49" s="131"/>
      <c r="H49" s="131"/>
      <c r="I49" s="131"/>
      <c r="J49" s="131"/>
      <c r="K49" s="131"/>
      <c r="L49" s="127"/>
      <c r="M49" s="128"/>
      <c r="N49" s="128"/>
      <c r="O49" s="155"/>
      <c r="P49" s="144">
        <f>S49*$P$45</f>
        <v>19053.299209546742</v>
      </c>
      <c r="Q49" s="153" t="s">
        <v>21</v>
      </c>
      <c r="S49" s="154">
        <f>$S$100</f>
        <v>1.0603380193525358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x14ac:dyDescent="0.25">
      <c r="A50" s="265"/>
      <c r="B50" s="127"/>
      <c r="C50" s="131"/>
      <c r="D50" s="131"/>
      <c r="E50" s="131"/>
      <c r="F50" s="131"/>
      <c r="G50" s="131"/>
      <c r="H50" s="131"/>
      <c r="I50" s="131"/>
      <c r="J50" s="131"/>
      <c r="K50" s="131"/>
      <c r="L50" s="156"/>
      <c r="M50" s="128"/>
      <c r="N50" s="128"/>
      <c r="O50" s="155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x14ac:dyDescent="0.25">
      <c r="A51" s="265"/>
      <c r="B51" s="127" t="s">
        <v>17</v>
      </c>
      <c r="C51" s="131"/>
      <c r="D51" s="131">
        <f>D47-D49</f>
        <v>43</v>
      </c>
      <c r="E51" s="131">
        <f>E47-E49</f>
        <v>44</v>
      </c>
      <c r="F51" s="131"/>
      <c r="G51" s="131">
        <v>10</v>
      </c>
      <c r="H51" s="131"/>
      <c r="I51" s="131"/>
      <c r="J51" s="131">
        <v>33</v>
      </c>
      <c r="K51" s="131"/>
      <c r="L51" s="127"/>
      <c r="M51" s="128"/>
      <c r="N51" s="128"/>
      <c r="O51" s="155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6.5" thickBot="1" x14ac:dyDescent="0.3">
      <c r="A52" s="265"/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7"/>
      <c r="M52" s="107"/>
      <c r="N52" s="107"/>
      <c r="O52" s="108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6.5" thickBot="1" x14ac:dyDescent="0.3">
      <c r="A53" s="180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02"/>
      <c r="N53" s="102"/>
      <c r="O53" s="10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6.5" thickBot="1" x14ac:dyDescent="0.3">
      <c r="A54" s="266" t="s">
        <v>98</v>
      </c>
      <c r="B54" s="120" t="s">
        <v>13</v>
      </c>
      <c r="C54" s="160"/>
      <c r="D54" s="237">
        <v>3638033.4931400008</v>
      </c>
      <c r="E54" s="201">
        <v>3771049.3521399996</v>
      </c>
      <c r="F54" s="201"/>
      <c r="G54" s="237">
        <v>4403851.3861484993</v>
      </c>
      <c r="H54" s="201">
        <v>4648227.7598139001</v>
      </c>
      <c r="I54" s="201"/>
      <c r="J54" s="237">
        <v>4444806.7562098019</v>
      </c>
      <c r="K54" s="201">
        <v>4623123.5057896012</v>
      </c>
      <c r="L54" s="238"/>
      <c r="M54" s="170">
        <v>12975.275122499999</v>
      </c>
      <c r="N54" s="110"/>
      <c r="O54" s="239">
        <v>43143906</v>
      </c>
      <c r="P54" s="133">
        <v>16881.318149999999</v>
      </c>
      <c r="Q54" s="109" t="s">
        <v>18</v>
      </c>
      <c r="T54" s="123">
        <v>6576</v>
      </c>
      <c r="U54" s="124">
        <v>10305</v>
      </c>
      <c r="W54" s="125"/>
      <c r="X54" s="177"/>
      <c r="Y54" s="93" t="s">
        <v>42</v>
      </c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5">
        <v>0</v>
      </c>
    </row>
    <row r="55" spans="1:40" ht="16.5" thickBot="1" x14ac:dyDescent="0.3">
      <c r="A55" s="266"/>
      <c r="B55" s="127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40"/>
      <c r="W55" s="125"/>
      <c r="X55" s="177"/>
      <c r="Y55" s="97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7"/>
    </row>
    <row r="56" spans="1:40" x14ac:dyDescent="0.25">
      <c r="A56" s="266"/>
      <c r="B56" s="127" t="s">
        <v>14</v>
      </c>
      <c r="C56" s="131"/>
      <c r="D56" s="167"/>
      <c r="E56" s="167"/>
      <c r="F56" s="168"/>
      <c r="G56" s="167"/>
      <c r="H56" s="167"/>
      <c r="I56" s="168"/>
      <c r="J56" s="167"/>
      <c r="K56" s="167"/>
      <c r="L56" s="129"/>
      <c r="M56" s="164"/>
      <c r="N56" s="165"/>
      <c r="O56" s="166"/>
      <c r="P56" s="126"/>
      <c r="W56" s="169"/>
      <c r="X56" s="166"/>
      <c r="Y56" s="97" t="s">
        <v>43</v>
      </c>
      <c r="Z56" s="69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1"/>
    </row>
    <row r="57" spans="1:40" ht="18" customHeight="1" thickBot="1" x14ac:dyDescent="0.3">
      <c r="A57" s="266"/>
      <c r="B57" s="127"/>
      <c r="C57" s="131"/>
      <c r="D57" s="128"/>
      <c r="E57" s="128"/>
      <c r="F57" s="129"/>
      <c r="G57" s="128"/>
      <c r="H57" s="128"/>
      <c r="I57" s="134"/>
      <c r="J57" s="128"/>
      <c r="K57" s="128"/>
      <c r="L57" s="129"/>
      <c r="M57" s="130"/>
      <c r="N57" s="131"/>
      <c r="O57" s="178"/>
      <c r="P57" s="133"/>
      <c r="W57" s="165"/>
      <c r="X57" s="166"/>
      <c r="Y57" s="97"/>
      <c r="Z57" s="38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40"/>
    </row>
    <row r="58" spans="1:40" x14ac:dyDescent="0.25">
      <c r="A58" s="266"/>
      <c r="B58" s="127" t="s">
        <v>15</v>
      </c>
      <c r="C58" s="131"/>
      <c r="D58" s="128">
        <f>D54-D56</f>
        <v>3638033.4931400008</v>
      </c>
      <c r="E58" s="128">
        <f>E54-E56</f>
        <v>3771049.3521399996</v>
      </c>
      <c r="F58" s="129"/>
      <c r="G58" s="128">
        <f>G54-G56</f>
        <v>4403851.3861484993</v>
      </c>
      <c r="H58" s="128">
        <f>H54-H56</f>
        <v>4648227.7598139001</v>
      </c>
      <c r="I58" s="134"/>
      <c r="J58" s="128">
        <f>J54-J56</f>
        <v>4444806.7562098019</v>
      </c>
      <c r="K58" s="128">
        <f>K54-K56</f>
        <v>4623123.5057896012</v>
      </c>
      <c r="L58" s="129"/>
      <c r="M58" s="130">
        <f>M54-M56</f>
        <v>12975.275122499999</v>
      </c>
      <c r="N58" s="131"/>
      <c r="O58" s="130">
        <f t="shared" ref="O58" si="15">O54-O56</f>
        <v>43143906</v>
      </c>
      <c r="P58" s="133">
        <f>P54-P56</f>
        <v>16881.318149999999</v>
      </c>
      <c r="Q58" s="109" t="s">
        <v>26</v>
      </c>
      <c r="T58" s="135">
        <f t="shared" ref="T58:U58" si="16">T54-T56</f>
        <v>6576</v>
      </c>
      <c r="U58" s="136">
        <f t="shared" si="16"/>
        <v>10305</v>
      </c>
      <c r="W58" s="167">
        <v>1651344.7895500003</v>
      </c>
      <c r="X58" s="166">
        <v>15080765</v>
      </c>
      <c r="Y58" s="97" t="s">
        <v>39</v>
      </c>
      <c r="Z58" s="72">
        <v>59371.509999999987</v>
      </c>
      <c r="AA58" s="66">
        <v>59371.509999999987</v>
      </c>
      <c r="AB58" s="66">
        <v>58215.909999999982</v>
      </c>
      <c r="AC58" s="66">
        <v>25220.44</v>
      </c>
      <c r="AD58" s="66">
        <v>34151.070000000007</v>
      </c>
      <c r="AE58" s="66">
        <v>755.21499999999992</v>
      </c>
      <c r="AF58" s="66">
        <v>755.21499999999992</v>
      </c>
      <c r="AG58" s="66">
        <v>53392.090000000011</v>
      </c>
      <c r="AH58" s="66">
        <v>323.31</v>
      </c>
      <c r="AI58" s="66">
        <v>431.90499999999997</v>
      </c>
      <c r="AJ58" s="66">
        <v>755.21499999999992</v>
      </c>
      <c r="AK58" s="66">
        <v>755.21499999999992</v>
      </c>
      <c r="AL58" s="66">
        <v>56604.69000000001</v>
      </c>
      <c r="AM58" s="66">
        <v>323.31</v>
      </c>
      <c r="AN58" s="73">
        <v>431.90499999999997</v>
      </c>
    </row>
    <row r="59" spans="1:40" x14ac:dyDescent="0.25">
      <c r="A59" s="266"/>
      <c r="B59" s="127"/>
      <c r="C59" s="131"/>
      <c r="D59" s="138"/>
      <c r="E59" s="131"/>
      <c r="F59" s="131"/>
      <c r="G59" s="139"/>
      <c r="H59" s="139"/>
      <c r="I59" s="139"/>
      <c r="J59" s="139"/>
      <c r="K59" s="131"/>
      <c r="L59" s="131"/>
      <c r="M59" s="130"/>
      <c r="N59" s="131"/>
      <c r="O59" s="140"/>
      <c r="P59" s="175">
        <v>1.1875812547</v>
      </c>
      <c r="T59" s="142">
        <v>1.1875812547</v>
      </c>
      <c r="U59" s="143">
        <v>1.1875812547</v>
      </c>
      <c r="W59" s="137"/>
      <c r="X59" s="166"/>
      <c r="Y59" s="97"/>
      <c r="Z59" s="43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5"/>
    </row>
    <row r="60" spans="1:40" ht="16.5" thickBot="1" x14ac:dyDescent="0.3">
      <c r="A60" s="266"/>
      <c r="B60" s="127"/>
      <c r="C60" s="131"/>
      <c r="D60" s="128"/>
      <c r="E60" s="128"/>
      <c r="F60" s="131"/>
      <c r="G60" s="128"/>
      <c r="H60" s="128"/>
      <c r="I60" s="131"/>
      <c r="J60" s="128"/>
      <c r="K60" s="128"/>
      <c r="L60" s="131"/>
      <c r="M60" s="130"/>
      <c r="N60" s="131"/>
      <c r="O60" s="140"/>
      <c r="P60" s="144">
        <f>P58/P59</f>
        <v>14214.874210240429</v>
      </c>
      <c r="Q60" s="109" t="s">
        <v>22</v>
      </c>
      <c r="T60" s="145">
        <f>T54/T59</f>
        <v>5537.3053203514837</v>
      </c>
      <c r="U60" s="146">
        <f>U54/U59</f>
        <v>8677.3009924303587</v>
      </c>
      <c r="W60" s="235">
        <v>2602995.6861598003</v>
      </c>
      <c r="X60" s="166">
        <v>28063141</v>
      </c>
      <c r="Y60" s="89" t="s">
        <v>38</v>
      </c>
      <c r="Z60" s="86">
        <v>96331.791469999996</v>
      </c>
      <c r="AA60" s="87">
        <v>96539.691470000005</v>
      </c>
      <c r="AB60" s="87">
        <v>96605.591469999999</v>
      </c>
      <c r="AC60" s="87">
        <v>39096.116450000001</v>
      </c>
      <c r="AD60" s="87">
        <v>57235.675019999988</v>
      </c>
      <c r="AE60" s="87">
        <v>730.83806000000027</v>
      </c>
      <c r="AF60" s="87">
        <v>730.83806000000027</v>
      </c>
      <c r="AG60" s="87">
        <v>5236.5787800000007</v>
      </c>
      <c r="AH60" s="87">
        <v>560.85</v>
      </c>
      <c r="AI60" s="87">
        <v>169.98806000000008</v>
      </c>
      <c r="AJ60" s="87">
        <v>730.83806000000038</v>
      </c>
      <c r="AK60" s="87">
        <v>730.83806000000016</v>
      </c>
      <c r="AL60" s="87">
        <v>27390.506330000004</v>
      </c>
      <c r="AM60" s="87">
        <v>560.85000000000025</v>
      </c>
      <c r="AN60" s="88">
        <v>169.98806000000033</v>
      </c>
    </row>
    <row r="61" spans="1:40" x14ac:dyDescent="0.25">
      <c r="A61" s="266"/>
      <c r="B61" s="127"/>
      <c r="C61" s="131"/>
      <c r="D61" s="128"/>
      <c r="E61" s="128"/>
      <c r="F61" s="131"/>
      <c r="G61" s="128"/>
      <c r="H61" s="128"/>
      <c r="I61" s="131"/>
      <c r="J61" s="128"/>
      <c r="K61" s="128"/>
      <c r="L61" s="131"/>
      <c r="M61" s="130"/>
      <c r="N61" s="131"/>
      <c r="O61" s="140"/>
      <c r="P61" s="109">
        <f>P95</f>
        <v>1.0898522576911902</v>
      </c>
      <c r="Q61" s="109" t="s">
        <v>24</v>
      </c>
      <c r="T61" s="147">
        <v>1.0933999999999999</v>
      </c>
      <c r="U61" s="148">
        <v>1.0933999999999999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6.5" thickBot="1" x14ac:dyDescent="0.3">
      <c r="A62" s="266"/>
      <c r="B62" s="127" t="s">
        <v>74</v>
      </c>
      <c r="C62" s="131"/>
      <c r="D62" s="128">
        <f>D58-D60</f>
        <v>3638033.4931400008</v>
      </c>
      <c r="E62" s="128">
        <f>E58-E60</f>
        <v>3771049.3521399996</v>
      </c>
      <c r="F62" s="131"/>
      <c r="G62" s="128">
        <f t="shared" ref="G62:H62" si="17">G58-G60</f>
        <v>4403851.3861484993</v>
      </c>
      <c r="H62" s="128">
        <f t="shared" si="17"/>
        <v>4648227.7598139001</v>
      </c>
      <c r="I62" s="131"/>
      <c r="J62" s="128">
        <f t="shared" ref="J62:K62" si="18">J58-J60</f>
        <v>4444806.7562098019</v>
      </c>
      <c r="K62" s="128">
        <f t="shared" si="18"/>
        <v>4623123.5057896012</v>
      </c>
      <c r="L62" s="131"/>
      <c r="M62" s="130"/>
      <c r="N62" s="131"/>
      <c r="O62" s="140"/>
      <c r="P62" s="133">
        <f>P60*$P$61</f>
        <v>15492.112750826805</v>
      </c>
      <c r="Q62" s="109" t="s">
        <v>23</v>
      </c>
      <c r="T62" s="149">
        <f t="shared" ref="T62:U62" si="19">T60*T61</f>
        <v>6054.4896372723115</v>
      </c>
      <c r="U62" s="150">
        <f t="shared" si="19"/>
        <v>9487.760905123354</v>
      </c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</row>
    <row r="63" spans="1:40" x14ac:dyDescent="0.25">
      <c r="A63" s="266"/>
      <c r="B63" s="127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40"/>
      <c r="P63" s="133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6.5" thickBot="1" x14ac:dyDescent="0.3">
      <c r="A64" s="266"/>
      <c r="B64" s="127" t="s">
        <v>16</v>
      </c>
      <c r="C64" s="131"/>
      <c r="D64" s="165">
        <v>57</v>
      </c>
      <c r="E64" s="165"/>
      <c r="F64" s="131"/>
      <c r="G64" s="131"/>
      <c r="H64" s="131"/>
      <c r="I64" s="131"/>
      <c r="J64" s="131"/>
      <c r="K64" s="131"/>
      <c r="L64" s="131"/>
      <c r="M64" s="179"/>
      <c r="N64" s="131"/>
      <c r="O64" s="140"/>
      <c r="P64" s="133">
        <f>S64*$P$62</f>
        <v>16426.876149797859</v>
      </c>
      <c r="Q64" s="153" t="s">
        <v>19</v>
      </c>
      <c r="S64" s="154">
        <f>$S$98</f>
        <v>1.0603380193525358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x14ac:dyDescent="0.25">
      <c r="A65" s="266"/>
      <c r="B65" s="127"/>
      <c r="C65" s="131"/>
      <c r="D65" s="131"/>
      <c r="E65" s="131"/>
      <c r="F65" s="131"/>
      <c r="G65" s="131"/>
      <c r="H65" s="131"/>
      <c r="I65" s="131"/>
      <c r="J65" s="131"/>
      <c r="K65" s="131"/>
      <c r="L65" s="120"/>
      <c r="M65" s="151"/>
      <c r="N65" s="151"/>
      <c r="O65" s="152"/>
      <c r="P65" s="133">
        <f t="shared" ref="P65:P66" si="20">S65*$P$62</f>
        <v>8659.4782043964697</v>
      </c>
      <c r="Q65" s="153" t="s">
        <v>20</v>
      </c>
      <c r="S65" s="154">
        <f>$S$99</f>
        <v>0.55896044288306113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x14ac:dyDescent="0.25">
      <c r="A66" s="266"/>
      <c r="B66" s="127" t="s">
        <v>14</v>
      </c>
      <c r="C66" s="131"/>
      <c r="D66" s="165">
        <v>0</v>
      </c>
      <c r="E66" s="165"/>
      <c r="F66" s="131"/>
      <c r="G66" s="131"/>
      <c r="H66" s="131"/>
      <c r="I66" s="131"/>
      <c r="J66" s="131"/>
      <c r="K66" s="131"/>
      <c r="L66" s="127"/>
      <c r="M66" s="128"/>
      <c r="N66" s="128"/>
      <c r="O66" s="155"/>
      <c r="P66" s="133">
        <f t="shared" si="20"/>
        <v>16426.876149797859</v>
      </c>
      <c r="Q66" s="153" t="s">
        <v>21</v>
      </c>
      <c r="S66" s="154">
        <f>$S$100</f>
        <v>1.0603380193525358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x14ac:dyDescent="0.25">
      <c r="A67" s="266"/>
      <c r="B67" s="127"/>
      <c r="C67" s="131"/>
      <c r="D67" s="131"/>
      <c r="E67" s="131"/>
      <c r="F67" s="131"/>
      <c r="G67" s="131"/>
      <c r="H67" s="131"/>
      <c r="I67" s="131"/>
      <c r="J67" s="131"/>
      <c r="K67" s="131"/>
      <c r="L67" s="156"/>
      <c r="M67" s="128"/>
      <c r="N67" s="128"/>
      <c r="O67" s="155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6.5" thickBot="1" x14ac:dyDescent="0.3">
      <c r="A68" s="266"/>
      <c r="B68" s="127" t="s">
        <v>17</v>
      </c>
      <c r="C68" s="131"/>
      <c r="D68" s="131">
        <f>D64-D66</f>
        <v>57</v>
      </c>
      <c r="E68" s="131">
        <f>E64-E66</f>
        <v>0</v>
      </c>
      <c r="F68" s="131"/>
      <c r="G68" s="181">
        <v>37</v>
      </c>
      <c r="H68" s="181"/>
      <c r="I68" s="106"/>
      <c r="J68" s="181">
        <v>20</v>
      </c>
      <c r="K68" s="131"/>
      <c r="L68" s="127"/>
      <c r="M68" s="128"/>
      <c r="N68" s="128"/>
      <c r="O68" s="155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6.5" thickBot="1" x14ac:dyDescent="0.3">
      <c r="A69" s="266"/>
      <c r="B69" s="157"/>
      <c r="C69" s="158"/>
      <c r="D69" s="158"/>
      <c r="E69" s="158"/>
      <c r="F69" s="158"/>
      <c r="G69" s="158"/>
      <c r="H69" s="158"/>
      <c r="I69" s="158"/>
      <c r="J69" s="158"/>
      <c r="K69" s="158"/>
      <c r="L69" s="157"/>
      <c r="M69" s="107"/>
      <c r="N69" s="107"/>
      <c r="O69" s="10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6.5" thickBot="1" x14ac:dyDescent="0.3">
      <c r="A70" s="218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02"/>
      <c r="N70" s="102"/>
      <c r="O70" s="10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6.5" thickBot="1" x14ac:dyDescent="0.3">
      <c r="A71" s="266" t="s">
        <v>100</v>
      </c>
      <c r="B71" s="120" t="s">
        <v>13</v>
      </c>
      <c r="C71" s="160"/>
      <c r="D71" s="237">
        <v>1882816.1361780001</v>
      </c>
      <c r="E71" s="201">
        <v>1951112.9004779996</v>
      </c>
      <c r="F71" s="201"/>
      <c r="G71" s="237">
        <v>2189276.8883639998</v>
      </c>
      <c r="H71" s="201">
        <v>2307940.9441639995</v>
      </c>
      <c r="I71" s="201"/>
      <c r="J71" s="237">
        <v>2193876.0191740002</v>
      </c>
      <c r="K71" s="201">
        <v>2285266.5308220005</v>
      </c>
      <c r="L71" s="238"/>
      <c r="M71" s="170">
        <v>6342.8133333333335</v>
      </c>
      <c r="N71" s="110"/>
      <c r="O71" s="239">
        <v>22331176.199999999</v>
      </c>
      <c r="P71" s="133">
        <v>8209.7999999999993</v>
      </c>
      <c r="Q71" s="109" t="s">
        <v>18</v>
      </c>
      <c r="T71" s="123">
        <v>3953</v>
      </c>
      <c r="U71" s="124">
        <v>4257</v>
      </c>
      <c r="W71" s="125"/>
      <c r="X71" s="177"/>
      <c r="Y71" s="93" t="s">
        <v>42</v>
      </c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5"/>
    </row>
    <row r="72" spans="1:40" ht="16.5" thickBot="1" x14ac:dyDescent="0.3">
      <c r="A72" s="266"/>
      <c r="B72" s="127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40"/>
      <c r="W72" s="125"/>
      <c r="X72" s="177"/>
      <c r="Y72" s="97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7"/>
    </row>
    <row r="73" spans="1:40" x14ac:dyDescent="0.25">
      <c r="A73" s="266"/>
      <c r="B73" s="127" t="s">
        <v>14</v>
      </c>
      <c r="C73" s="131"/>
      <c r="D73" s="167"/>
      <c r="E73" s="167"/>
      <c r="F73" s="168"/>
      <c r="G73" s="167"/>
      <c r="H73" s="167"/>
      <c r="I73" s="168"/>
      <c r="J73" s="167"/>
      <c r="K73" s="167"/>
      <c r="L73" s="129"/>
      <c r="M73" s="164"/>
      <c r="N73" s="165"/>
      <c r="O73" s="166"/>
      <c r="P73" s="126"/>
      <c r="W73" s="169"/>
      <c r="X73" s="166"/>
      <c r="Y73" s="97" t="s">
        <v>43</v>
      </c>
      <c r="Z73" s="69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1"/>
    </row>
    <row r="74" spans="1:40" ht="18" customHeight="1" thickBot="1" x14ac:dyDescent="0.3">
      <c r="A74" s="266"/>
      <c r="B74" s="127"/>
      <c r="C74" s="131"/>
      <c r="D74" s="128"/>
      <c r="E74" s="128"/>
      <c r="F74" s="129"/>
      <c r="G74" s="128"/>
      <c r="H74" s="128"/>
      <c r="I74" s="134"/>
      <c r="J74" s="128"/>
      <c r="K74" s="128"/>
      <c r="L74" s="129"/>
      <c r="M74" s="130"/>
      <c r="N74" s="131"/>
      <c r="O74" s="178"/>
      <c r="P74" s="133"/>
      <c r="W74" s="165"/>
      <c r="X74" s="166"/>
      <c r="Y74" s="97"/>
      <c r="Z74" s="38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40"/>
    </row>
    <row r="75" spans="1:40" x14ac:dyDescent="0.25">
      <c r="A75" s="266"/>
      <c r="B75" s="127" t="s">
        <v>15</v>
      </c>
      <c r="C75" s="131"/>
      <c r="D75" s="128">
        <f>D71-D73</f>
        <v>1882816.1361780001</v>
      </c>
      <c r="E75" s="128">
        <f>E71-E73</f>
        <v>1951112.9004779996</v>
      </c>
      <c r="F75" s="129"/>
      <c r="G75" s="128">
        <f>G71-G73</f>
        <v>2189276.8883639998</v>
      </c>
      <c r="H75" s="128">
        <f>H71-H73</f>
        <v>2307940.9441639995</v>
      </c>
      <c r="I75" s="134"/>
      <c r="J75" s="128">
        <f>J71-J73</f>
        <v>2193876.0191740002</v>
      </c>
      <c r="K75" s="128">
        <f>K71-K73</f>
        <v>2285266.5308220005</v>
      </c>
      <c r="L75" s="129"/>
      <c r="M75" s="130">
        <f>M71-M73</f>
        <v>6342.8133333333335</v>
      </c>
      <c r="N75" s="131"/>
      <c r="O75" s="130">
        <f t="shared" ref="O75" si="21">O71-O73</f>
        <v>22331176.199999999</v>
      </c>
      <c r="P75" s="133">
        <f>P71-P73</f>
        <v>8209.7999999999993</v>
      </c>
      <c r="Q75" s="109" t="s">
        <v>26</v>
      </c>
      <c r="T75" s="135">
        <f t="shared" ref="T75:U75" si="22">T71-T73</f>
        <v>3953</v>
      </c>
      <c r="U75" s="136">
        <f t="shared" si="22"/>
        <v>4257</v>
      </c>
      <c r="W75" s="128">
        <v>1038298.7650440001</v>
      </c>
      <c r="X75" s="164">
        <v>10177720.199999999</v>
      </c>
      <c r="Y75" s="97" t="s">
        <v>39</v>
      </c>
      <c r="Z75" s="41">
        <v>36579.660000000003</v>
      </c>
      <c r="AA75" s="21">
        <v>36579.660000000003</v>
      </c>
      <c r="AB75" s="21">
        <v>36579.660000000003</v>
      </c>
      <c r="AC75" s="21">
        <v>15649.5</v>
      </c>
      <c r="AD75" s="21">
        <v>20930.160000000003</v>
      </c>
      <c r="AE75" s="21">
        <v>75.849999999999952</v>
      </c>
      <c r="AF75" s="21">
        <v>75.849999999999852</v>
      </c>
      <c r="AG75" s="21">
        <v>20939.639999999996</v>
      </c>
      <c r="AH75" s="21">
        <v>26.549999999999972</v>
      </c>
      <c r="AI75" s="21">
        <v>49.299999999999919</v>
      </c>
      <c r="AJ75" s="21">
        <v>75.849999999999952</v>
      </c>
      <c r="AK75" s="21">
        <v>75.849999999999937</v>
      </c>
      <c r="AL75" s="21">
        <v>22804.739999999994</v>
      </c>
      <c r="AM75" s="21">
        <v>26.55</v>
      </c>
      <c r="AN75" s="42">
        <v>49.299999999999933</v>
      </c>
    </row>
    <row r="76" spans="1:40" x14ac:dyDescent="0.25">
      <c r="A76" s="266"/>
      <c r="B76" s="127"/>
      <c r="C76" s="131"/>
      <c r="D76" s="138"/>
      <c r="E76" s="131"/>
      <c r="F76" s="131"/>
      <c r="G76" s="139"/>
      <c r="H76" s="139"/>
      <c r="I76" s="139"/>
      <c r="J76" s="139"/>
      <c r="K76" s="131"/>
      <c r="L76" s="131"/>
      <c r="M76" s="130"/>
      <c r="N76" s="131"/>
      <c r="O76" s="140"/>
      <c r="P76" s="175">
        <v>1.1875812547</v>
      </c>
      <c r="T76" s="142">
        <v>1.1875812547</v>
      </c>
      <c r="U76" s="143">
        <v>1.1875812547</v>
      </c>
      <c r="W76" s="137"/>
      <c r="X76" s="236"/>
      <c r="Y76" s="97"/>
      <c r="Z76" s="43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5"/>
    </row>
    <row r="77" spans="1:40" ht="16.5" thickBot="1" x14ac:dyDescent="0.3">
      <c r="A77" s="266"/>
      <c r="B77" s="127"/>
      <c r="C77" s="131"/>
      <c r="D77" s="128"/>
      <c r="E77" s="128"/>
      <c r="F77" s="131"/>
      <c r="G77" s="128"/>
      <c r="H77" s="128"/>
      <c r="I77" s="131"/>
      <c r="J77" s="128"/>
      <c r="K77" s="128"/>
      <c r="L77" s="131"/>
      <c r="M77" s="130"/>
      <c r="N77" s="131"/>
      <c r="O77" s="140"/>
      <c r="P77" s="144">
        <f>P75/P76</f>
        <v>6913.0427644497577</v>
      </c>
      <c r="Q77" s="109" t="s">
        <v>22</v>
      </c>
      <c r="T77" s="145">
        <f>T71/T76</f>
        <v>3328.6143447915774</v>
      </c>
      <c r="U77" s="146">
        <f>U71/U76</f>
        <v>3584.5968291873883</v>
      </c>
      <c r="W77" s="240">
        <v>1099459.7311200001</v>
      </c>
      <c r="X77" s="227">
        <v>12153456</v>
      </c>
      <c r="Y77" s="89" t="s">
        <v>38</v>
      </c>
      <c r="Z77" s="46">
        <v>39534.1</v>
      </c>
      <c r="AA77" s="47">
        <v>40412.5</v>
      </c>
      <c r="AB77" s="47">
        <v>41134</v>
      </c>
      <c r="AC77" s="47">
        <v>17120.8</v>
      </c>
      <c r="AD77" s="47">
        <v>22413.3</v>
      </c>
      <c r="AE77" s="47">
        <v>0</v>
      </c>
      <c r="AF77" s="47">
        <v>0</v>
      </c>
      <c r="AG77" s="47">
        <v>1441.9</v>
      </c>
      <c r="AH77" s="47">
        <v>0</v>
      </c>
      <c r="AI77" s="47">
        <v>0</v>
      </c>
      <c r="AJ77" s="47">
        <v>0</v>
      </c>
      <c r="AK77" s="47">
        <v>0</v>
      </c>
      <c r="AL77" s="47">
        <v>10971.2</v>
      </c>
      <c r="AM77" s="47">
        <v>0</v>
      </c>
      <c r="AN77" s="48">
        <v>0</v>
      </c>
    </row>
    <row r="78" spans="1:40" x14ac:dyDescent="0.25">
      <c r="A78" s="266"/>
      <c r="B78" s="127"/>
      <c r="C78" s="131"/>
      <c r="D78" s="128"/>
      <c r="E78" s="128"/>
      <c r="F78" s="131"/>
      <c r="G78" s="128"/>
      <c r="H78" s="128"/>
      <c r="I78" s="131"/>
      <c r="J78" s="128"/>
      <c r="K78" s="128"/>
      <c r="L78" s="131"/>
      <c r="M78" s="130"/>
      <c r="N78" s="131"/>
      <c r="O78" s="140"/>
      <c r="P78" s="109">
        <f>P95</f>
        <v>1.0898522576911902</v>
      </c>
      <c r="Q78" s="109" t="s">
        <v>24</v>
      </c>
      <c r="T78" s="147">
        <v>1.0933999999999999</v>
      </c>
      <c r="U78" s="148">
        <v>1.0933999999999999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6.5" thickBot="1" x14ac:dyDescent="0.3">
      <c r="A79" s="266"/>
      <c r="B79" s="127" t="s">
        <v>74</v>
      </c>
      <c r="C79" s="131"/>
      <c r="D79" s="128">
        <f>D75-D77</f>
        <v>1882816.1361780001</v>
      </c>
      <c r="E79" s="128">
        <f>E75-E77</f>
        <v>1951112.9004779996</v>
      </c>
      <c r="F79" s="131"/>
      <c r="G79" s="128">
        <f t="shared" ref="G79:H79" si="23">G75-G77</f>
        <v>2189276.8883639998</v>
      </c>
      <c r="H79" s="128">
        <f t="shared" si="23"/>
        <v>2307940.9441639995</v>
      </c>
      <c r="I79" s="131"/>
      <c r="J79" s="128">
        <f t="shared" ref="J79:K79" si="24">J75-J77</f>
        <v>2193876.0191740002</v>
      </c>
      <c r="K79" s="128">
        <f t="shared" si="24"/>
        <v>2285266.5308220005</v>
      </c>
      <c r="L79" s="131"/>
      <c r="M79" s="130"/>
      <c r="N79" s="131"/>
      <c r="O79" s="140"/>
      <c r="P79" s="133">
        <f>P77*$P$61</f>
        <v>7534.195264351315</v>
      </c>
      <c r="Q79" s="109" t="s">
        <v>23</v>
      </c>
      <c r="T79" s="149">
        <f t="shared" ref="T79:U79" si="25">T77*T78</f>
        <v>3639.5069245951104</v>
      </c>
      <c r="U79" s="150">
        <f t="shared" si="25"/>
        <v>3919.3981730334899</v>
      </c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</row>
    <row r="80" spans="1:40" x14ac:dyDescent="0.25">
      <c r="A80" s="266"/>
      <c r="B80" s="127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40"/>
      <c r="P80" s="133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6.5" thickBot="1" x14ac:dyDescent="0.3">
      <c r="A81" s="266"/>
      <c r="B81" s="127" t="s">
        <v>16</v>
      </c>
      <c r="C81" s="131"/>
      <c r="D81" s="219">
        <v>29</v>
      </c>
      <c r="E81" s="165"/>
      <c r="F81" s="131"/>
      <c r="G81" s="131"/>
      <c r="H81" s="131"/>
      <c r="I81" s="131"/>
      <c r="J81" s="131"/>
      <c r="K81" s="131"/>
      <c r="L81" s="131"/>
      <c r="M81" s="179"/>
      <c r="N81" s="131"/>
      <c r="O81" s="140"/>
      <c r="P81" s="133">
        <f>S81*$P$62</f>
        <v>16426.876149797859</v>
      </c>
      <c r="Q81" s="153" t="s">
        <v>19</v>
      </c>
      <c r="S81" s="154">
        <f>$S$98</f>
        <v>1.0603380193525358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5">
      <c r="A82" s="266"/>
      <c r="B82" s="127"/>
      <c r="C82" s="131"/>
      <c r="D82" s="219"/>
      <c r="E82" s="131"/>
      <c r="F82" s="131"/>
      <c r="G82" s="131"/>
      <c r="H82" s="131"/>
      <c r="I82" s="131"/>
      <c r="J82" s="131"/>
      <c r="K82" s="131"/>
      <c r="L82" s="120"/>
      <c r="M82" s="151"/>
      <c r="N82" s="151"/>
      <c r="O82" s="152"/>
      <c r="P82" s="133">
        <f t="shared" ref="P82:P83" si="26">S82*$P$62</f>
        <v>8659.4782043964697</v>
      </c>
      <c r="Q82" s="153" t="s">
        <v>20</v>
      </c>
      <c r="S82" s="154">
        <f>$S$99</f>
        <v>0.55896044288306113</v>
      </c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25">
      <c r="A83" s="266"/>
      <c r="B83" s="127" t="s">
        <v>14</v>
      </c>
      <c r="C83" s="131"/>
      <c r="D83" s="219">
        <v>0</v>
      </c>
      <c r="E83" s="165"/>
      <c r="F83" s="131"/>
      <c r="G83" s="131"/>
      <c r="H83" s="131"/>
      <c r="I83" s="131"/>
      <c r="J83" s="131"/>
      <c r="K83" s="131"/>
      <c r="L83" s="127"/>
      <c r="M83" s="128"/>
      <c r="N83" s="128"/>
      <c r="O83" s="155"/>
      <c r="P83" s="133">
        <f t="shared" si="26"/>
        <v>16426.876149797859</v>
      </c>
      <c r="Q83" s="153" t="s">
        <v>21</v>
      </c>
      <c r="S83" s="154">
        <f>$S$100</f>
        <v>1.0603380193525358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5">
      <c r="A84" s="266"/>
      <c r="B84" s="127"/>
      <c r="C84" s="131"/>
      <c r="D84" s="219"/>
      <c r="E84" s="131"/>
      <c r="F84" s="131"/>
      <c r="G84" s="131"/>
      <c r="H84" s="131"/>
      <c r="I84" s="131"/>
      <c r="J84" s="131"/>
      <c r="K84" s="131"/>
      <c r="L84" s="156"/>
      <c r="M84" s="128"/>
      <c r="N84" s="128"/>
      <c r="O84" s="155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6.5" thickBot="1" x14ac:dyDescent="0.3">
      <c r="A85" s="266"/>
      <c r="B85" s="127" t="s">
        <v>17</v>
      </c>
      <c r="C85" s="131"/>
      <c r="D85" s="220">
        <v>29</v>
      </c>
      <c r="E85" s="131">
        <f>E81-E83</f>
        <v>0</v>
      </c>
      <c r="F85" s="131"/>
      <c r="G85" s="181">
        <v>19</v>
      </c>
      <c r="H85" s="181"/>
      <c r="I85" s="106"/>
      <c r="J85" s="181">
        <v>10</v>
      </c>
      <c r="K85" s="131"/>
      <c r="L85" s="127"/>
      <c r="M85" s="128"/>
      <c r="N85" s="128"/>
      <c r="O85" s="155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6.5" thickBot="1" x14ac:dyDescent="0.3">
      <c r="A86" s="266"/>
      <c r="B86" s="157"/>
      <c r="C86" s="158"/>
      <c r="D86" s="158"/>
      <c r="E86" s="158"/>
      <c r="F86" s="158"/>
      <c r="G86" s="158"/>
      <c r="H86" s="158"/>
      <c r="I86" s="158"/>
      <c r="J86" s="158"/>
      <c r="K86" s="158"/>
      <c r="L86" s="157"/>
      <c r="M86" s="107"/>
      <c r="N86" s="107"/>
      <c r="O86" s="108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6.5" thickBot="1" x14ac:dyDescent="0.3"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6.5" thickBot="1" x14ac:dyDescent="0.3">
      <c r="A88" s="265" t="s">
        <v>25</v>
      </c>
      <c r="B88" s="120" t="s">
        <v>13</v>
      </c>
      <c r="C88" s="160"/>
      <c r="D88" s="151">
        <f>D5+D21+D37+D71+D54</f>
        <v>19807456.590636812</v>
      </c>
      <c r="E88" s="151">
        <f>E5+E21+E37+E71+E54</f>
        <v>20460022.702310305</v>
      </c>
      <c r="F88" s="162">
        <f>(E88-D88)/D88</f>
        <v>3.2945477309891856E-2</v>
      </c>
      <c r="G88" s="151">
        <f>G5+G21+G37+G71+G54</f>
        <v>22576313.897646777</v>
      </c>
      <c r="H88" s="151">
        <f>H5+H21+H37+H71+H54</f>
        <v>23789235.769912187</v>
      </c>
      <c r="I88" s="162">
        <f>(H88-G88)/G88</f>
        <v>5.372541672499679E-2</v>
      </c>
      <c r="J88" s="151">
        <f>J5+J21+J37+J71+J54</f>
        <v>22220508.613406036</v>
      </c>
      <c r="K88" s="151">
        <f>K5+K21+K37+K71+K54</f>
        <v>23316702.960723795</v>
      </c>
      <c r="L88" s="162">
        <f>(K88-J88)/J88</f>
        <v>4.9332549780449444E-2</v>
      </c>
      <c r="M88" s="182">
        <f t="shared" ref="M88:P88" si="27">M5+M21+M37+M71+M54</f>
        <v>64552.70345583334</v>
      </c>
      <c r="N88" s="182">
        <f t="shared" si="27"/>
        <v>0</v>
      </c>
      <c r="O88" s="182">
        <f t="shared" si="27"/>
        <v>235244074.449</v>
      </c>
      <c r="P88" s="182">
        <f t="shared" si="27"/>
        <v>82465.538150000008</v>
      </c>
      <c r="Q88" s="109" t="s">
        <v>18</v>
      </c>
      <c r="T88" s="183">
        <f>T5+T21+T37+T54+T71</f>
        <v>27980.82</v>
      </c>
      <c r="U88" s="183">
        <f>U5+U21+U37+U54+U71</f>
        <v>46912</v>
      </c>
      <c r="W88" s="183">
        <f>W5+W21+W37+W54+W71</f>
        <v>0</v>
      </c>
      <c r="X88" s="183">
        <f>X5+X21+X37+X54+X71</f>
        <v>0</v>
      </c>
      <c r="Y88" s="93" t="s">
        <v>42</v>
      </c>
      <c r="Z88" s="3">
        <f>Z5+Z21+Z37+Z54+Z71</f>
        <v>0</v>
      </c>
      <c r="AA88" s="3">
        <f>AA5+AA21+AA37+AA54+AA71</f>
        <v>0</v>
      </c>
      <c r="AB88" s="3">
        <f t="shared" ref="AB88:AN88" si="28">AB5+AB21+AB37+AB54+AB71</f>
        <v>0</v>
      </c>
      <c r="AC88" s="3">
        <f t="shared" si="28"/>
        <v>0</v>
      </c>
      <c r="AD88" s="3">
        <f t="shared" si="28"/>
        <v>0</v>
      </c>
      <c r="AE88" s="3">
        <f t="shared" si="28"/>
        <v>0</v>
      </c>
      <c r="AF88" s="3">
        <f t="shared" si="28"/>
        <v>0</v>
      </c>
      <c r="AG88" s="3">
        <f t="shared" si="28"/>
        <v>0</v>
      </c>
      <c r="AH88" s="3">
        <f t="shared" si="28"/>
        <v>0</v>
      </c>
      <c r="AI88" s="3">
        <f t="shared" si="28"/>
        <v>0</v>
      </c>
      <c r="AJ88" s="3">
        <f t="shared" si="28"/>
        <v>0</v>
      </c>
      <c r="AK88" s="3">
        <f t="shared" si="28"/>
        <v>0</v>
      </c>
      <c r="AL88" s="3">
        <f t="shared" si="28"/>
        <v>0</v>
      </c>
      <c r="AM88" s="3">
        <f t="shared" si="28"/>
        <v>0</v>
      </c>
      <c r="AN88" s="3">
        <f t="shared" si="28"/>
        <v>0</v>
      </c>
    </row>
    <row r="89" spans="1:40" ht="16.5" thickBot="1" x14ac:dyDescent="0.3">
      <c r="A89" s="265"/>
      <c r="B89" s="127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0"/>
      <c r="N89" s="130"/>
      <c r="O89" s="130"/>
      <c r="P89" s="130"/>
      <c r="W89" s="184"/>
      <c r="X89" s="132"/>
      <c r="Y89" s="97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:40" ht="16.5" thickBot="1" x14ac:dyDescent="0.3">
      <c r="A90" s="265"/>
      <c r="B90" s="127" t="s">
        <v>14</v>
      </c>
      <c r="C90" s="131"/>
      <c r="D90" s="128">
        <f>D7+D23+D39+D56+D73</f>
        <v>1911556.2638300005</v>
      </c>
      <c r="E90" s="128">
        <f>E7+E23+E39+E56+E73</f>
        <v>1969645.57433</v>
      </c>
      <c r="F90" s="129">
        <f>(E90-D90)/D90</f>
        <v>3.0388491094482096E-2</v>
      </c>
      <c r="G90" s="128">
        <f t="shared" ref="G90:H90" si="29">G7+G23+G39+G56+G73</f>
        <v>2115087.1793</v>
      </c>
      <c r="H90" s="128">
        <f t="shared" si="29"/>
        <v>2226908.6992999995</v>
      </c>
      <c r="I90" s="129">
        <f>(H90-G90)/G90</f>
        <v>5.2868515820235606E-2</v>
      </c>
      <c r="J90" s="128">
        <f t="shared" ref="J90:K90" si="30">J7+J23+J39+J56+J73</f>
        <v>2062000.0248000005</v>
      </c>
      <c r="K90" s="128">
        <f t="shared" si="30"/>
        <v>2177615.5554</v>
      </c>
      <c r="L90" s="129">
        <f>(K90-J90)/J90</f>
        <v>5.6069606794118911E-2</v>
      </c>
      <c r="M90" s="130">
        <f t="shared" ref="M90:P90" si="31">M7+M23+M39+M56+M73</f>
        <v>70988.44</v>
      </c>
      <c r="N90" s="130">
        <f t="shared" si="31"/>
        <v>0</v>
      </c>
      <c r="O90" s="130">
        <f t="shared" si="31"/>
        <v>22726207</v>
      </c>
      <c r="P90" s="130">
        <f t="shared" si="31"/>
        <v>7573.3999999999987</v>
      </c>
      <c r="V90" s="277" t="s">
        <v>27</v>
      </c>
      <c r="W90" s="185">
        <f>W7+W23+W39+W56+W73</f>
        <v>1911555.9286000005</v>
      </c>
      <c r="X90" s="185">
        <f>X7+X23+X39+X56+X73</f>
        <v>22726207</v>
      </c>
      <c r="Y90" s="97" t="s">
        <v>43</v>
      </c>
      <c r="Z90" s="4">
        <f>Z7+Z23+Z39+Z56+Z73</f>
        <v>71714.239999999991</v>
      </c>
      <c r="AA90" s="4">
        <f>AA7+AA23+AA39+AA56+AA73</f>
        <v>71714.239999999991</v>
      </c>
      <c r="AB90" s="4">
        <f t="shared" ref="AB90:AN90" si="32">AB7+AB23+AB39+AB56+AB73</f>
        <v>71714.239999999991</v>
      </c>
      <c r="AC90" s="4">
        <f t="shared" si="32"/>
        <v>26573.239999999994</v>
      </c>
      <c r="AD90" s="4">
        <f t="shared" si="32"/>
        <v>45140.999999999993</v>
      </c>
      <c r="AE90" s="4">
        <f t="shared" si="32"/>
        <v>545.31000000000006</v>
      </c>
      <c r="AF90" s="4">
        <f t="shared" si="32"/>
        <v>545.31000000000006</v>
      </c>
      <c r="AG90" s="4">
        <f t="shared" si="32"/>
        <v>13316.76</v>
      </c>
      <c r="AH90" s="4">
        <f t="shared" si="32"/>
        <v>525.66</v>
      </c>
      <c r="AI90" s="4">
        <f t="shared" si="32"/>
        <v>19.649999999999995</v>
      </c>
      <c r="AJ90" s="4">
        <f t="shared" si="32"/>
        <v>545.30999999999983</v>
      </c>
      <c r="AK90" s="4">
        <f t="shared" si="32"/>
        <v>545.31000000000006</v>
      </c>
      <c r="AL90" s="4">
        <f t="shared" si="32"/>
        <v>27452.560000000001</v>
      </c>
      <c r="AM90" s="4">
        <f t="shared" si="32"/>
        <v>525.65999999999985</v>
      </c>
      <c r="AN90" s="4">
        <f t="shared" si="32"/>
        <v>19.649999999999999</v>
      </c>
    </row>
    <row r="91" spans="1:40" ht="16.5" thickBot="1" x14ac:dyDescent="0.3">
      <c r="A91" s="265"/>
      <c r="B91" s="127"/>
      <c r="C91" s="131"/>
      <c r="D91" s="128"/>
      <c r="E91" s="128"/>
      <c r="F91" s="129"/>
      <c r="G91" s="128"/>
      <c r="H91" s="128"/>
      <c r="I91" s="134"/>
      <c r="J91" s="128"/>
      <c r="K91" s="128"/>
      <c r="L91" s="129"/>
      <c r="M91" s="130"/>
      <c r="N91" s="131"/>
      <c r="O91" s="132">
        <f t="shared" ref="O91" si="33">O87-O89</f>
        <v>0</v>
      </c>
      <c r="P91" s="145"/>
      <c r="V91" s="278"/>
      <c r="W91" s="131"/>
      <c r="X91" s="132"/>
      <c r="Y91" s="97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 ht="16.5" thickBot="1" x14ac:dyDescent="0.3">
      <c r="A92" s="265"/>
      <c r="B92" s="127" t="s">
        <v>15</v>
      </c>
      <c r="C92" s="131"/>
      <c r="D92" s="128">
        <f>D88-D90</f>
        <v>17895900.326806813</v>
      </c>
      <c r="E92" s="128">
        <f>E88-E90</f>
        <v>18490377.127980307</v>
      </c>
      <c r="F92" s="129">
        <f>(E92-D92)/D92</f>
        <v>3.3218602602687074E-2</v>
      </c>
      <c r="G92" s="128">
        <f>G88-G90</f>
        <v>20461226.718346778</v>
      </c>
      <c r="H92" s="128">
        <f>H88-H90</f>
        <v>21562327.070612188</v>
      </c>
      <c r="I92" s="129">
        <f>(H92-G92)/G92</f>
        <v>5.3813994997577379E-2</v>
      </c>
      <c r="J92" s="128">
        <f>J88-J90</f>
        <v>20158508.588606037</v>
      </c>
      <c r="K92" s="128">
        <f>K88-K90</f>
        <v>21139087.405323796</v>
      </c>
      <c r="L92" s="129">
        <f>(K92-J92)/J92</f>
        <v>4.8643420836797423E-2</v>
      </c>
      <c r="M92" s="130">
        <f>M88-M90</f>
        <v>-6435.7365441666625</v>
      </c>
      <c r="N92" s="131"/>
      <c r="O92" s="123">
        <f>O88-O90</f>
        <v>212517867.449</v>
      </c>
      <c r="P92" s="123">
        <f>P88-P90</f>
        <v>74892.138150000013</v>
      </c>
      <c r="Q92" s="109" t="s">
        <v>26</v>
      </c>
      <c r="T92" s="123">
        <f t="shared" ref="T92:U92" si="34">T88-T90</f>
        <v>27980.82</v>
      </c>
      <c r="U92" s="183">
        <f t="shared" si="34"/>
        <v>46912</v>
      </c>
      <c r="V92" s="186">
        <v>57026</v>
      </c>
      <c r="W92" s="185">
        <f>W9+W25+W41+W58+W75</f>
        <v>7430805.642434001</v>
      </c>
      <c r="X92" s="185">
        <f>X9+X25+X41+X58+X75</f>
        <v>73019668.200000003</v>
      </c>
      <c r="Y92" s="97" t="s">
        <v>39</v>
      </c>
      <c r="Z92" s="4">
        <f>Z9+Z25+Z41+Z58+Z75</f>
        <v>260182.84999999998</v>
      </c>
      <c r="AA92" s="4">
        <f>AA9+AA25+AA41+AA58+AA75</f>
        <v>260182.84999999998</v>
      </c>
      <c r="AB92" s="4">
        <f t="shared" ref="AB92:AN92" si="35">AB9+AB25+AB41+AB58+AB75</f>
        <v>254981.54999999996</v>
      </c>
      <c r="AC92" s="4">
        <f t="shared" si="35"/>
        <v>110826.86000000002</v>
      </c>
      <c r="AD92" s="4">
        <f t="shared" si="35"/>
        <v>149355.99000000002</v>
      </c>
      <c r="AE92" s="4">
        <f t="shared" si="35"/>
        <v>2050.2150000000001</v>
      </c>
      <c r="AF92" s="4">
        <f t="shared" si="35"/>
        <v>2050.2149999999997</v>
      </c>
      <c r="AG92" s="4">
        <f t="shared" si="35"/>
        <v>153776.94999999998</v>
      </c>
      <c r="AH92" s="4">
        <f t="shared" si="35"/>
        <v>1226.71</v>
      </c>
      <c r="AI92" s="4">
        <f t="shared" si="35"/>
        <v>823.50499999999988</v>
      </c>
      <c r="AJ92" s="4">
        <f t="shared" si="35"/>
        <v>2050.2150000000001</v>
      </c>
      <c r="AK92" s="4">
        <f t="shared" si="35"/>
        <v>2050.2150000000001</v>
      </c>
      <c r="AL92" s="4">
        <f t="shared" si="35"/>
        <v>170922.05000000002</v>
      </c>
      <c r="AM92" s="4">
        <f t="shared" si="35"/>
        <v>1226.71</v>
      </c>
      <c r="AN92" s="4">
        <f t="shared" si="35"/>
        <v>823.505</v>
      </c>
    </row>
    <row r="93" spans="1:40" ht="16.5" thickBot="1" x14ac:dyDescent="0.3">
      <c r="A93" s="265"/>
      <c r="B93" s="127"/>
      <c r="C93" s="131"/>
      <c r="D93" s="138"/>
      <c r="E93" s="131"/>
      <c r="F93" s="131"/>
      <c r="G93" s="139" t="s">
        <v>75</v>
      </c>
      <c r="H93" s="139"/>
      <c r="I93" s="139"/>
      <c r="J93" s="139"/>
      <c r="K93" s="131"/>
      <c r="L93" s="131"/>
      <c r="M93" s="130"/>
      <c r="N93" s="131"/>
      <c r="O93" s="140"/>
      <c r="P93" s="187">
        <v>1.1875812547</v>
      </c>
      <c r="T93" s="187">
        <v>1.1875812547</v>
      </c>
      <c r="U93" s="187">
        <v>1.1875812547</v>
      </c>
      <c r="V93" s="188">
        <v>1.1875812547</v>
      </c>
      <c r="W93" s="189">
        <f>S112</f>
        <v>6759533.943193459</v>
      </c>
      <c r="X93" s="132"/>
      <c r="Y93" s="97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0" ht="16.5" thickBot="1" x14ac:dyDescent="0.3">
      <c r="A94" s="265"/>
      <c r="B94" s="127"/>
      <c r="C94" s="131"/>
      <c r="D94" s="128"/>
      <c r="E94" s="128"/>
      <c r="F94" s="131"/>
      <c r="G94" s="128"/>
      <c r="H94" s="128"/>
      <c r="I94" s="131"/>
      <c r="J94" s="128"/>
      <c r="K94" s="128"/>
      <c r="L94" s="131"/>
      <c r="M94" s="130"/>
      <c r="N94" s="131"/>
      <c r="O94" s="140"/>
      <c r="P94" s="190">
        <f>P92/P93</f>
        <v>63062.748636023935</v>
      </c>
      <c r="Q94" s="109" t="s">
        <v>22</v>
      </c>
      <c r="S94" s="144"/>
      <c r="T94" s="190">
        <f t="shared" ref="T94:U94" si="36">T92/T93</f>
        <v>23561.183615236798</v>
      </c>
      <c r="U94" s="190">
        <f t="shared" si="36"/>
        <v>39502.139170974573</v>
      </c>
      <c r="V94" s="191">
        <f>V92/V93</f>
        <v>48018.609063011514</v>
      </c>
      <c r="W94" s="185">
        <f>W11+W27+W43+W60+W77</f>
        <v>12345754.919202032</v>
      </c>
      <c r="X94" s="185">
        <f>X11+X27+X43+X60+X77</f>
        <v>139498199.24900001</v>
      </c>
      <c r="Y94" s="89" t="s">
        <v>38</v>
      </c>
      <c r="Z94" s="68">
        <f>Z11+Z27+Z43+Z60+Z77</f>
        <v>442735.35146999994</v>
      </c>
      <c r="AA94" s="68">
        <f>AA11+AA27+AA43+AA60+AA77</f>
        <v>445242.25147000002</v>
      </c>
      <c r="AB94" s="68">
        <f t="shared" ref="AB94:AN94" si="37">AB11+AB27+AB43+AB60+AB77</f>
        <v>446762.15146999998</v>
      </c>
      <c r="AC94" s="68">
        <f t="shared" si="37"/>
        <v>180829.81644999998</v>
      </c>
      <c r="AD94" s="68">
        <f t="shared" si="37"/>
        <v>261905.53501999998</v>
      </c>
      <c r="AE94" s="68">
        <f t="shared" si="37"/>
        <v>3055.0380599999999</v>
      </c>
      <c r="AF94" s="68">
        <f t="shared" si="37"/>
        <v>3066.5380599999999</v>
      </c>
      <c r="AG94" s="68">
        <f t="shared" si="37"/>
        <v>19991.603780000001</v>
      </c>
      <c r="AH94" s="68">
        <f t="shared" si="37"/>
        <v>2812.2999999999997</v>
      </c>
      <c r="AI94" s="68">
        <f t="shared" si="37"/>
        <v>242.73806000000002</v>
      </c>
      <c r="AJ94" s="68">
        <f t="shared" si="37"/>
        <v>3055.0380600000003</v>
      </c>
      <c r="AK94" s="68">
        <f t="shared" si="37"/>
        <v>3066.5380599999999</v>
      </c>
      <c r="AL94" s="68">
        <f t="shared" si="37"/>
        <v>118879.74632999999</v>
      </c>
      <c r="AM94" s="68">
        <f t="shared" si="37"/>
        <v>2812.3000000000006</v>
      </c>
      <c r="AN94" s="68">
        <f t="shared" si="37"/>
        <v>242.73806000000025</v>
      </c>
    </row>
    <row r="95" spans="1:40" ht="16.5" thickBot="1" x14ac:dyDescent="0.3">
      <c r="A95" s="265"/>
      <c r="B95" s="127"/>
      <c r="C95" s="131"/>
      <c r="D95" s="128"/>
      <c r="E95" s="128"/>
      <c r="F95" s="131"/>
      <c r="G95" s="128"/>
      <c r="H95" s="128"/>
      <c r="I95" s="131"/>
      <c r="J95" s="128"/>
      <c r="K95" s="128"/>
      <c r="L95" s="131"/>
      <c r="M95" s="130"/>
      <c r="N95" s="131"/>
      <c r="O95" s="140"/>
      <c r="P95" s="97">
        <v>1.0898522576911902</v>
      </c>
      <c r="Q95" s="109" t="s">
        <v>24</v>
      </c>
      <c r="T95" s="97">
        <f>P95</f>
        <v>1.0898522576911902</v>
      </c>
      <c r="U95" s="97">
        <f>P95</f>
        <v>1.0898522576911902</v>
      </c>
      <c r="V95" s="192">
        <f>P95</f>
        <v>1.0898522576911902</v>
      </c>
      <c r="W95" s="171">
        <f>T112</f>
        <v>11397989.764203425</v>
      </c>
    </row>
    <row r="96" spans="1:40" ht="15.75" customHeight="1" thickBot="1" x14ac:dyDescent="0.3">
      <c r="A96" s="265"/>
      <c r="B96" s="127" t="s">
        <v>74</v>
      </c>
      <c r="C96" s="131"/>
      <c r="D96" s="193">
        <f>D92-D94</f>
        <v>17895900.326806813</v>
      </c>
      <c r="E96" s="128">
        <f>E92-E94</f>
        <v>18490377.127980307</v>
      </c>
      <c r="F96" s="128">
        <f>E96-D96</f>
        <v>594476.80117349327</v>
      </c>
      <c r="G96" s="128">
        <f>G92-G94</f>
        <v>20461226.718346778</v>
      </c>
      <c r="H96" s="128">
        <f>H92-H94</f>
        <v>21562327.070612188</v>
      </c>
      <c r="I96" s="131"/>
      <c r="J96" s="128">
        <f>J92-J94</f>
        <v>20158508.588606037</v>
      </c>
      <c r="K96" s="128">
        <f>K92-K94</f>
        <v>21139087.405323796</v>
      </c>
      <c r="L96" s="131"/>
      <c r="M96" s="130"/>
      <c r="N96" s="131"/>
      <c r="O96" s="140"/>
      <c r="P96" s="194">
        <f>P94*P95</f>
        <v>68729.078977182711</v>
      </c>
      <c r="Q96" s="109" t="s">
        <v>23</v>
      </c>
      <c r="S96" s="144"/>
      <c r="T96" s="194">
        <f t="shared" ref="T96:U96" si="38">T94*T95</f>
        <v>25678.209156942503</v>
      </c>
      <c r="U96" s="195">
        <f t="shared" si="38"/>
        <v>43051.495559118237</v>
      </c>
      <c r="V96" s="191">
        <f>V94*V95</f>
        <v>52333.189498513748</v>
      </c>
      <c r="W96" s="133"/>
    </row>
    <row r="97" spans="1:23" ht="16.5" thickBot="1" x14ac:dyDescent="0.3">
      <c r="A97" s="265"/>
      <c r="B97" s="127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40"/>
      <c r="P97" s="97"/>
      <c r="V97" s="192"/>
    </row>
    <row r="98" spans="1:23" x14ac:dyDescent="0.25">
      <c r="A98" s="265"/>
      <c r="B98" s="127" t="s">
        <v>16</v>
      </c>
      <c r="C98" s="131"/>
      <c r="D98" s="131">
        <f>D15+D31+D47+D64+D81</f>
        <v>250</v>
      </c>
      <c r="E98" s="131"/>
      <c r="F98" s="131"/>
      <c r="G98" s="131"/>
      <c r="H98" s="131"/>
      <c r="I98" s="131"/>
      <c r="J98" s="131"/>
      <c r="K98" s="131"/>
      <c r="L98" s="120"/>
      <c r="M98" s="151"/>
      <c r="N98" s="151"/>
      <c r="O98" s="152"/>
      <c r="P98" s="196">
        <f>S98*P96</f>
        <v>72876.055474589928</v>
      </c>
      <c r="Q98" s="153" t="s">
        <v>19</v>
      </c>
      <c r="S98" s="109">
        <v>1.0603380193525358</v>
      </c>
      <c r="T98" s="144"/>
      <c r="V98" s="197">
        <v>42041.106436811773</v>
      </c>
      <c r="W98" s="133"/>
    </row>
    <row r="99" spans="1:23" x14ac:dyDescent="0.25">
      <c r="A99" s="265"/>
      <c r="B99" s="127"/>
      <c r="C99" s="131"/>
      <c r="D99" s="131"/>
      <c r="E99" s="131"/>
      <c r="F99" s="131"/>
      <c r="G99" s="131"/>
      <c r="H99" s="131"/>
      <c r="I99" s="131"/>
      <c r="J99" s="131"/>
      <c r="K99" s="131"/>
      <c r="L99" s="127"/>
      <c r="M99" s="128"/>
      <c r="N99" s="128"/>
      <c r="O99" s="155"/>
      <c r="P99" s="196">
        <f>P96*S99</f>
        <v>38416.836424030931</v>
      </c>
      <c r="Q99" s="153" t="s">
        <v>20</v>
      </c>
      <c r="S99" s="109">
        <v>0.55896044288306113</v>
      </c>
      <c r="T99" s="144"/>
      <c r="V99" s="197">
        <v>22162.098353846999</v>
      </c>
      <c r="W99" s="133"/>
    </row>
    <row r="100" spans="1:23" ht="16.5" thickBot="1" x14ac:dyDescent="0.3">
      <c r="A100" s="265"/>
      <c r="B100" s="127" t="s">
        <v>14</v>
      </c>
      <c r="C100" s="131"/>
      <c r="D100" s="131">
        <f>D17+D33+D49+D66+D83</f>
        <v>20</v>
      </c>
      <c r="E100" s="131"/>
      <c r="F100" s="131"/>
      <c r="G100" s="131"/>
      <c r="H100" s="131"/>
      <c r="I100" s="131"/>
      <c r="J100" s="131"/>
      <c r="K100" s="131"/>
      <c r="L100" s="156"/>
      <c r="M100" s="128"/>
      <c r="N100" s="128"/>
      <c r="O100" s="155"/>
      <c r="P100" s="196">
        <f>S100*P96</f>
        <v>72876.055474589928</v>
      </c>
      <c r="Q100" s="153" t="s">
        <v>21</v>
      </c>
      <c r="S100" s="109">
        <v>1.0603380193525358</v>
      </c>
      <c r="T100" s="144"/>
      <c r="V100" s="197">
        <v>42041.106436811773</v>
      </c>
      <c r="W100" s="133"/>
    </row>
    <row r="101" spans="1:23" x14ac:dyDescent="0.25">
      <c r="A101" s="265"/>
      <c r="B101" s="127"/>
      <c r="C101" s="131"/>
      <c r="D101" s="131"/>
      <c r="E101" s="131"/>
      <c r="F101" s="131"/>
      <c r="G101" s="131"/>
      <c r="H101" s="131"/>
      <c r="I101" s="131"/>
      <c r="J101" s="131"/>
      <c r="K101" s="131"/>
      <c r="L101" s="127"/>
      <c r="M101" s="128"/>
      <c r="N101" s="128"/>
      <c r="O101" s="155"/>
      <c r="Q101" s="256" t="s">
        <v>28</v>
      </c>
      <c r="R101" s="198" t="s">
        <v>29</v>
      </c>
      <c r="V101" s="192"/>
    </row>
    <row r="102" spans="1:23" ht="16.5" thickBot="1" x14ac:dyDescent="0.3">
      <c r="A102" s="265"/>
      <c r="B102" s="127" t="s">
        <v>17</v>
      </c>
      <c r="C102" s="131"/>
      <c r="D102" s="131">
        <f>D98-D100</f>
        <v>230</v>
      </c>
      <c r="E102" s="131">
        <f>E98-E100</f>
        <v>0</v>
      </c>
      <c r="F102" s="131"/>
      <c r="G102" s="206">
        <f>G19+G35+G51+G68+G85</f>
        <v>132</v>
      </c>
      <c r="H102" s="131"/>
      <c r="I102" s="131"/>
      <c r="J102" s="206">
        <f>J19+J35+J51+J68+J85</f>
        <v>98</v>
      </c>
      <c r="K102" s="131"/>
      <c r="L102" s="127"/>
      <c r="M102" s="102"/>
      <c r="N102" s="102"/>
      <c r="O102" s="103"/>
      <c r="Q102" s="256"/>
      <c r="R102" s="199">
        <f>P99/V99*V102</f>
        <v>575.50460651954927</v>
      </c>
      <c r="V102" s="200">
        <v>332</v>
      </c>
      <c r="W102" s="133"/>
    </row>
    <row r="103" spans="1:23" ht="16.5" thickBot="1" x14ac:dyDescent="0.3">
      <c r="A103" s="265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201"/>
      <c r="N103" s="201"/>
      <c r="O103" s="201"/>
    </row>
    <row r="104" spans="1:23" x14ac:dyDescent="0.25">
      <c r="M104" s="171"/>
      <c r="N104" s="171"/>
      <c r="O104" s="171"/>
      <c r="P104" s="279" t="s">
        <v>51</v>
      </c>
      <c r="Q104" s="280"/>
      <c r="R104" s="280"/>
      <c r="S104" s="280"/>
      <c r="T104" s="281"/>
    </row>
    <row r="105" spans="1:23" ht="16.5" thickBot="1" x14ac:dyDescent="0.3">
      <c r="C105" s="266" t="s">
        <v>30</v>
      </c>
      <c r="D105" s="171">
        <v>1731885</v>
      </c>
      <c r="F105" s="269" t="s">
        <v>89</v>
      </c>
      <c r="G105" s="171">
        <v>3221732</v>
      </c>
      <c r="H105" s="171"/>
      <c r="I105" s="171"/>
      <c r="J105" s="171">
        <v>3106734</v>
      </c>
      <c r="N105" s="144"/>
      <c r="P105" s="89"/>
      <c r="Q105" s="90" t="s">
        <v>43</v>
      </c>
      <c r="R105" s="91" t="s">
        <v>49</v>
      </c>
      <c r="S105" s="90" t="s">
        <v>39</v>
      </c>
      <c r="T105" s="92" t="s">
        <v>38</v>
      </c>
    </row>
    <row r="106" spans="1:23" x14ac:dyDescent="0.25">
      <c r="C106" s="266"/>
      <c r="D106" s="171">
        <v>12933047</v>
      </c>
      <c r="F106" s="269"/>
      <c r="G106" s="171">
        <v>190189506</v>
      </c>
      <c r="H106" s="171"/>
      <c r="I106" s="171"/>
      <c r="J106" s="171">
        <v>125552395</v>
      </c>
      <c r="M106" s="171"/>
      <c r="N106" s="171"/>
      <c r="O106" s="171"/>
      <c r="P106" s="93" t="s">
        <v>45</v>
      </c>
      <c r="Q106" s="94">
        <f>D231</f>
        <v>121</v>
      </c>
      <c r="R106" s="95">
        <f>S106+T106</f>
        <v>230</v>
      </c>
      <c r="S106" s="95">
        <f>G102</f>
        <v>132</v>
      </c>
      <c r="T106" s="96">
        <f>J102</f>
        <v>98</v>
      </c>
    </row>
    <row r="107" spans="1:23" x14ac:dyDescent="0.25">
      <c r="C107" s="266"/>
      <c r="D107" s="202">
        <f>D105/D106</f>
        <v>0.13391159871297151</v>
      </c>
      <c r="F107" s="269"/>
      <c r="G107" s="202">
        <f>G105/G106</f>
        <v>1.6939588664792053E-2</v>
      </c>
      <c r="J107" s="202">
        <f>J105/J106</f>
        <v>2.4744521998166583E-2</v>
      </c>
      <c r="P107" s="97"/>
      <c r="Q107" s="98"/>
      <c r="R107" s="98"/>
      <c r="S107" s="98"/>
      <c r="T107" s="99"/>
    </row>
    <row r="108" spans="1:23" x14ac:dyDescent="0.25">
      <c r="C108" s="266"/>
      <c r="D108" s="171"/>
      <c r="F108" s="269"/>
      <c r="P108" s="97" t="s">
        <v>46</v>
      </c>
      <c r="Q108" s="100">
        <f>X90</f>
        <v>22726207</v>
      </c>
      <c r="R108" s="100">
        <f>S108+T108</f>
        <v>212517867.449</v>
      </c>
      <c r="S108" s="100">
        <f>X92</f>
        <v>73019668.200000003</v>
      </c>
      <c r="T108" s="101">
        <f>X94</f>
        <v>139498199.24900001</v>
      </c>
    </row>
    <row r="109" spans="1:23" x14ac:dyDescent="0.25">
      <c r="C109" s="266"/>
      <c r="D109" s="171">
        <f>D107*Q110</f>
        <v>255979.51042808488</v>
      </c>
      <c r="F109" s="269"/>
      <c r="G109" s="171">
        <f>G107*G92</f>
        <v>346604.76418584737</v>
      </c>
      <c r="J109" s="171">
        <f>J107*J92</f>
        <v>498812.65922099206</v>
      </c>
      <c r="P109" s="97"/>
      <c r="Q109" s="98"/>
      <c r="R109" s="98"/>
      <c r="S109" s="98"/>
      <c r="T109" s="99"/>
    </row>
    <row r="110" spans="1:23" x14ac:dyDescent="0.25">
      <c r="P110" s="97"/>
      <c r="Q110" s="100">
        <f>W90</f>
        <v>1911555.9286000005</v>
      </c>
      <c r="R110" s="102">
        <f>S110+T110</f>
        <v>19776560.561636031</v>
      </c>
      <c r="S110" s="102">
        <f>W92</f>
        <v>7430805.642434001</v>
      </c>
      <c r="T110" s="103">
        <f>W94</f>
        <v>12345754.919202032</v>
      </c>
    </row>
    <row r="111" spans="1:23" x14ac:dyDescent="0.25">
      <c r="D111" s="144">
        <f>Q108</f>
        <v>22726207</v>
      </c>
      <c r="G111" s="144">
        <f>Z92</f>
        <v>260182.84999999998</v>
      </c>
      <c r="J111" s="144">
        <f>Z94</f>
        <v>442735.35146999994</v>
      </c>
      <c r="P111" s="97" t="s">
        <v>101</v>
      </c>
      <c r="Q111" s="98"/>
      <c r="R111" s="98"/>
      <c r="S111" s="102">
        <f>H132*(AC92+AD92)</f>
        <v>671271.69924054178</v>
      </c>
      <c r="T111" s="103">
        <f>J132*(Z94+AA94+AB94)</f>
        <v>947765.1549986063</v>
      </c>
    </row>
    <row r="112" spans="1:23" x14ac:dyDescent="0.25">
      <c r="D112" s="109">
        <v>1.023E-2</v>
      </c>
      <c r="F112" s="265" t="s">
        <v>35</v>
      </c>
      <c r="G112" s="139">
        <v>2.58</v>
      </c>
      <c r="H112" s="139"/>
      <c r="I112" s="139"/>
      <c r="J112" s="139">
        <v>0.71</v>
      </c>
      <c r="P112" s="97" t="s">
        <v>47</v>
      </c>
      <c r="Q112" s="98"/>
      <c r="R112" s="102">
        <f>S112+T112</f>
        <v>18157523.707396884</v>
      </c>
      <c r="S112" s="102">
        <f>S110-S111</f>
        <v>6759533.943193459</v>
      </c>
      <c r="T112" s="102">
        <f>T110-T111</f>
        <v>11397989.764203425</v>
      </c>
    </row>
    <row r="113" spans="4:53" x14ac:dyDescent="0.25">
      <c r="D113" s="171">
        <f>D111*D112</f>
        <v>232489.09761</v>
      </c>
      <c r="F113" s="265"/>
      <c r="G113" s="171">
        <f>G111*G112</f>
        <v>671271.75299999991</v>
      </c>
      <c r="J113" s="171">
        <f>J111*J112</f>
        <v>314342.09954369994</v>
      </c>
      <c r="M113" s="82">
        <v>42839</v>
      </c>
      <c r="P113" s="97"/>
      <c r="Q113" s="98"/>
      <c r="R113" s="98"/>
      <c r="S113" s="98"/>
      <c r="T113" s="99"/>
    </row>
    <row r="114" spans="4:53" x14ac:dyDescent="0.25">
      <c r="G114" s="171"/>
      <c r="P114" s="97" t="s">
        <v>48</v>
      </c>
      <c r="Q114" s="98"/>
      <c r="R114" s="100">
        <f>S114+T114</f>
        <v>68729.704716060747</v>
      </c>
      <c r="S114" s="100">
        <f>T96</f>
        <v>25678.209156942503</v>
      </c>
      <c r="T114" s="101">
        <f>U96</f>
        <v>43051.495559118237</v>
      </c>
    </row>
    <row r="115" spans="4:53" x14ac:dyDescent="0.25">
      <c r="D115" s="171">
        <f>D109+D113</f>
        <v>488468.60803808487</v>
      </c>
      <c r="G115" s="171">
        <f>G109+G113</f>
        <v>1017876.5171858473</v>
      </c>
      <c r="J115" s="171">
        <f>J109+J113</f>
        <v>813154.758764692</v>
      </c>
      <c r="P115" s="97"/>
      <c r="Q115" s="98"/>
      <c r="R115" s="98"/>
      <c r="S115" s="98"/>
      <c r="T115" s="99"/>
    </row>
    <row r="116" spans="4:53" x14ac:dyDescent="0.25">
      <c r="P116" s="97" t="s">
        <v>18</v>
      </c>
      <c r="Q116" s="98"/>
      <c r="R116" s="100">
        <f>S116+T116</f>
        <v>74892.820000000007</v>
      </c>
      <c r="S116" s="100">
        <f>T92</f>
        <v>27980.82</v>
      </c>
      <c r="T116" s="101">
        <f>U92</f>
        <v>46912</v>
      </c>
      <c r="Z116" s="63" t="s">
        <v>82</v>
      </c>
      <c r="AA116" s="32" t="s">
        <v>67</v>
      </c>
      <c r="AB116" s="32" t="s">
        <v>13</v>
      </c>
      <c r="AC116" s="32" t="s">
        <v>54</v>
      </c>
      <c r="AD116" s="32" t="s">
        <v>56</v>
      </c>
      <c r="AF116" s="49" t="s">
        <v>71</v>
      </c>
      <c r="AG116" s="49" t="s">
        <v>71</v>
      </c>
      <c r="AI116" s="64" t="s">
        <v>72</v>
      </c>
      <c r="AK116" s="62" t="s">
        <v>73</v>
      </c>
    </row>
    <row r="117" spans="4:53" x14ac:dyDescent="0.25">
      <c r="P117" s="97"/>
      <c r="Q117" s="98"/>
      <c r="R117" s="98"/>
      <c r="S117" s="98"/>
      <c r="T117" s="99"/>
      <c r="Z117" s="63" t="s">
        <v>81</v>
      </c>
      <c r="AA117" s="32" t="s">
        <v>68</v>
      </c>
      <c r="AB117" s="32" t="s">
        <v>53</v>
      </c>
      <c r="AC117" s="32" t="s">
        <v>55</v>
      </c>
      <c r="AD117" s="32" t="s">
        <v>47</v>
      </c>
      <c r="AF117" s="49" t="s">
        <v>55</v>
      </c>
      <c r="AG117" s="49" t="s">
        <v>47</v>
      </c>
      <c r="AI117" s="64"/>
      <c r="AK117" s="62" t="s">
        <v>72</v>
      </c>
    </row>
    <row r="118" spans="4:53" ht="16.5" thickBot="1" x14ac:dyDescent="0.3">
      <c r="P118" s="97" t="s">
        <v>28</v>
      </c>
      <c r="Q118" s="98"/>
      <c r="R118" s="104">
        <f>R102</f>
        <v>575.50460651954927</v>
      </c>
      <c r="S118" s="104">
        <f>S114/$R$114*$R$118</f>
        <v>215.0151483706226</v>
      </c>
      <c r="T118" s="105">
        <f>T114/$R$114*$R$118</f>
        <v>360.48945814892659</v>
      </c>
      <c r="Y118" s="203"/>
    </row>
    <row r="119" spans="4:53" ht="15" customHeight="1" x14ac:dyDescent="0.25">
      <c r="P119" s="97"/>
      <c r="Q119" s="98"/>
      <c r="R119" s="98"/>
      <c r="S119" s="98"/>
      <c r="T119" s="99"/>
      <c r="Y119" s="93" t="s">
        <v>78</v>
      </c>
      <c r="Z119" s="26"/>
      <c r="AA119" s="26"/>
      <c r="AB119" s="26"/>
      <c r="AC119" s="26"/>
      <c r="AD119" s="27"/>
      <c r="AF119" s="12"/>
      <c r="AG119" s="27"/>
      <c r="AI119" s="77"/>
      <c r="AK119" s="77"/>
    </row>
    <row r="120" spans="4:53" ht="16.5" thickBot="1" x14ac:dyDescent="0.3">
      <c r="P120" s="89" t="s">
        <v>90</v>
      </c>
      <c r="Q120" s="106"/>
      <c r="R120" s="107">
        <f>S120+T120</f>
        <v>1831031.2759505394</v>
      </c>
      <c r="S120" s="107">
        <f>G115</f>
        <v>1017876.5171858473</v>
      </c>
      <c r="T120" s="108">
        <f>J115</f>
        <v>813154.758764692</v>
      </c>
      <c r="Y120" s="97"/>
      <c r="Z120" s="8"/>
      <c r="AA120" s="8"/>
      <c r="AB120" s="8"/>
      <c r="AC120" s="8"/>
      <c r="AD120" s="23"/>
      <c r="AF120" s="9"/>
      <c r="AG120" s="23"/>
      <c r="AI120" s="20"/>
      <c r="AK120" s="20"/>
    </row>
    <row r="121" spans="4:53" ht="16.5" thickBot="1" x14ac:dyDescent="0.3">
      <c r="Y121" s="97" t="s">
        <v>58</v>
      </c>
      <c r="Z121" s="8"/>
      <c r="AA121" s="8"/>
      <c r="AB121" s="8"/>
      <c r="AC121" s="33">
        <v>40</v>
      </c>
      <c r="AD121" s="28">
        <f>$Z$121*AC121</f>
        <v>0</v>
      </c>
      <c r="AF121" s="76">
        <v>85</v>
      </c>
      <c r="AG121" s="28">
        <f>$Z$121*AF121</f>
        <v>0</v>
      </c>
      <c r="AI121" s="57">
        <f>AG121-AD121</f>
        <v>0</v>
      </c>
      <c r="AK121" s="60" t="e">
        <f t="shared" ref="AK121:AK125" si="39">AI121/AD121</f>
        <v>#DIV/0!</v>
      </c>
    </row>
    <row r="122" spans="4:53" x14ac:dyDescent="0.25">
      <c r="G122" s="93"/>
      <c r="H122" s="251" t="s">
        <v>105</v>
      </c>
      <c r="I122" s="94"/>
      <c r="J122" s="119" t="s">
        <v>38</v>
      </c>
      <c r="Y122" s="97"/>
      <c r="Z122" s="8"/>
      <c r="AA122" s="8"/>
      <c r="AB122" s="8"/>
      <c r="AC122" s="33"/>
      <c r="AD122" s="28"/>
      <c r="AF122" s="9"/>
      <c r="AG122" s="28"/>
      <c r="AI122" s="57"/>
      <c r="AK122" s="60"/>
    </row>
    <row r="123" spans="4:53" x14ac:dyDescent="0.25">
      <c r="G123" s="97" t="s">
        <v>103</v>
      </c>
      <c r="H123" s="98"/>
      <c r="I123" s="98"/>
      <c r="J123" s="99"/>
      <c r="Y123" s="97" t="s">
        <v>46</v>
      </c>
      <c r="Z123" s="8"/>
      <c r="AA123" s="8"/>
      <c r="AB123" s="22"/>
      <c r="AC123" s="34">
        <v>8.3690000000000001E-2</v>
      </c>
      <c r="AD123" s="28">
        <f>$AB$123*AC123</f>
        <v>0</v>
      </c>
      <c r="AF123" s="51">
        <v>8.5190000000000002E-2</v>
      </c>
      <c r="AG123" s="28">
        <f>$AB$123*AF123</f>
        <v>0</v>
      </c>
      <c r="AI123" s="57">
        <f t="shared" ref="AI123:AI157" si="40">AG123-AD123</f>
        <v>0</v>
      </c>
      <c r="AK123" s="60" t="e">
        <f t="shared" si="39"/>
        <v>#DIV/0!</v>
      </c>
    </row>
    <row r="124" spans="4:53" x14ac:dyDescent="0.25">
      <c r="G124" s="97" t="s">
        <v>36</v>
      </c>
      <c r="H124" s="207">
        <v>2517807</v>
      </c>
      <c r="I124" s="98" t="s">
        <v>35</v>
      </c>
      <c r="J124" s="252">
        <v>4420881</v>
      </c>
      <c r="Y124" s="97"/>
      <c r="Z124" s="8"/>
      <c r="AA124" s="8"/>
      <c r="AB124" s="8"/>
      <c r="AC124" s="8"/>
      <c r="AD124" s="23"/>
      <c r="AF124" s="9"/>
      <c r="AG124" s="23"/>
      <c r="AI124" s="57"/>
      <c r="AK124" s="60"/>
    </row>
    <row r="125" spans="4:53" ht="16.5" thickBot="1" x14ac:dyDescent="0.3">
      <c r="G125" s="97" t="s">
        <v>37</v>
      </c>
      <c r="H125" s="241">
        <v>3580290</v>
      </c>
      <c r="I125" s="98" t="s">
        <v>106</v>
      </c>
      <c r="J125" s="252"/>
      <c r="W125" s="171"/>
      <c r="X125" s="171"/>
      <c r="Y125" s="89" t="s">
        <v>65</v>
      </c>
      <c r="Z125" s="29"/>
      <c r="AA125" s="29"/>
      <c r="AB125" s="29"/>
      <c r="AC125" s="29"/>
      <c r="AD125" s="5">
        <f>SUM(AD121:AD124)</f>
        <v>0</v>
      </c>
      <c r="AF125" s="13"/>
      <c r="AG125" s="5">
        <f>SUM(AG121:AG124)</f>
        <v>0</v>
      </c>
      <c r="AH125" s="1"/>
      <c r="AI125" s="58">
        <f t="shared" si="40"/>
        <v>0</v>
      </c>
      <c r="AK125" s="61" t="e">
        <f t="shared" si="39"/>
        <v>#DIV/0!</v>
      </c>
    </row>
    <row r="126" spans="4:53" ht="16.5" thickBot="1" x14ac:dyDescent="0.3">
      <c r="G126" s="97"/>
      <c r="H126" s="207">
        <f>SUM(H124:H125)</f>
        <v>6098097</v>
      </c>
      <c r="I126" s="98" t="s">
        <v>34</v>
      </c>
      <c r="J126" s="252">
        <v>4012717</v>
      </c>
      <c r="AI126" s="1"/>
      <c r="AO126" s="25"/>
      <c r="AP126" s="8"/>
      <c r="AQ126" s="8"/>
      <c r="AR126" s="8"/>
      <c r="AS126" s="8"/>
      <c r="AT126" s="8"/>
      <c r="AU126" s="8"/>
      <c r="AV126" s="8"/>
      <c r="AW126" s="8"/>
      <c r="AX126" s="8"/>
      <c r="AY126" s="6"/>
      <c r="AZ126" s="8"/>
      <c r="BA126" s="78"/>
    </row>
    <row r="127" spans="4:53" x14ac:dyDescent="0.25">
      <c r="G127" s="97"/>
      <c r="H127" s="98"/>
      <c r="I127" s="98" t="s">
        <v>33</v>
      </c>
      <c r="J127" s="253">
        <v>3908916</v>
      </c>
      <c r="Y127" s="204" t="s">
        <v>57</v>
      </c>
      <c r="Z127" s="26"/>
      <c r="AA127" s="26"/>
      <c r="AB127" s="26"/>
      <c r="AC127" s="26"/>
      <c r="AD127" s="27"/>
      <c r="AF127" s="12"/>
      <c r="AG127" s="53"/>
      <c r="AI127" s="56"/>
      <c r="AK127" s="59"/>
      <c r="AO127" s="9"/>
      <c r="AP127" s="8"/>
      <c r="AQ127" s="8"/>
      <c r="AR127" s="8"/>
      <c r="AS127" s="8"/>
      <c r="AT127" s="8"/>
      <c r="AU127" s="8"/>
      <c r="AV127" s="8"/>
      <c r="AW127" s="8"/>
      <c r="AX127" s="8"/>
      <c r="AY127" s="6"/>
      <c r="AZ127" s="8"/>
      <c r="BA127" s="78"/>
    </row>
    <row r="128" spans="4:53" x14ac:dyDescent="0.25">
      <c r="G128" s="97"/>
      <c r="H128" s="98"/>
      <c r="I128" s="98"/>
      <c r="J128" s="252">
        <f>SUM(J124:J127)</f>
        <v>12342514</v>
      </c>
      <c r="Y128" s="97"/>
      <c r="Z128" s="8"/>
      <c r="AA128" s="8"/>
      <c r="AB128" s="8"/>
      <c r="AC128" s="8"/>
      <c r="AD128" s="23"/>
      <c r="AF128" s="9"/>
      <c r="AG128" s="28"/>
      <c r="AI128" s="57"/>
      <c r="AK128" s="60"/>
      <c r="AO128" s="9"/>
      <c r="AP128" s="22"/>
      <c r="AQ128" s="8"/>
      <c r="AR128" s="8"/>
      <c r="AS128" s="33"/>
      <c r="AT128" s="250"/>
      <c r="AU128" s="8"/>
      <c r="AV128" s="30"/>
      <c r="AW128" s="250"/>
      <c r="AX128" s="8"/>
      <c r="AY128" s="6"/>
      <c r="AZ128" s="8"/>
      <c r="BA128" s="78"/>
    </row>
    <row r="129" spans="7:53" x14ac:dyDescent="0.25">
      <c r="G129" s="97"/>
      <c r="H129" s="98"/>
      <c r="I129" s="98"/>
      <c r="J129" s="99"/>
      <c r="Y129" s="97" t="s">
        <v>58</v>
      </c>
      <c r="Z129" s="22">
        <f>12*G102</f>
        <v>1584</v>
      </c>
      <c r="AA129" s="8"/>
      <c r="AB129" s="8"/>
      <c r="AC129" s="30">
        <v>90</v>
      </c>
      <c r="AD129" s="28">
        <f>$Z$129*AC129</f>
        <v>142560</v>
      </c>
      <c r="AF129" s="50">
        <v>90</v>
      </c>
      <c r="AG129" s="28">
        <f>$Z$129*AF129</f>
        <v>142560</v>
      </c>
      <c r="AI129" s="57">
        <f t="shared" si="40"/>
        <v>0</v>
      </c>
      <c r="AK129" s="60">
        <f t="shared" ref="AK129:AK137" si="41">AI129/AD129</f>
        <v>0</v>
      </c>
      <c r="AO129" s="9"/>
      <c r="AP129" s="8"/>
      <c r="AQ129" s="8"/>
      <c r="AR129" s="8"/>
      <c r="AS129" s="33"/>
      <c r="AT129" s="250"/>
      <c r="AU129" s="8"/>
      <c r="AV129" s="8"/>
      <c r="AW129" s="250"/>
      <c r="AX129" s="8"/>
      <c r="AY129" s="6"/>
      <c r="AZ129" s="8"/>
      <c r="BA129" s="78"/>
    </row>
    <row r="130" spans="7:53" x14ac:dyDescent="0.25">
      <c r="G130" s="97" t="s">
        <v>102</v>
      </c>
      <c r="H130" s="102">
        <v>15733089</v>
      </c>
      <c r="I130" s="98"/>
      <c r="J130" s="103">
        <v>8764109</v>
      </c>
      <c r="Y130" s="97"/>
      <c r="Z130" s="8"/>
      <c r="AA130" s="8"/>
      <c r="AB130" s="8"/>
      <c r="AC130" s="30"/>
      <c r="AD130" s="28"/>
      <c r="AF130" s="9"/>
      <c r="AG130" s="28"/>
      <c r="AI130" s="57"/>
      <c r="AK130" s="60"/>
      <c r="AO130" s="9"/>
      <c r="AP130" s="8"/>
      <c r="AQ130" s="8"/>
      <c r="AR130" s="22"/>
      <c r="AS130" s="34"/>
      <c r="AT130" s="250"/>
      <c r="AU130" s="8"/>
      <c r="AV130" s="34"/>
      <c r="AW130" s="250"/>
      <c r="AX130" s="8"/>
      <c r="AY130" s="6"/>
      <c r="AZ130" s="8"/>
      <c r="BA130" s="78"/>
    </row>
    <row r="131" spans="7:53" x14ac:dyDescent="0.25">
      <c r="G131" s="97"/>
      <c r="H131" s="98"/>
      <c r="I131" s="98"/>
      <c r="J131" s="99"/>
      <c r="Y131" s="97" t="s">
        <v>46</v>
      </c>
      <c r="Z131" s="8"/>
      <c r="AA131" s="8"/>
      <c r="AB131" s="22">
        <f>S108</f>
        <v>73019668.200000003</v>
      </c>
      <c r="AC131" s="31">
        <v>3.5720000000000002E-2</v>
      </c>
      <c r="AD131" s="28">
        <f>$AB$131*AC131</f>
        <v>2608262.5481040003</v>
      </c>
      <c r="AF131" s="51">
        <v>3.5720000000000002E-2</v>
      </c>
      <c r="AG131" s="28">
        <f>$AB$131*AF131</f>
        <v>2608262.5481040003</v>
      </c>
      <c r="AI131" s="57">
        <f t="shared" si="40"/>
        <v>0</v>
      </c>
      <c r="AK131" s="60">
        <f t="shared" si="41"/>
        <v>0</v>
      </c>
      <c r="AO131" s="9"/>
      <c r="AP131" s="8"/>
      <c r="AQ131" s="8"/>
      <c r="AR131" s="8"/>
      <c r="AS131" s="33"/>
      <c r="AT131" s="8"/>
      <c r="AU131" s="8"/>
      <c r="AV131" s="8"/>
      <c r="AW131" s="8"/>
      <c r="AX131" s="8"/>
      <c r="AY131" s="6"/>
      <c r="AZ131" s="8"/>
      <c r="BA131" s="78"/>
    </row>
    <row r="132" spans="7:53" ht="16.5" thickBot="1" x14ac:dyDescent="0.3">
      <c r="G132" s="89" t="s">
        <v>104</v>
      </c>
      <c r="H132" s="106">
        <f>H130/H126</f>
        <v>2.5799997933781635</v>
      </c>
      <c r="I132" s="106"/>
      <c r="J132" s="254">
        <f>J130/J128</f>
        <v>0.71007486805362341</v>
      </c>
      <c r="Y132" s="97"/>
      <c r="Z132" s="8"/>
      <c r="AA132" s="8"/>
      <c r="AB132" s="8"/>
      <c r="AC132" s="8"/>
      <c r="AD132" s="23"/>
      <c r="AF132" s="9"/>
      <c r="AG132" s="23"/>
      <c r="AI132" s="57"/>
      <c r="AK132" s="60"/>
      <c r="AO132" s="9"/>
      <c r="AP132" s="8"/>
      <c r="AQ132" s="22"/>
      <c r="AR132" s="8"/>
      <c r="AS132" s="33"/>
      <c r="AT132" s="250"/>
      <c r="AU132" s="8"/>
      <c r="AV132" s="33"/>
      <c r="AW132" s="250"/>
      <c r="AX132" s="8"/>
      <c r="AY132" s="6"/>
      <c r="AZ132" s="8"/>
      <c r="BA132" s="78"/>
    </row>
    <row r="133" spans="7:53" x14ac:dyDescent="0.25">
      <c r="Y133" s="97" t="s">
        <v>59</v>
      </c>
      <c r="Z133" s="8"/>
      <c r="AA133" s="22">
        <f>AC92</f>
        <v>110826.86000000002</v>
      </c>
      <c r="AB133" s="8"/>
      <c r="AC133" s="30">
        <v>19.05</v>
      </c>
      <c r="AD133" s="28">
        <f>$AA$133*AC133</f>
        <v>2111251.6830000002</v>
      </c>
      <c r="AF133" s="50">
        <v>20.71</v>
      </c>
      <c r="AG133" s="28">
        <f>$AA$133*AF133</f>
        <v>2295224.2706000004</v>
      </c>
      <c r="AI133" s="57">
        <f t="shared" si="40"/>
        <v>183972.5876000002</v>
      </c>
      <c r="AK133" s="60">
        <f t="shared" si="41"/>
        <v>8.7139107611548638E-2</v>
      </c>
      <c r="AO133" s="9"/>
      <c r="AP133" s="8"/>
      <c r="AQ133" s="22"/>
      <c r="AR133" s="8"/>
      <c r="AS133" s="33"/>
      <c r="AT133" s="250"/>
      <c r="AU133" s="8"/>
      <c r="AV133" s="33"/>
      <c r="AW133" s="250"/>
      <c r="AX133" s="8"/>
      <c r="AY133" s="6"/>
      <c r="AZ133" s="8"/>
      <c r="BA133" s="78"/>
    </row>
    <row r="134" spans="7:53" x14ac:dyDescent="0.25">
      <c r="Y134" s="97" t="s">
        <v>63</v>
      </c>
      <c r="Z134" s="8"/>
      <c r="AA134" s="22">
        <f>AH92</f>
        <v>1226.71</v>
      </c>
      <c r="AB134" s="8"/>
      <c r="AC134" s="30">
        <v>19.05</v>
      </c>
      <c r="AD134" s="28">
        <f>$AA$134*AC134</f>
        <v>23368.825500000003</v>
      </c>
      <c r="AF134" s="50">
        <v>20.71</v>
      </c>
      <c r="AG134" s="28">
        <f>$AA$134*AF134</f>
        <v>25405.164100000002</v>
      </c>
      <c r="AI134" s="57">
        <f t="shared" si="40"/>
        <v>2036.3385999999991</v>
      </c>
      <c r="AK134" s="60">
        <f t="shared" si="41"/>
        <v>8.7139107611548514E-2</v>
      </c>
      <c r="AO134" s="9"/>
      <c r="AP134" s="8"/>
      <c r="AQ134" s="22"/>
      <c r="AR134" s="8"/>
      <c r="AS134" s="33"/>
      <c r="AT134" s="8"/>
      <c r="AU134" s="8"/>
      <c r="AV134" s="33"/>
      <c r="AW134" s="8"/>
      <c r="AX134" s="8"/>
      <c r="AY134" s="6"/>
      <c r="AZ134" s="8"/>
      <c r="BA134" s="78"/>
    </row>
    <row r="135" spans="7:53" x14ac:dyDescent="0.25">
      <c r="Y135" s="97"/>
      <c r="Z135" s="8"/>
      <c r="AA135" s="8"/>
      <c r="AB135" s="8"/>
      <c r="AC135" s="30"/>
      <c r="AD135" s="23"/>
      <c r="AF135" s="9"/>
      <c r="AG135" s="23"/>
      <c r="AI135" s="57"/>
      <c r="AK135" s="60"/>
      <c r="AO135" s="9"/>
      <c r="AP135" s="8"/>
      <c r="AQ135" s="8"/>
      <c r="AR135" s="8"/>
      <c r="AS135" s="33"/>
      <c r="AT135" s="8"/>
      <c r="AU135" s="8"/>
      <c r="AV135" s="33"/>
      <c r="AW135" s="8"/>
      <c r="AX135" s="8"/>
      <c r="AY135" s="6"/>
      <c r="AZ135" s="8"/>
      <c r="BA135" s="78"/>
    </row>
    <row r="136" spans="7:53" x14ac:dyDescent="0.25">
      <c r="Y136" s="97" t="s">
        <v>60</v>
      </c>
      <c r="Z136" s="8"/>
      <c r="AA136" s="22">
        <f>AD92</f>
        <v>149355.99000000002</v>
      </c>
      <c r="AB136" s="8"/>
      <c r="AC136" s="30">
        <v>16.95</v>
      </c>
      <c r="AD136" s="28">
        <f>$AA$136*AC136</f>
        <v>2531584.0305000003</v>
      </c>
      <c r="AF136" s="50">
        <v>18.43</v>
      </c>
      <c r="AG136" s="28">
        <f>$AA$136*AF136</f>
        <v>2752630.8957000002</v>
      </c>
      <c r="AI136" s="57">
        <f t="shared" si="40"/>
        <v>221046.86519999988</v>
      </c>
      <c r="AK136" s="60">
        <f t="shared" si="41"/>
        <v>8.7315634218289029E-2</v>
      </c>
      <c r="AO136" s="9"/>
      <c r="AP136" s="8"/>
      <c r="AQ136" s="22"/>
      <c r="AR136" s="8"/>
      <c r="AS136" s="33"/>
      <c r="AT136" s="250"/>
      <c r="AU136" s="8"/>
      <c r="AV136" s="33"/>
      <c r="AW136" s="250"/>
      <c r="AX136" s="8"/>
      <c r="AY136" s="6"/>
      <c r="AZ136" s="8"/>
      <c r="BA136" s="78"/>
    </row>
    <row r="137" spans="7:53" x14ac:dyDescent="0.25">
      <c r="Y137" s="97" t="s">
        <v>63</v>
      </c>
      <c r="Z137" s="8"/>
      <c r="AA137" s="22">
        <f>AI92</f>
        <v>823.50499999999988</v>
      </c>
      <c r="AB137" s="8"/>
      <c r="AC137" s="30">
        <v>16.95</v>
      </c>
      <c r="AD137" s="28">
        <f>$AA$137*AC137</f>
        <v>13958.409749999997</v>
      </c>
      <c r="AF137" s="50">
        <v>18.43</v>
      </c>
      <c r="AG137" s="28">
        <f>$AA$137*AF137</f>
        <v>15177.197149999998</v>
      </c>
      <c r="AI137" s="57">
        <f t="shared" si="40"/>
        <v>1218.7874000000011</v>
      </c>
      <c r="AK137" s="60">
        <f t="shared" si="41"/>
        <v>8.7315634218289181E-2</v>
      </c>
      <c r="AO137" s="9"/>
      <c r="AP137" s="8"/>
      <c r="AQ137" s="22"/>
      <c r="AR137" s="8"/>
      <c r="AS137" s="33"/>
      <c r="AT137" s="250"/>
      <c r="AU137" s="8"/>
      <c r="AV137" s="33"/>
      <c r="AW137" s="250"/>
      <c r="AX137" s="8"/>
      <c r="AY137" s="6"/>
      <c r="AZ137" s="8"/>
      <c r="BA137" s="78"/>
    </row>
    <row r="138" spans="7:53" x14ac:dyDescent="0.25">
      <c r="Y138" s="97"/>
      <c r="Z138" s="8"/>
      <c r="AA138" s="8"/>
      <c r="AB138" s="8"/>
      <c r="AC138" s="8"/>
      <c r="AD138" s="23"/>
      <c r="AF138" s="9"/>
      <c r="AG138" s="23"/>
      <c r="AI138" s="57"/>
      <c r="AK138" s="20"/>
      <c r="AO138" s="9"/>
      <c r="AP138" s="8"/>
      <c r="AQ138" s="8"/>
      <c r="AR138" s="8"/>
      <c r="AS138" s="33"/>
      <c r="AT138" s="8"/>
      <c r="AU138" s="8"/>
      <c r="AV138" s="33"/>
      <c r="AW138" s="8"/>
      <c r="AX138" s="8"/>
      <c r="AY138" s="6"/>
      <c r="AZ138" s="8"/>
      <c r="BA138" s="78"/>
    </row>
    <row r="139" spans="7:53" ht="16.5" thickBot="1" x14ac:dyDescent="0.3">
      <c r="W139" s="171">
        <f>X139-AD139</f>
        <v>-179.85441999975592</v>
      </c>
      <c r="X139" s="133">
        <f>W92</f>
        <v>7430805.642434001</v>
      </c>
      <c r="Y139" s="89" t="s">
        <v>64</v>
      </c>
      <c r="Z139" s="29"/>
      <c r="AA139" s="29"/>
      <c r="AB139" s="29"/>
      <c r="AC139" s="29"/>
      <c r="AD139" s="5">
        <f>SUM(AD129:AD138)</f>
        <v>7430985.4968540007</v>
      </c>
      <c r="AF139" s="52"/>
      <c r="AG139" s="5">
        <f>SUM(AG129:AG138)</f>
        <v>7839260.075654001</v>
      </c>
      <c r="AH139" s="1"/>
      <c r="AI139" s="58">
        <f t="shared" si="40"/>
        <v>408274.57880000025</v>
      </c>
      <c r="AK139" s="61">
        <f>AI139/AD139</f>
        <v>5.4942184851908042E-2</v>
      </c>
      <c r="AO139" s="9"/>
      <c r="AP139" s="8"/>
      <c r="AQ139" s="22"/>
      <c r="AR139" s="8"/>
      <c r="AS139" s="33"/>
      <c r="AT139" s="250"/>
      <c r="AU139" s="8"/>
      <c r="AV139" s="33"/>
      <c r="AW139" s="250"/>
      <c r="AX139" s="8"/>
      <c r="AY139" s="6"/>
      <c r="AZ139" s="8"/>
      <c r="BA139" s="78"/>
    </row>
    <row r="140" spans="7:53" ht="16.5" thickBot="1" x14ac:dyDescent="0.3">
      <c r="AI140" s="1"/>
      <c r="AO140" s="9"/>
      <c r="AP140" s="8"/>
      <c r="AQ140" s="22"/>
      <c r="AR140" s="8"/>
      <c r="AS140" s="33"/>
      <c r="AT140" s="250"/>
      <c r="AU140" s="8"/>
      <c r="AV140" s="33"/>
      <c r="AW140" s="250"/>
      <c r="AX140" s="8"/>
      <c r="AY140" s="6"/>
      <c r="AZ140" s="8"/>
      <c r="BA140" s="78"/>
    </row>
    <row r="141" spans="7:53" x14ac:dyDescent="0.25">
      <c r="Y141" s="204" t="s">
        <v>38</v>
      </c>
      <c r="Z141" s="26"/>
      <c r="AA141" s="26"/>
      <c r="AB141" s="26"/>
      <c r="AC141" s="26"/>
      <c r="AD141" s="27"/>
      <c r="AF141" s="12"/>
      <c r="AG141" s="27"/>
      <c r="AI141" s="56"/>
      <c r="AK141" s="59"/>
      <c r="AO141" s="9"/>
      <c r="AP141" s="8"/>
      <c r="AQ141" s="8"/>
      <c r="AR141" s="8"/>
      <c r="AS141" s="33"/>
      <c r="AT141" s="8"/>
      <c r="AU141" s="8"/>
      <c r="AV141" s="8"/>
      <c r="AW141" s="8"/>
      <c r="AX141" s="8"/>
      <c r="AY141" s="6"/>
      <c r="AZ141" s="8"/>
      <c r="BA141" s="78"/>
    </row>
    <row r="142" spans="7:53" ht="16.5" thickBot="1" x14ac:dyDescent="0.3">
      <c r="Y142" s="97"/>
      <c r="Z142" s="8"/>
      <c r="AA142" s="8"/>
      <c r="AB142" s="8"/>
      <c r="AC142" s="8"/>
      <c r="AD142" s="23"/>
      <c r="AF142" s="9"/>
      <c r="AG142" s="23"/>
      <c r="AI142" s="57"/>
      <c r="AK142" s="60"/>
      <c r="AO142" s="13"/>
      <c r="AP142" s="8"/>
      <c r="AQ142" s="8"/>
      <c r="AR142" s="8"/>
      <c r="AS142" s="8"/>
      <c r="AT142" s="6"/>
      <c r="AU142" s="8"/>
      <c r="AV142" s="6"/>
      <c r="AW142" s="6"/>
      <c r="AX142" s="6"/>
      <c r="AY142" s="6"/>
      <c r="AZ142" s="8"/>
      <c r="BA142" s="78"/>
    </row>
    <row r="143" spans="7:53" x14ac:dyDescent="0.25">
      <c r="Y143" s="97" t="s">
        <v>58</v>
      </c>
      <c r="Z143" s="22">
        <f>12*J102</f>
        <v>1176</v>
      </c>
      <c r="AA143" s="8"/>
      <c r="AB143" s="8"/>
      <c r="AC143" s="33">
        <v>200</v>
      </c>
      <c r="AD143" s="28">
        <f>$Z$143*AC143</f>
        <v>235200</v>
      </c>
      <c r="AF143" s="50">
        <v>200</v>
      </c>
      <c r="AG143" s="28">
        <f>$Z$143*AF143</f>
        <v>235200</v>
      </c>
      <c r="AI143" s="57">
        <f t="shared" si="40"/>
        <v>0</v>
      </c>
      <c r="AK143" s="60">
        <f t="shared" ref="AK143:AK157" si="42">AI143/AD143</f>
        <v>0</v>
      </c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</row>
    <row r="144" spans="7:53" ht="16.5" thickBot="1" x14ac:dyDescent="0.3">
      <c r="Y144" s="97"/>
      <c r="Z144" s="8"/>
      <c r="AA144" s="8"/>
      <c r="AB144" s="8"/>
      <c r="AC144" s="33"/>
      <c r="AD144" s="28"/>
      <c r="AF144" s="9"/>
      <c r="AG144" s="28"/>
      <c r="AI144" s="57"/>
      <c r="AK144" s="60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</row>
    <row r="145" spans="23:53" x14ac:dyDescent="0.25">
      <c r="Y145" s="97" t="s">
        <v>46</v>
      </c>
      <c r="Z145" s="8"/>
      <c r="AA145" s="8"/>
      <c r="AB145" s="22">
        <f>X94</f>
        <v>139498199.24900001</v>
      </c>
      <c r="AC145" s="34">
        <v>3.5270000000000003E-2</v>
      </c>
      <c r="AD145" s="28">
        <f>$AB$145*AC145</f>
        <v>4920101.4875122309</v>
      </c>
      <c r="AF145" s="51">
        <v>3.5310000000000001E-2</v>
      </c>
      <c r="AG145" s="28">
        <f>$AB$145*AF145</f>
        <v>4925681.4154821904</v>
      </c>
      <c r="AI145" s="57">
        <f t="shared" si="40"/>
        <v>5579.9279699595645</v>
      </c>
      <c r="AK145" s="60">
        <f t="shared" si="42"/>
        <v>1.1341083073432626E-3</v>
      </c>
      <c r="AO145" s="75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</row>
    <row r="146" spans="23:53" x14ac:dyDescent="0.25">
      <c r="Y146" s="97"/>
      <c r="Z146" s="8"/>
      <c r="AA146" s="8"/>
      <c r="AB146" s="8"/>
      <c r="AC146" s="33"/>
      <c r="AD146" s="23"/>
      <c r="AF146" s="9"/>
      <c r="AG146" s="23"/>
      <c r="AI146" s="57"/>
      <c r="AK146" s="60"/>
      <c r="AO146" s="9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</row>
    <row r="147" spans="23:53" x14ac:dyDescent="0.25">
      <c r="Y147" s="97" t="s">
        <v>61</v>
      </c>
      <c r="Z147" s="8"/>
      <c r="AA147" s="22">
        <f>AA94</f>
        <v>445242.25147000002</v>
      </c>
      <c r="AB147" s="8"/>
      <c r="AC147" s="33">
        <v>5.2</v>
      </c>
      <c r="AD147" s="28">
        <f>$AA$147*AC147</f>
        <v>2315259.7076440002</v>
      </c>
      <c r="AF147" s="50">
        <v>3.24</v>
      </c>
      <c r="AG147" s="28">
        <f>$AA$147*AF147</f>
        <v>1442584.8947628001</v>
      </c>
      <c r="AI147" s="57">
        <f t="shared" si="40"/>
        <v>-872674.81288120011</v>
      </c>
      <c r="AK147" s="60">
        <f t="shared" si="42"/>
        <v>-0.37692307692307692</v>
      </c>
      <c r="AO147" s="9"/>
      <c r="AP147" s="8"/>
      <c r="AQ147" s="8"/>
      <c r="AR147" s="8"/>
      <c r="AS147" s="8"/>
      <c r="AT147" s="6"/>
      <c r="AU147" s="8"/>
      <c r="AV147" s="8"/>
      <c r="AW147" s="6"/>
      <c r="AX147" s="8"/>
      <c r="AY147" s="8"/>
      <c r="AZ147" s="8"/>
      <c r="BA147" s="8"/>
    </row>
    <row r="148" spans="23:53" x14ac:dyDescent="0.25">
      <c r="Y148" s="97" t="s">
        <v>69</v>
      </c>
      <c r="Z148" s="8"/>
      <c r="AA148" s="22">
        <f>AG94</f>
        <v>19991.603780000001</v>
      </c>
      <c r="AB148" s="8"/>
      <c r="AC148" s="33">
        <v>5.2</v>
      </c>
      <c r="AD148" s="28">
        <f>$AA$148*AC148</f>
        <v>103956.33965600001</v>
      </c>
      <c r="AF148" s="50">
        <v>3.24</v>
      </c>
      <c r="AI148" s="57"/>
      <c r="AK148" s="60">
        <f t="shared" si="42"/>
        <v>0</v>
      </c>
      <c r="AO148" s="9"/>
      <c r="AP148" s="8"/>
      <c r="AQ148" s="8"/>
      <c r="AR148" s="8"/>
      <c r="AS148" s="8"/>
      <c r="AT148" s="6"/>
      <c r="AU148" s="8"/>
      <c r="AV148" s="8"/>
      <c r="AW148" s="6"/>
      <c r="AX148" s="8"/>
      <c r="AY148" s="8"/>
      <c r="AZ148" s="8"/>
      <c r="BA148" s="8"/>
    </row>
    <row r="149" spans="23:53" x14ac:dyDescent="0.25">
      <c r="Y149" s="97" t="s">
        <v>70</v>
      </c>
      <c r="Z149" s="8"/>
      <c r="AA149" s="22">
        <f>AL94</f>
        <v>118879.74632999999</v>
      </c>
      <c r="AB149" s="8"/>
      <c r="AC149" s="33"/>
      <c r="AD149" s="23"/>
      <c r="AF149" s="50">
        <v>3.24</v>
      </c>
      <c r="AG149" s="28">
        <f>$AA$149*AF149</f>
        <v>385170.37810919998</v>
      </c>
      <c r="AI149" s="57">
        <f>$AA$149*AF149</f>
        <v>385170.37810919998</v>
      </c>
      <c r="AK149" s="60">
        <f>AI149/AG149</f>
        <v>1</v>
      </c>
      <c r="AO149" s="9"/>
      <c r="AP149" s="8"/>
      <c r="AQ149" s="16"/>
      <c r="AR149" s="16"/>
      <c r="AS149" s="8"/>
      <c r="AT149" s="6"/>
      <c r="AU149" s="8"/>
      <c r="AV149" s="8"/>
      <c r="AW149" s="6"/>
      <c r="AX149" s="8"/>
      <c r="AY149" s="8"/>
      <c r="AZ149" s="8"/>
      <c r="BA149" s="8"/>
    </row>
    <row r="150" spans="23:53" x14ac:dyDescent="0.25">
      <c r="Y150" s="97"/>
      <c r="Z150" s="8"/>
      <c r="AA150" s="8"/>
      <c r="AB150" s="8"/>
      <c r="AC150" s="33"/>
      <c r="AD150" s="23"/>
      <c r="AF150" s="50"/>
      <c r="AG150" s="23"/>
      <c r="AI150" s="57"/>
      <c r="AK150" s="60"/>
      <c r="AO150" s="9"/>
      <c r="AP150" s="8"/>
      <c r="AQ150" s="16"/>
      <c r="AR150" s="16"/>
      <c r="AS150" s="8"/>
      <c r="AT150" s="6"/>
      <c r="AU150" s="8"/>
      <c r="AV150" s="8"/>
      <c r="AW150" s="6"/>
      <c r="AX150" s="8"/>
      <c r="AY150" s="8"/>
      <c r="AZ150" s="8"/>
      <c r="BA150" s="8"/>
    </row>
    <row r="151" spans="23:53" x14ac:dyDescent="0.25">
      <c r="Y151" s="97" t="s">
        <v>66</v>
      </c>
      <c r="Z151" s="8"/>
      <c r="AA151" s="22">
        <f>AB94</f>
        <v>446762.15146999998</v>
      </c>
      <c r="AB151" s="8"/>
      <c r="AC151" s="33">
        <v>4.53</v>
      </c>
      <c r="AD151" s="28">
        <f>$AA$151*AC151</f>
        <v>2023832.5461591</v>
      </c>
      <c r="AF151" s="50">
        <v>6.11</v>
      </c>
      <c r="AG151" s="28">
        <f>$AA$151*AF151</f>
        <v>2729716.7454817002</v>
      </c>
      <c r="AI151" s="57">
        <f t="shared" si="40"/>
        <v>705884.19932260015</v>
      </c>
      <c r="AK151" s="60">
        <f t="shared" si="42"/>
        <v>0.34878587196467997</v>
      </c>
      <c r="AO151" s="9"/>
      <c r="AP151" s="8"/>
      <c r="AQ151" s="16"/>
      <c r="AR151" s="16"/>
      <c r="AS151" s="8"/>
      <c r="AT151" s="6"/>
      <c r="AU151" s="8"/>
      <c r="AV151" s="8"/>
      <c r="AW151" s="6"/>
      <c r="AX151" s="8"/>
      <c r="AY151" s="8"/>
      <c r="AZ151" s="8"/>
      <c r="BA151" s="8"/>
    </row>
    <row r="152" spans="23:53" x14ac:dyDescent="0.25">
      <c r="Y152" s="97" t="s">
        <v>63</v>
      </c>
      <c r="Z152" s="8"/>
      <c r="AA152" s="22">
        <f>AF94</f>
        <v>3066.5380599999999</v>
      </c>
      <c r="AB152" s="8"/>
      <c r="AC152" s="33">
        <v>4.53</v>
      </c>
      <c r="AD152" s="28">
        <f>$AA$152*AC152</f>
        <v>13891.417411800001</v>
      </c>
      <c r="AF152" s="50">
        <v>6.11</v>
      </c>
      <c r="AG152" s="28">
        <f>$AA$152*AF152</f>
        <v>18736.547546599999</v>
      </c>
      <c r="AI152" s="57">
        <f t="shared" si="40"/>
        <v>4845.1301347999979</v>
      </c>
      <c r="AK152" s="60">
        <f t="shared" si="42"/>
        <v>0.34878587196467975</v>
      </c>
      <c r="AO152" s="9"/>
      <c r="AP152" s="8"/>
      <c r="AQ152" s="16"/>
      <c r="AR152" s="16"/>
      <c r="AS152" s="8"/>
      <c r="AT152" s="6"/>
      <c r="AU152" s="8"/>
      <c r="AV152" s="8"/>
      <c r="AW152" s="6"/>
      <c r="AX152" s="8"/>
      <c r="AY152" s="8"/>
      <c r="AZ152" s="8"/>
      <c r="BA152" s="8"/>
    </row>
    <row r="153" spans="23:53" x14ac:dyDescent="0.25">
      <c r="Y153" s="97"/>
      <c r="Z153" s="8"/>
      <c r="AA153" s="8"/>
      <c r="AB153" s="8"/>
      <c r="AC153" s="33"/>
      <c r="AD153" s="23"/>
      <c r="AF153" s="9"/>
      <c r="AG153" s="23"/>
      <c r="AI153" s="57"/>
      <c r="AK153" s="60"/>
      <c r="AO153" s="9"/>
      <c r="AP153" s="8"/>
      <c r="AQ153" s="16"/>
      <c r="AR153" s="16"/>
      <c r="AS153" s="8"/>
      <c r="AT153" s="6"/>
      <c r="AU153" s="8"/>
      <c r="AV153" s="8"/>
      <c r="AW153" s="6"/>
      <c r="AX153" s="8"/>
      <c r="AY153" s="8"/>
      <c r="AZ153" s="8"/>
      <c r="BA153" s="8"/>
    </row>
    <row r="154" spans="23:53" x14ac:dyDescent="0.25">
      <c r="Y154" s="97" t="s">
        <v>62</v>
      </c>
      <c r="Z154" s="8"/>
      <c r="AA154" s="22">
        <f>Z94</f>
        <v>442735.35146999994</v>
      </c>
      <c r="AB154" s="8"/>
      <c r="AC154" s="33">
        <v>6.13</v>
      </c>
      <c r="AD154" s="28">
        <f>$AA$154*AC154</f>
        <v>2713967.7045110995</v>
      </c>
      <c r="AF154" s="50">
        <v>7.81</v>
      </c>
      <c r="AG154" s="28">
        <f>$AA$154*AF154</f>
        <v>3457763.0949806995</v>
      </c>
      <c r="AI154" s="57">
        <f t="shared" si="40"/>
        <v>743795.39046959998</v>
      </c>
      <c r="AK154" s="60">
        <f t="shared" si="42"/>
        <v>0.27406199021207184</v>
      </c>
      <c r="AO154" s="9"/>
      <c r="AP154" s="8"/>
      <c r="AQ154" s="16"/>
      <c r="AR154" s="16"/>
      <c r="AS154" s="8"/>
      <c r="AT154" s="6"/>
      <c r="AU154" s="8"/>
      <c r="AV154" s="8"/>
      <c r="AW154" s="6"/>
      <c r="AX154" s="8"/>
      <c r="AY154" s="8"/>
      <c r="AZ154" s="8"/>
      <c r="BA154" s="8"/>
    </row>
    <row r="155" spans="23:53" x14ac:dyDescent="0.25">
      <c r="Y155" s="97" t="s">
        <v>63</v>
      </c>
      <c r="Z155" s="8"/>
      <c r="AA155" s="22">
        <f>AE94</f>
        <v>3055.0380599999999</v>
      </c>
      <c r="AB155" s="8"/>
      <c r="AC155" s="33">
        <v>6.13</v>
      </c>
      <c r="AD155" s="28">
        <f>$AA$155*AC155</f>
        <v>18727.383307799999</v>
      </c>
      <c r="AF155" s="50">
        <v>7.81</v>
      </c>
      <c r="AG155" s="28">
        <f>$AA$155*AF155</f>
        <v>23859.847248599999</v>
      </c>
      <c r="AI155" s="57">
        <f t="shared" si="40"/>
        <v>5132.4639408000003</v>
      </c>
      <c r="AK155" s="60">
        <f t="shared" si="42"/>
        <v>0.27406199021207178</v>
      </c>
      <c r="AO155" s="9"/>
      <c r="AP155" s="8"/>
      <c r="AQ155" s="16"/>
      <c r="AR155" s="16"/>
      <c r="AS155" s="8"/>
      <c r="AT155" s="6"/>
      <c r="AU155" s="8"/>
      <c r="AV155" s="8"/>
      <c r="AW155" s="6"/>
      <c r="AX155" s="8"/>
      <c r="AY155" s="8"/>
      <c r="AZ155" s="8"/>
      <c r="BA155" s="8"/>
    </row>
    <row r="156" spans="23:53" x14ac:dyDescent="0.25">
      <c r="Y156" s="97"/>
      <c r="Z156" s="8"/>
      <c r="AA156" s="8"/>
      <c r="AB156" s="8"/>
      <c r="AC156" s="33"/>
      <c r="AD156" s="23"/>
      <c r="AF156" s="9"/>
      <c r="AG156" s="23"/>
      <c r="AI156" s="57"/>
      <c r="AK156" s="60"/>
      <c r="AO156" s="9"/>
      <c r="AP156" s="8"/>
      <c r="AQ156" s="8"/>
      <c r="AR156" s="8"/>
      <c r="AS156" s="8"/>
      <c r="AT156" s="6"/>
      <c r="AU156" s="8"/>
      <c r="AV156" s="8"/>
      <c r="AW156" s="6"/>
      <c r="AX156" s="8"/>
      <c r="AY156" s="8"/>
      <c r="AZ156" s="8"/>
      <c r="BA156" s="8"/>
    </row>
    <row r="157" spans="23:53" ht="16.5" thickBot="1" x14ac:dyDescent="0.3">
      <c r="W157" s="171">
        <f>X157-AD157</f>
        <v>818.3329999987036</v>
      </c>
      <c r="X157" s="133">
        <f>W94</f>
        <v>12345754.919202032</v>
      </c>
      <c r="Y157" s="89" t="s">
        <v>64</v>
      </c>
      <c r="Z157" s="29"/>
      <c r="AA157" s="29"/>
      <c r="AB157" s="29"/>
      <c r="AC157" s="29"/>
      <c r="AD157" s="5">
        <f>SUM(AD143:AD156)</f>
        <v>12344936.586202033</v>
      </c>
      <c r="AF157" s="52"/>
      <c r="AG157" s="5">
        <f>SUM(AG143:AG156)</f>
        <v>13218712.923611792</v>
      </c>
      <c r="AH157" s="1"/>
      <c r="AI157" s="58">
        <f t="shared" si="40"/>
        <v>873776.33740975894</v>
      </c>
      <c r="AK157" s="61">
        <f t="shared" si="42"/>
        <v>7.0780139801315867E-2</v>
      </c>
      <c r="AO157" s="13"/>
      <c r="AP157" s="8"/>
      <c r="AQ157" s="8"/>
      <c r="AR157" s="8"/>
      <c r="AS157" s="8"/>
      <c r="AT157" s="6"/>
      <c r="AU157" s="8"/>
      <c r="AV157" s="8"/>
      <c r="AW157" s="6"/>
      <c r="AX157" s="8"/>
      <c r="AY157" s="8"/>
      <c r="AZ157" s="8"/>
      <c r="BA157" s="8"/>
    </row>
    <row r="158" spans="23:53" x14ac:dyDescent="0.25">
      <c r="W158" s="171"/>
      <c r="X158" s="171"/>
      <c r="Y158" s="98"/>
      <c r="Z158" s="8"/>
      <c r="AA158" s="8"/>
      <c r="AB158" s="8"/>
      <c r="AC158" s="8"/>
      <c r="AD158" s="6"/>
      <c r="AF158" s="6"/>
      <c r="AG158" s="6"/>
      <c r="AH158" s="1"/>
      <c r="AI158" s="6"/>
      <c r="AK158" s="7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</row>
    <row r="159" spans="23:53" ht="16.5" thickBot="1" x14ac:dyDescent="0.3">
      <c r="W159" s="171"/>
      <c r="X159" s="171"/>
      <c r="Y159" s="98"/>
      <c r="Z159" s="8"/>
      <c r="AA159" s="8"/>
      <c r="AB159" s="8"/>
      <c r="AC159" s="8"/>
      <c r="AD159" s="6"/>
      <c r="AF159" s="6"/>
      <c r="AG159" s="6"/>
      <c r="AH159" s="1"/>
      <c r="AI159" s="6"/>
      <c r="AK159" s="7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</row>
    <row r="160" spans="23:53" x14ac:dyDescent="0.25">
      <c r="W160" s="171"/>
      <c r="X160" s="171"/>
      <c r="Y160" s="204" t="s">
        <v>79</v>
      </c>
      <c r="Z160" s="26"/>
      <c r="AA160" s="26"/>
      <c r="AB160" s="26"/>
      <c r="AC160" s="26"/>
      <c r="AD160" s="27"/>
      <c r="AF160" s="12"/>
      <c r="AG160" s="27"/>
      <c r="AI160" s="56"/>
      <c r="AK160" s="59"/>
      <c r="AO160" s="25"/>
      <c r="AP160" s="8"/>
      <c r="AQ160" s="8"/>
      <c r="AR160" s="8"/>
      <c r="AS160" s="8"/>
      <c r="AT160" s="8"/>
      <c r="AU160" s="8"/>
      <c r="AV160" s="8"/>
      <c r="AW160" s="250"/>
      <c r="AX160" s="8"/>
      <c r="AY160" s="6"/>
      <c r="AZ160" s="8"/>
      <c r="BA160" s="78"/>
    </row>
    <row r="161" spans="23:53" x14ac:dyDescent="0.25">
      <c r="W161" s="171"/>
      <c r="X161" s="171"/>
      <c r="Y161" s="97"/>
      <c r="Z161" s="8"/>
      <c r="AA161" s="8"/>
      <c r="AB161" s="8"/>
      <c r="AC161" s="8"/>
      <c r="AD161" s="23"/>
      <c r="AF161" s="9"/>
      <c r="AG161" s="23"/>
      <c r="AI161" s="57"/>
      <c r="AK161" s="60"/>
      <c r="AO161" s="9"/>
      <c r="AP161" s="8"/>
      <c r="AQ161" s="8"/>
      <c r="AR161" s="8"/>
      <c r="AS161" s="8"/>
      <c r="AT161" s="8"/>
      <c r="AU161" s="8"/>
      <c r="AV161" s="8"/>
      <c r="AW161" s="250"/>
      <c r="AX161" s="8"/>
      <c r="AY161" s="6"/>
      <c r="AZ161" s="8"/>
      <c r="BA161" s="78"/>
    </row>
    <row r="162" spans="23:53" x14ac:dyDescent="0.25">
      <c r="W162" s="171"/>
      <c r="X162" s="171"/>
      <c r="Y162" s="97" t="s">
        <v>58</v>
      </c>
      <c r="Z162" s="22">
        <f>Z129+Z143</f>
        <v>2760</v>
      </c>
      <c r="AA162" s="8"/>
      <c r="AB162" s="8"/>
      <c r="AC162" s="33">
        <v>200</v>
      </c>
      <c r="AD162" s="28">
        <f>$Z$162*AC162</f>
        <v>552000</v>
      </c>
      <c r="AF162" s="50">
        <v>200</v>
      </c>
      <c r="AG162" s="28">
        <f>$Z$162*AF162</f>
        <v>552000</v>
      </c>
      <c r="AI162" s="57">
        <f t="shared" ref="AI162" si="43">AG162-AD162</f>
        <v>0</v>
      </c>
      <c r="AK162" s="60">
        <f t="shared" ref="AK162" si="44">AI162/AD162</f>
        <v>0</v>
      </c>
      <c r="AO162" s="9"/>
      <c r="AP162" s="22"/>
      <c r="AQ162" s="8"/>
      <c r="AR162" s="8"/>
      <c r="AS162" s="30"/>
      <c r="AT162" s="250"/>
      <c r="AU162" s="8"/>
      <c r="AV162" s="30"/>
      <c r="AW162" s="250"/>
      <c r="AX162" s="8"/>
      <c r="AY162" s="6"/>
      <c r="AZ162" s="8"/>
      <c r="BA162" s="78"/>
    </row>
    <row r="163" spans="23:53" x14ac:dyDescent="0.25">
      <c r="W163" s="171"/>
      <c r="X163" s="171"/>
      <c r="Y163" s="97"/>
      <c r="Z163" s="8"/>
      <c r="AA163" s="8"/>
      <c r="AB163" s="8"/>
      <c r="AC163" s="33"/>
      <c r="AD163" s="28"/>
      <c r="AF163" s="9"/>
      <c r="AG163" s="28"/>
      <c r="AI163" s="57"/>
      <c r="AK163" s="60"/>
      <c r="AO163" s="9"/>
      <c r="AP163" s="8"/>
      <c r="AQ163" s="8"/>
      <c r="AR163" s="8"/>
      <c r="AS163" s="30"/>
      <c r="AT163" s="250"/>
      <c r="AU163" s="8"/>
      <c r="AV163" s="8"/>
      <c r="AW163" s="250"/>
      <c r="AX163" s="8"/>
      <c r="AY163" s="6"/>
      <c r="AZ163" s="8"/>
      <c r="BA163" s="78"/>
    </row>
    <row r="164" spans="23:53" x14ac:dyDescent="0.25">
      <c r="W164" s="267" t="s">
        <v>80</v>
      </c>
      <c r="X164" s="268"/>
      <c r="Y164" s="97" t="s">
        <v>46</v>
      </c>
      <c r="Z164" s="8"/>
      <c r="AA164" s="8"/>
      <c r="AB164" s="22">
        <f>AB131+AB145</f>
        <v>212517867.449</v>
      </c>
      <c r="AC164" s="34">
        <v>3.5270000000000003E-2</v>
      </c>
      <c r="AD164" s="28">
        <f>$AB$164*AC164</f>
        <v>7495505.1849262305</v>
      </c>
      <c r="AF164" s="51">
        <v>3.5209999999999998E-2</v>
      </c>
      <c r="AG164" s="28">
        <f>$AB$164*AF164</f>
        <v>7482754.1128792893</v>
      </c>
      <c r="AI164" s="57">
        <f t="shared" ref="AI164" si="45">AG164-AD164</f>
        <v>-12751.072046941146</v>
      </c>
      <c r="AK164" s="60">
        <f t="shared" ref="AK164" si="46">AI164/AD164</f>
        <v>-1.7011624610151798E-3</v>
      </c>
      <c r="AO164" s="9"/>
      <c r="AP164" s="8"/>
      <c r="AQ164" s="8"/>
      <c r="AR164" s="22"/>
      <c r="AS164" s="31"/>
      <c r="AT164" s="250"/>
      <c r="AU164" s="8"/>
      <c r="AV164" s="31"/>
      <c r="AW164" s="250"/>
      <c r="AX164" s="8"/>
      <c r="AY164" s="6"/>
      <c r="AZ164" s="8"/>
      <c r="BA164" s="78"/>
    </row>
    <row r="165" spans="23:53" x14ac:dyDescent="0.25">
      <c r="W165" s="267"/>
      <c r="X165" s="268"/>
      <c r="Y165" s="97"/>
      <c r="Z165" s="8"/>
      <c r="AA165" s="8"/>
      <c r="AB165" s="8"/>
      <c r="AC165" s="33"/>
      <c r="AD165" s="23"/>
      <c r="AF165" s="9"/>
      <c r="AG165" s="23"/>
      <c r="AI165" s="57"/>
      <c r="AK165" s="60"/>
      <c r="AO165" s="9"/>
      <c r="AP165" s="8"/>
      <c r="AQ165" s="8"/>
      <c r="AR165" s="8"/>
      <c r="AS165" s="8"/>
      <c r="AT165" s="8"/>
      <c r="AU165" s="8"/>
      <c r="AV165" s="8"/>
      <c r="AW165" s="8"/>
      <c r="AX165" s="8"/>
      <c r="AY165" s="6"/>
      <c r="AZ165" s="8"/>
      <c r="BA165" s="78"/>
    </row>
    <row r="166" spans="23:53" x14ac:dyDescent="0.25">
      <c r="W166" s="267"/>
      <c r="X166" s="268"/>
      <c r="Y166" s="97" t="s">
        <v>61</v>
      </c>
      <c r="Z166" s="8"/>
      <c r="AA166" s="22">
        <f>AB92+AB94</f>
        <v>701743.70146999997</v>
      </c>
      <c r="AB166" s="8"/>
      <c r="AC166" s="33">
        <v>5.2</v>
      </c>
      <c r="AD166" s="28">
        <f>$AA$166*AC166</f>
        <v>3649067.2476439998</v>
      </c>
      <c r="AF166" s="50">
        <f>AC166+$AF$179</f>
        <v>5.2</v>
      </c>
      <c r="AG166" s="28">
        <f>$AA$166*AF166</f>
        <v>3649067.2476439998</v>
      </c>
      <c r="AI166" s="57">
        <f t="shared" ref="AI166" si="47">AG166-AD166</f>
        <v>0</v>
      </c>
      <c r="AK166" s="60">
        <f t="shared" ref="AK166:AK167" si="48">AI166/AD166</f>
        <v>0</v>
      </c>
      <c r="AO166" s="9"/>
      <c r="AP166" s="8"/>
      <c r="AQ166" s="22"/>
      <c r="AR166" s="8"/>
      <c r="AS166" s="30"/>
      <c r="AT166" s="250"/>
      <c r="AU166" s="8"/>
      <c r="AV166" s="30"/>
      <c r="AW166" s="250"/>
      <c r="AX166" s="8"/>
      <c r="AY166" s="6"/>
      <c r="AZ166" s="8"/>
      <c r="BA166" s="78"/>
    </row>
    <row r="167" spans="23:53" x14ac:dyDescent="0.25">
      <c r="W167" s="171"/>
      <c r="X167" s="171"/>
      <c r="Y167" s="97" t="s">
        <v>69</v>
      </c>
      <c r="Z167" s="8"/>
      <c r="AA167" s="22">
        <f>AG92+AG94</f>
        <v>173768.55377999999</v>
      </c>
      <c r="AB167" s="8"/>
      <c r="AC167" s="33">
        <v>5.2</v>
      </c>
      <c r="AD167" s="28">
        <f>$AA$167*AC167</f>
        <v>903596.47965599992</v>
      </c>
      <c r="AF167" s="50">
        <f t="shared" ref="AF167:AF168" si="49">AC167+$AF$179</f>
        <v>5.2</v>
      </c>
      <c r="AG167" s="28">
        <f>$AA$167*AF167</f>
        <v>903596.47965599992</v>
      </c>
      <c r="AI167" s="57"/>
      <c r="AK167" s="60">
        <f t="shared" si="48"/>
        <v>0</v>
      </c>
      <c r="AO167" s="9"/>
      <c r="AP167" s="8"/>
      <c r="AQ167" s="22"/>
      <c r="AR167" s="8"/>
      <c r="AS167" s="30"/>
      <c r="AT167" s="250"/>
      <c r="AU167" s="8"/>
      <c r="AV167" s="30"/>
      <c r="AW167" s="250"/>
      <c r="AX167" s="8"/>
      <c r="AY167" s="6"/>
      <c r="AZ167" s="8"/>
      <c r="BA167" s="78"/>
    </row>
    <row r="168" spans="23:53" x14ac:dyDescent="0.25">
      <c r="W168" s="171"/>
      <c r="X168" s="171"/>
      <c r="Y168" s="97" t="s">
        <v>70</v>
      </c>
      <c r="Z168" s="8"/>
      <c r="AA168" s="22"/>
      <c r="AB168" s="8"/>
      <c r="AC168" s="33">
        <v>5.2</v>
      </c>
      <c r="AD168" s="23"/>
      <c r="AF168" s="50">
        <f t="shared" si="49"/>
        <v>5.2</v>
      </c>
      <c r="AG168" s="28"/>
      <c r="AI168" s="57">
        <f>$AA$149*AF168</f>
        <v>618174.68091600004</v>
      </c>
      <c r="AK168" s="60">
        <f>AI168/AG167</f>
        <v>0.6841269248319114</v>
      </c>
      <c r="AO168" s="9"/>
      <c r="AP168" s="8"/>
      <c r="AQ168" s="8"/>
      <c r="AR168" s="8"/>
      <c r="AS168" s="30"/>
      <c r="AT168" s="250"/>
      <c r="AU168" s="8"/>
      <c r="AV168" s="30"/>
      <c r="AW168" s="250"/>
      <c r="AX168" s="8"/>
      <c r="AY168" s="6"/>
      <c r="AZ168" s="8"/>
      <c r="BA168" s="78"/>
    </row>
    <row r="169" spans="23:53" x14ac:dyDescent="0.25">
      <c r="W169" s="171"/>
      <c r="X169" s="171"/>
      <c r="Y169" s="97"/>
      <c r="Z169" s="8"/>
      <c r="AA169" s="22"/>
      <c r="AB169" s="8"/>
      <c r="AC169" s="33"/>
      <c r="AD169" s="23"/>
      <c r="AF169" s="50"/>
      <c r="AG169" s="23"/>
      <c r="AI169" s="57"/>
      <c r="AK169" s="60"/>
      <c r="AO169" s="9"/>
      <c r="AP169" s="8"/>
      <c r="AQ169" s="22"/>
      <c r="AR169" s="8"/>
      <c r="AS169" s="30"/>
      <c r="AT169" s="250"/>
      <c r="AU169" s="8"/>
      <c r="AV169" s="30"/>
      <c r="AW169" s="250"/>
      <c r="AX169" s="8"/>
      <c r="AY169" s="6"/>
      <c r="AZ169" s="8"/>
      <c r="BA169" s="78"/>
    </row>
    <row r="170" spans="23:53" x14ac:dyDescent="0.25">
      <c r="W170" s="171"/>
      <c r="X170" s="171"/>
      <c r="Y170" s="97" t="s">
        <v>66</v>
      </c>
      <c r="Z170" s="8"/>
      <c r="AA170" s="22">
        <f>AA92+AA94</f>
        <v>705425.10146999999</v>
      </c>
      <c r="AB170" s="8"/>
      <c r="AC170" s="33">
        <v>4.53</v>
      </c>
      <c r="AD170" s="28">
        <f>$AA$170*AC170</f>
        <v>3195575.7096591</v>
      </c>
      <c r="AF170" s="50">
        <f t="shared" ref="AF170:AF171" si="50">AC170+$AF$179</f>
        <v>4.53</v>
      </c>
      <c r="AG170" s="28">
        <f>$AA$170*AF170</f>
        <v>3195575.7096591</v>
      </c>
      <c r="AI170" s="57">
        <f t="shared" ref="AI170:AI171" si="51">AG170-AD170</f>
        <v>0</v>
      </c>
      <c r="AK170" s="60">
        <f t="shared" ref="AK170:AK171" si="52">AI170/AD170</f>
        <v>0</v>
      </c>
      <c r="AO170" s="9"/>
      <c r="AP170" s="8"/>
      <c r="AQ170" s="22"/>
      <c r="AR170" s="8"/>
      <c r="AS170" s="30"/>
      <c r="AT170" s="250"/>
      <c r="AU170" s="8"/>
      <c r="AV170" s="30"/>
      <c r="AW170" s="250"/>
      <c r="AX170" s="8"/>
      <c r="AY170" s="6"/>
      <c r="AZ170" s="8"/>
      <c r="BA170" s="78"/>
    </row>
    <row r="171" spans="23:53" x14ac:dyDescent="0.25">
      <c r="W171" s="171"/>
      <c r="X171" s="171"/>
      <c r="Y171" s="97" t="s">
        <v>63</v>
      </c>
      <c r="Z171" s="8"/>
      <c r="AA171" s="22">
        <f>AF92+AF94</f>
        <v>5116.7530599999991</v>
      </c>
      <c r="AB171" s="8"/>
      <c r="AC171" s="33">
        <v>4.53</v>
      </c>
      <c r="AD171" s="28">
        <f>$AA$171*AC171</f>
        <v>23178.891361799997</v>
      </c>
      <c r="AF171" s="50">
        <f t="shared" si="50"/>
        <v>4.53</v>
      </c>
      <c r="AG171" s="28">
        <f>$AA$171*AF171</f>
        <v>23178.891361799997</v>
      </c>
      <c r="AI171" s="57">
        <f t="shared" si="51"/>
        <v>0</v>
      </c>
      <c r="AK171" s="60">
        <f t="shared" si="52"/>
        <v>0</v>
      </c>
      <c r="AO171" s="9"/>
      <c r="AP171" s="8"/>
      <c r="AQ171" s="8"/>
      <c r="AR171" s="8"/>
      <c r="AS171" s="8"/>
      <c r="AT171" s="8"/>
      <c r="AU171" s="8"/>
      <c r="AV171" s="8"/>
      <c r="AW171" s="8"/>
      <c r="AX171" s="8"/>
      <c r="AY171" s="6"/>
      <c r="AZ171" s="8"/>
      <c r="BA171" s="8"/>
    </row>
    <row r="172" spans="23:53" ht="16.5" thickBot="1" x14ac:dyDescent="0.3">
      <c r="W172" s="171"/>
      <c r="X172" s="171"/>
      <c r="Y172" s="97"/>
      <c r="Z172" s="8"/>
      <c r="AA172" s="8"/>
      <c r="AB172" s="8"/>
      <c r="AC172" s="33"/>
      <c r="AD172" s="23"/>
      <c r="AF172" s="9"/>
      <c r="AG172" s="23"/>
      <c r="AI172" s="57"/>
      <c r="AK172" s="60"/>
      <c r="AO172" s="13"/>
      <c r="AP172" s="8"/>
      <c r="AQ172" s="8"/>
      <c r="AR172" s="8"/>
      <c r="AS172" s="8"/>
      <c r="AT172" s="6"/>
      <c r="AU172" s="8"/>
      <c r="AV172" s="6"/>
      <c r="AW172" s="6"/>
      <c r="AX172" s="6"/>
      <c r="AY172" s="6"/>
      <c r="AZ172" s="8"/>
      <c r="BA172" s="78"/>
    </row>
    <row r="173" spans="23:53" x14ac:dyDescent="0.25">
      <c r="W173" s="171"/>
      <c r="X173" s="171"/>
      <c r="Y173" s="97" t="s">
        <v>62</v>
      </c>
      <c r="Z173" s="8"/>
      <c r="AA173" s="22">
        <f>Z92+Z94</f>
        <v>702918.20146999997</v>
      </c>
      <c r="AB173" s="8"/>
      <c r="AC173" s="33">
        <v>6.13</v>
      </c>
      <c r="AD173" s="28">
        <f>$AA$173*AC173</f>
        <v>4308888.5750110997</v>
      </c>
      <c r="AF173" s="50">
        <f t="shared" ref="AF173:AF174" si="53">AC173+$AF$179</f>
        <v>6.13</v>
      </c>
      <c r="AG173" s="28">
        <f>$AA$173*AF173</f>
        <v>4308888.5750110997</v>
      </c>
      <c r="AI173" s="57">
        <f t="shared" ref="AI173:AI174" si="54">AG173-AD173</f>
        <v>0</v>
      </c>
      <c r="AK173" s="60">
        <f t="shared" ref="AK173:AK174" si="55">AI173/AD173</f>
        <v>0</v>
      </c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</row>
    <row r="174" spans="23:53" x14ac:dyDescent="0.25">
      <c r="W174" s="171"/>
      <c r="X174" s="171"/>
      <c r="Y174" s="97" t="s">
        <v>63</v>
      </c>
      <c r="Z174" s="8"/>
      <c r="AA174" s="22">
        <f>AE92+AE94</f>
        <v>5105.25306</v>
      </c>
      <c r="AB174" s="8"/>
      <c r="AC174" s="33">
        <v>6.13</v>
      </c>
      <c r="AD174" s="28">
        <f>$AA$174*AC174</f>
        <v>31295.201257799999</v>
      </c>
      <c r="AF174" s="50">
        <f t="shared" si="53"/>
        <v>6.13</v>
      </c>
      <c r="AG174" s="28">
        <f>$AA$155*AF174</f>
        <v>18727.383307799999</v>
      </c>
      <c r="AI174" s="57">
        <f t="shared" si="54"/>
        <v>-12567.817950000001</v>
      </c>
      <c r="AK174" s="60">
        <f t="shared" si="55"/>
        <v>-0.40158929947343297</v>
      </c>
      <c r="AP174" s="8"/>
      <c r="AQ174" s="8"/>
      <c r="AR174" s="8"/>
      <c r="AS174" s="8"/>
      <c r="AT174" s="6"/>
      <c r="AU174" s="6"/>
      <c r="AV174" s="6"/>
      <c r="AW174" s="8"/>
      <c r="AX174" s="8"/>
      <c r="AY174" s="8"/>
      <c r="AZ174" s="8"/>
      <c r="BA174" s="8"/>
    </row>
    <row r="175" spans="23:53" x14ac:dyDescent="0.25">
      <c r="W175" s="171"/>
      <c r="X175" s="171"/>
      <c r="Y175" s="97"/>
      <c r="Z175" s="8"/>
      <c r="AA175" s="8"/>
      <c r="AB175" s="8"/>
      <c r="AC175" s="33"/>
      <c r="AD175" s="23"/>
      <c r="AF175" s="9"/>
      <c r="AG175" s="23"/>
      <c r="AI175" s="57"/>
      <c r="AK175" s="60"/>
      <c r="AP175" s="8"/>
      <c r="AQ175" s="8"/>
      <c r="AR175" s="8"/>
      <c r="AS175" s="8"/>
      <c r="AT175" s="6"/>
      <c r="AU175" s="6"/>
      <c r="AV175" s="30"/>
      <c r="AW175" s="8"/>
      <c r="AX175" s="8"/>
      <c r="AY175" s="8"/>
      <c r="AZ175" s="8"/>
      <c r="BA175" s="8"/>
    </row>
    <row r="176" spans="23:53" ht="16.5" thickBot="1" x14ac:dyDescent="0.3">
      <c r="W176" s="171"/>
      <c r="X176" s="171"/>
      <c r="Y176" s="89" t="s">
        <v>64</v>
      </c>
      <c r="Z176" s="29"/>
      <c r="AA176" s="29"/>
      <c r="AB176" s="29"/>
      <c r="AC176" s="29"/>
      <c r="AD176" s="5">
        <f>SUM(AD162:AD175)</f>
        <v>20159107.289516028</v>
      </c>
      <c r="AF176" s="52"/>
      <c r="AG176" s="5">
        <f>SUM(AG162:AG175)</f>
        <v>20133788.399519086</v>
      </c>
      <c r="AH176" s="1"/>
      <c r="AI176" s="58">
        <f t="shared" ref="AI176" si="56">AG176-AD176</f>
        <v>-25318.889996942133</v>
      </c>
      <c r="AK176" s="61">
        <f t="shared" ref="AK176" si="57">AI176/AD176</f>
        <v>-1.2559529364730107E-3</v>
      </c>
      <c r="AP176" s="8"/>
      <c r="AQ176" s="8"/>
      <c r="AR176" s="8"/>
      <c r="AS176" s="8"/>
      <c r="AT176" s="6"/>
      <c r="AU176" s="6"/>
      <c r="AV176" s="6"/>
      <c r="AW176" s="8"/>
      <c r="AX176" s="8"/>
      <c r="AY176" s="8"/>
      <c r="AZ176" s="8"/>
      <c r="BA176" s="8"/>
    </row>
    <row r="177" spans="1:53" x14ac:dyDescent="0.25">
      <c r="W177" s="171"/>
      <c r="X177" s="171"/>
      <c r="Y177" s="98"/>
      <c r="Z177" s="8"/>
      <c r="AA177" s="8"/>
      <c r="AB177" s="8"/>
      <c r="AC177" s="8"/>
      <c r="AD177" s="6"/>
      <c r="AF177" s="6"/>
      <c r="AG177" s="6"/>
      <c r="AH177" s="1"/>
      <c r="AI177" s="6"/>
      <c r="AK177" s="78"/>
      <c r="AP177" s="8"/>
      <c r="AQ177" s="8"/>
      <c r="AR177" s="8"/>
      <c r="AS177" s="8"/>
      <c r="AT177" s="6"/>
      <c r="AU177" s="6"/>
      <c r="AV177" s="6"/>
      <c r="AW177" s="8"/>
      <c r="AX177" s="8"/>
      <c r="AY177" s="8"/>
      <c r="AZ177" s="8"/>
      <c r="BA177" s="8"/>
    </row>
    <row r="178" spans="1:53" x14ac:dyDescent="0.25">
      <c r="W178" s="171"/>
      <c r="X178" s="171"/>
      <c r="Y178" s="98"/>
      <c r="Z178" s="8"/>
      <c r="AA178" s="8"/>
      <c r="AB178" s="6">
        <f>AD139+AD157</f>
        <v>19775922.083056033</v>
      </c>
      <c r="AC178" s="8"/>
      <c r="AD178" s="1">
        <f>AD176</f>
        <v>20159107.289516028</v>
      </c>
      <c r="AF178" s="6"/>
      <c r="AG178" s="6"/>
      <c r="AH178" s="1"/>
      <c r="AI178" s="6"/>
      <c r="AK178" s="7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</row>
    <row r="179" spans="1:53" x14ac:dyDescent="0.25">
      <c r="W179" s="171"/>
      <c r="X179" s="171"/>
      <c r="Y179" s="98"/>
      <c r="Z179" s="8"/>
      <c r="AA179" s="8"/>
      <c r="AB179" s="8"/>
      <c r="AC179" s="8"/>
      <c r="AD179" s="6">
        <v>0</v>
      </c>
      <c r="AF179" s="30">
        <f>AD179/(SUM(AA166:AA174))</f>
        <v>0</v>
      </c>
      <c r="AG179" s="6"/>
      <c r="AH179" s="1"/>
      <c r="AI179" s="6"/>
      <c r="AK179" s="78"/>
    </row>
    <row r="180" spans="1:53" x14ac:dyDescent="0.25">
      <c r="W180" s="171"/>
      <c r="X180" s="171"/>
      <c r="Y180" s="98"/>
      <c r="Z180" s="8"/>
      <c r="AA180" s="8"/>
      <c r="AB180" s="8"/>
      <c r="AC180" s="8"/>
      <c r="AD180" s="6">
        <f>SUM(AD178:AD179)</f>
        <v>20159107.289516028</v>
      </c>
      <c r="AF180" s="6"/>
      <c r="AG180" s="6"/>
      <c r="AH180" s="1"/>
      <c r="AI180" s="6"/>
      <c r="AK180" s="78"/>
    </row>
    <row r="181" spans="1:53" x14ac:dyDescent="0.25">
      <c r="W181" s="171"/>
      <c r="X181" s="171"/>
      <c r="Y181" s="98"/>
      <c r="Z181" s="8"/>
      <c r="AA181" s="8"/>
      <c r="AB181" s="8"/>
      <c r="AC181" s="8"/>
      <c r="AD181" s="6"/>
      <c r="AF181" s="6"/>
      <c r="AG181" s="6"/>
      <c r="AH181" s="1"/>
      <c r="AI181" s="6"/>
      <c r="AK181" s="78"/>
    </row>
    <row r="182" spans="1:53" s="79" customFormat="1" ht="16.5" thickBot="1" x14ac:dyDescent="0.3">
      <c r="A182" s="205"/>
      <c r="B182" s="205"/>
      <c r="C182" s="20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</row>
    <row r="183" spans="1:53" ht="16.5" thickBot="1" x14ac:dyDescent="0.3">
      <c r="A183" s="265" t="s">
        <v>76</v>
      </c>
      <c r="B183" s="120" t="s">
        <v>13</v>
      </c>
      <c r="C183" s="160"/>
      <c r="D183" s="121">
        <v>3910378.7187000001</v>
      </c>
      <c r="E183" s="121">
        <v>4055523.5636999994</v>
      </c>
      <c r="F183" s="161"/>
      <c r="G183" s="121">
        <v>5023367.1705999998</v>
      </c>
      <c r="H183" s="121">
        <v>5312732.1851999993</v>
      </c>
      <c r="I183" s="161"/>
      <c r="J183" s="121">
        <v>4964790.1517000012</v>
      </c>
      <c r="K183" s="121">
        <v>5225390.4825000018</v>
      </c>
      <c r="L183" s="162"/>
      <c r="M183" s="122">
        <v>15396.384166666661</v>
      </c>
      <c r="N183" s="176"/>
      <c r="O183" s="163">
        <v>46363230</v>
      </c>
      <c r="P183" s="126">
        <v>20375.400000000005</v>
      </c>
      <c r="T183" s="123"/>
      <c r="U183" s="124"/>
      <c r="W183" s="125"/>
      <c r="X183" s="177"/>
      <c r="Y183" s="93" t="s">
        <v>42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5">
        <v>0</v>
      </c>
    </row>
    <row r="184" spans="1:53" ht="16.5" thickBot="1" x14ac:dyDescent="0.3">
      <c r="A184" s="265"/>
      <c r="B184" s="127"/>
      <c r="C184" s="131"/>
      <c r="D184" s="165"/>
      <c r="E184" s="165"/>
      <c r="F184" s="165"/>
      <c r="G184" s="165"/>
      <c r="H184" s="165"/>
      <c r="I184" s="165"/>
      <c r="J184" s="165"/>
      <c r="K184" s="165"/>
      <c r="L184" s="131"/>
      <c r="M184" s="165"/>
      <c r="N184" s="165"/>
      <c r="O184" s="177"/>
      <c r="W184" s="125"/>
      <c r="X184" s="177"/>
      <c r="Y184" s="97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7"/>
    </row>
    <row r="185" spans="1:53" x14ac:dyDescent="0.25">
      <c r="A185" s="265"/>
      <c r="B185" s="127" t="s">
        <v>14</v>
      </c>
      <c r="C185" s="131"/>
      <c r="D185" s="167"/>
      <c r="E185" s="167"/>
      <c r="F185" s="168"/>
      <c r="G185" s="167"/>
      <c r="H185" s="167"/>
      <c r="I185" s="168"/>
      <c r="J185" s="167"/>
      <c r="K185" s="167"/>
      <c r="L185" s="129">
        <v>6.1171273525054623E-2</v>
      </c>
      <c r="M185" s="164"/>
      <c r="N185" s="165"/>
      <c r="O185" s="166"/>
      <c r="P185" s="126"/>
      <c r="W185" s="169">
        <f>D191</f>
        <v>3910378.7187000001</v>
      </c>
      <c r="X185" s="166">
        <f>O187</f>
        <v>46363230</v>
      </c>
      <c r="Y185" s="97" t="s">
        <v>43</v>
      </c>
      <c r="Z185" s="69">
        <v>184756.61000000004</v>
      </c>
      <c r="AA185" s="70">
        <v>184756.61000000004</v>
      </c>
      <c r="AB185" s="70">
        <v>181561.73000000004</v>
      </c>
      <c r="AC185" s="70">
        <v>71146.409999999989</v>
      </c>
      <c r="AD185" s="70">
        <v>113610.2</v>
      </c>
      <c r="AE185" s="70">
        <v>3811.55</v>
      </c>
      <c r="AF185" s="70">
        <v>3811.5500000000006</v>
      </c>
      <c r="AG185" s="70">
        <v>50535.420000000013</v>
      </c>
      <c r="AH185" s="70">
        <v>2534.8000000000002</v>
      </c>
      <c r="AI185" s="70">
        <v>1276.7500000000002</v>
      </c>
      <c r="AJ185" s="70">
        <v>3811.55</v>
      </c>
      <c r="AK185" s="70">
        <v>3811.55</v>
      </c>
      <c r="AL185" s="70">
        <v>83403.070000000022</v>
      </c>
      <c r="AM185" s="70">
        <v>2534.8000000000002</v>
      </c>
      <c r="AN185" s="71">
        <v>1276.7500000000002</v>
      </c>
    </row>
    <row r="186" spans="1:53" ht="18" customHeight="1" thickBot="1" x14ac:dyDescent="0.3">
      <c r="A186" s="265"/>
      <c r="B186" s="127"/>
      <c r="C186" s="131"/>
      <c r="D186" s="128"/>
      <c r="E186" s="128"/>
      <c r="F186" s="129"/>
      <c r="G186" s="128"/>
      <c r="H186" s="128"/>
      <c r="I186" s="134"/>
      <c r="J186" s="128"/>
      <c r="K186" s="128"/>
      <c r="L186" s="129"/>
      <c r="M186" s="130"/>
      <c r="N186" s="131"/>
      <c r="O186" s="178"/>
      <c r="P186" s="133"/>
      <c r="W186" s="165"/>
      <c r="X186" s="166"/>
      <c r="Y186" s="97"/>
      <c r="Z186" s="38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40"/>
    </row>
    <row r="187" spans="1:53" x14ac:dyDescent="0.25">
      <c r="A187" s="265"/>
      <c r="B187" s="127" t="s">
        <v>15</v>
      </c>
      <c r="C187" s="131"/>
      <c r="D187" s="128">
        <f>D183-D185</f>
        <v>3910378.7187000001</v>
      </c>
      <c r="E187" s="128">
        <f>E183-E185</f>
        <v>4055523.5636999994</v>
      </c>
      <c r="F187" s="129"/>
      <c r="G187" s="128">
        <f>G183-G185</f>
        <v>5023367.1705999998</v>
      </c>
      <c r="H187" s="128">
        <f>H183-H185</f>
        <v>5312732.1851999993</v>
      </c>
      <c r="I187" s="134"/>
      <c r="J187" s="128">
        <f>J183-J185</f>
        <v>4964790.1517000012</v>
      </c>
      <c r="K187" s="128">
        <f>K183-K185</f>
        <v>5225390.4825000018</v>
      </c>
      <c r="L187" s="129"/>
      <c r="M187" s="130">
        <f>M183-M185</f>
        <v>15396.384166666661</v>
      </c>
      <c r="N187" s="131"/>
      <c r="O187" s="130">
        <f t="shared" ref="O187" si="58">O183-O185</f>
        <v>46363230</v>
      </c>
      <c r="P187" s="133">
        <f>P183-P185</f>
        <v>20375.400000000005</v>
      </c>
      <c r="Q187" s="109" t="s">
        <v>26</v>
      </c>
      <c r="T187" s="135">
        <f t="shared" ref="T187:U187" si="59">T183-T185</f>
        <v>0</v>
      </c>
      <c r="U187" s="136">
        <f t="shared" si="59"/>
        <v>0</v>
      </c>
      <c r="W187" s="167"/>
      <c r="X187" s="166"/>
      <c r="Y187" s="97" t="s">
        <v>39</v>
      </c>
      <c r="Z187" s="72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73"/>
    </row>
    <row r="188" spans="1:53" x14ac:dyDescent="0.25">
      <c r="A188" s="265"/>
      <c r="B188" s="127"/>
      <c r="C188" s="131"/>
      <c r="D188" s="138"/>
      <c r="E188" s="131"/>
      <c r="F188" s="131"/>
      <c r="G188" s="139"/>
      <c r="H188" s="139"/>
      <c r="I188" s="139"/>
      <c r="J188" s="139"/>
      <c r="K188" s="131"/>
      <c r="L188" s="131"/>
      <c r="M188" s="130"/>
      <c r="N188" s="131"/>
      <c r="O188" s="140"/>
      <c r="P188" s="175">
        <v>1.1875812547</v>
      </c>
      <c r="T188" s="142">
        <v>1.1875812547</v>
      </c>
      <c r="U188" s="143">
        <v>1.1875812547</v>
      </c>
      <c r="W188" s="137"/>
      <c r="X188" s="166"/>
      <c r="Y188" s="97"/>
      <c r="Z188" s="43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5"/>
    </row>
    <row r="189" spans="1:53" ht="16.5" thickBot="1" x14ac:dyDescent="0.3">
      <c r="A189" s="265"/>
      <c r="B189" s="127"/>
      <c r="C189" s="131"/>
      <c r="D189" s="128"/>
      <c r="E189" s="128"/>
      <c r="F189" s="131"/>
      <c r="G189" s="128"/>
      <c r="H189" s="128"/>
      <c r="I189" s="131"/>
      <c r="J189" s="128"/>
      <c r="K189" s="128"/>
      <c r="L189" s="131"/>
      <c r="M189" s="130"/>
      <c r="N189" s="131"/>
      <c r="O189" s="140"/>
      <c r="P189" s="144">
        <f>P187/P188</f>
        <v>17157.057607100007</v>
      </c>
      <c r="Q189" s="109" t="s">
        <v>22</v>
      </c>
      <c r="T189" s="145">
        <f>T183/T188</f>
        <v>0</v>
      </c>
      <c r="U189" s="146">
        <f>U183/U188</f>
        <v>0</v>
      </c>
      <c r="W189" s="137"/>
      <c r="X189" s="166"/>
      <c r="Y189" s="89" t="s">
        <v>38</v>
      </c>
      <c r="Z189" s="46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8"/>
    </row>
    <row r="190" spans="1:53" x14ac:dyDescent="0.25">
      <c r="A190" s="265"/>
      <c r="B190" s="127"/>
      <c r="C190" s="131"/>
      <c r="D190" s="128"/>
      <c r="E190" s="128"/>
      <c r="F190" s="131"/>
      <c r="G190" s="128"/>
      <c r="H190" s="128"/>
      <c r="I190" s="131"/>
      <c r="J190" s="128"/>
      <c r="K190" s="128"/>
      <c r="L190" s="131"/>
      <c r="M190" s="130"/>
      <c r="N190" s="131"/>
      <c r="O190" s="140"/>
      <c r="P190" s="109">
        <v>1.0933999999999999</v>
      </c>
      <c r="Q190" s="109" t="s">
        <v>24</v>
      </c>
      <c r="T190" s="147">
        <v>1.0933999999999999</v>
      </c>
      <c r="U190" s="148">
        <v>1.0933999999999999</v>
      </c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:53" ht="16.5" thickBot="1" x14ac:dyDescent="0.3">
      <c r="A191" s="265"/>
      <c r="B191" s="127" t="s">
        <v>74</v>
      </c>
      <c r="C191" s="131"/>
      <c r="D191" s="128">
        <f>D187-D189</f>
        <v>3910378.7187000001</v>
      </c>
      <c r="E191" s="128">
        <f>E187-E189</f>
        <v>4055523.5636999994</v>
      </c>
      <c r="F191" s="131"/>
      <c r="G191" s="128">
        <f t="shared" ref="G191:H191" si="60">G187-G189</f>
        <v>5023367.1705999998</v>
      </c>
      <c r="H191" s="128">
        <f t="shared" si="60"/>
        <v>5312732.1851999993</v>
      </c>
      <c r="I191" s="131"/>
      <c r="J191" s="128">
        <f t="shared" ref="J191:K191" si="61">J187-J189</f>
        <v>4964790.1517000012</v>
      </c>
      <c r="K191" s="128">
        <f t="shared" si="61"/>
        <v>5225390.4825000018</v>
      </c>
      <c r="L191" s="131"/>
      <c r="M191" s="130"/>
      <c r="N191" s="131"/>
      <c r="O191" s="140"/>
      <c r="P191" s="144">
        <f>P189*P190</f>
        <v>18759.526787603147</v>
      </c>
      <c r="Q191" s="109" t="s">
        <v>23</v>
      </c>
      <c r="T191" s="149">
        <f t="shared" ref="T191:U191" si="62">T189*T190</f>
        <v>0</v>
      </c>
      <c r="U191" s="150">
        <f t="shared" si="62"/>
        <v>0</v>
      </c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</row>
    <row r="192" spans="1:53" x14ac:dyDescent="0.25">
      <c r="A192" s="265"/>
      <c r="B192" s="127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40"/>
      <c r="Z192" s="2" t="s">
        <v>99</v>
      </c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1:40" ht="16.5" thickBot="1" x14ac:dyDescent="0.3">
      <c r="A193" s="265"/>
      <c r="B193" s="127" t="s">
        <v>16</v>
      </c>
      <c r="C193" s="131"/>
      <c r="D193" s="206">
        <v>63</v>
      </c>
      <c r="E193" s="206">
        <v>63</v>
      </c>
      <c r="F193" s="131"/>
      <c r="G193" s="131"/>
      <c r="H193" s="131"/>
      <c r="I193" s="131"/>
      <c r="J193" s="131"/>
      <c r="K193" s="131"/>
      <c r="L193" s="131"/>
      <c r="M193" s="179"/>
      <c r="N193" s="131"/>
      <c r="O193" s="140"/>
      <c r="P193" s="144">
        <f>S193*$P$45</f>
        <v>11550.791061914491</v>
      </c>
      <c r="Q193" s="153" t="s">
        <v>19</v>
      </c>
      <c r="S193" s="109">
        <v>0.64281481027750809</v>
      </c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1:40" x14ac:dyDescent="0.25">
      <c r="A194" s="265"/>
      <c r="B194" s="127"/>
      <c r="C194" s="131"/>
      <c r="D194" s="131"/>
      <c r="E194" s="131"/>
      <c r="F194" s="131"/>
      <c r="G194" s="131"/>
      <c r="H194" s="131"/>
      <c r="I194" s="131"/>
      <c r="J194" s="131"/>
      <c r="K194" s="131"/>
      <c r="L194" s="120"/>
      <c r="M194" s="151"/>
      <c r="N194" s="151"/>
      <c r="O194" s="152"/>
      <c r="P194" s="144">
        <f>S194*$P$45</f>
        <v>8568.8031733617481</v>
      </c>
      <c r="Q194" s="153" t="s">
        <v>20</v>
      </c>
      <c r="S194" s="109">
        <v>0.47686375389054009</v>
      </c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1:40" x14ac:dyDescent="0.25">
      <c r="A195" s="265"/>
      <c r="B195" s="127" t="s">
        <v>14</v>
      </c>
      <c r="C195" s="131"/>
      <c r="D195" s="165"/>
      <c r="E195" s="165"/>
      <c r="F195" s="131"/>
      <c r="G195" s="131"/>
      <c r="H195" s="131"/>
      <c r="I195" s="131"/>
      <c r="J195" s="131"/>
      <c r="K195" s="131"/>
      <c r="L195" s="127"/>
      <c r="M195" s="128"/>
      <c r="N195" s="128"/>
      <c r="O195" s="155"/>
      <c r="P195" s="144">
        <f>S195*$P$45</f>
        <v>11550.791061914491</v>
      </c>
      <c r="Q195" s="153" t="s">
        <v>21</v>
      </c>
      <c r="S195" s="109">
        <v>0.64281481027750809</v>
      </c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1:40" x14ac:dyDescent="0.25">
      <c r="A196" s="265"/>
      <c r="B196" s="127"/>
      <c r="C196" s="131"/>
      <c r="D196" s="131"/>
      <c r="E196" s="131"/>
      <c r="F196" s="131"/>
      <c r="G196" s="131"/>
      <c r="H196" s="131"/>
      <c r="I196" s="131"/>
      <c r="J196" s="131"/>
      <c r="K196" s="131"/>
      <c r="L196" s="156"/>
      <c r="M196" s="128"/>
      <c r="N196" s="128"/>
      <c r="O196" s="155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1:40" x14ac:dyDescent="0.25">
      <c r="A197" s="265"/>
      <c r="B197" s="127" t="s">
        <v>17</v>
      </c>
      <c r="C197" s="131"/>
      <c r="D197" s="131">
        <f>D193-D195</f>
        <v>63</v>
      </c>
      <c r="E197" s="131">
        <f>E193-E195</f>
        <v>63</v>
      </c>
      <c r="F197" s="131"/>
      <c r="G197" s="165"/>
      <c r="H197" s="131"/>
      <c r="I197" s="131"/>
      <c r="J197" s="165"/>
      <c r="K197" s="131"/>
      <c r="L197" s="127"/>
      <c r="M197" s="128"/>
      <c r="N197" s="128"/>
      <c r="O197" s="155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1:40" ht="16.5" thickBot="1" x14ac:dyDescent="0.3">
      <c r="A198" s="265"/>
      <c r="B198" s="157"/>
      <c r="C198" s="158"/>
      <c r="D198" s="158"/>
      <c r="E198" s="158"/>
      <c r="F198" s="158"/>
      <c r="G198" s="158"/>
      <c r="H198" s="158"/>
      <c r="I198" s="158"/>
      <c r="J198" s="158"/>
      <c r="K198" s="158"/>
      <c r="L198" s="157"/>
      <c r="M198" s="107"/>
      <c r="N198" s="107"/>
      <c r="O198" s="108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1:40" ht="16.5" thickBot="1" x14ac:dyDescent="0.3"/>
    <row r="200" spans="1:40" ht="16.5" thickBot="1" x14ac:dyDescent="0.3">
      <c r="A200" s="265" t="s">
        <v>77</v>
      </c>
      <c r="B200" s="120" t="s">
        <v>13</v>
      </c>
      <c r="C200" s="160"/>
      <c r="D200" s="121">
        <v>2412025.5721399998</v>
      </c>
      <c r="E200" s="121">
        <v>2500530.0811400008</v>
      </c>
      <c r="F200" s="161"/>
      <c r="G200" s="121">
        <v>2806129.3218199993</v>
      </c>
      <c r="H200" s="121">
        <v>2958233.5338199995</v>
      </c>
      <c r="I200" s="161"/>
      <c r="J200" s="121">
        <v>2877657.3686200003</v>
      </c>
      <c r="K200" s="121">
        <v>2996495.0298599997</v>
      </c>
      <c r="L200" s="162"/>
      <c r="M200" s="122">
        <v>7995.4666666666662</v>
      </c>
      <c r="N200" s="176"/>
      <c r="O200" s="163">
        <v>28603006</v>
      </c>
      <c r="P200" s="126">
        <v>11001.199999999999</v>
      </c>
      <c r="T200" s="123"/>
      <c r="U200" s="124"/>
      <c r="W200" s="125"/>
      <c r="X200" s="177"/>
      <c r="Y200" s="93" t="s">
        <v>42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5">
        <v>0</v>
      </c>
    </row>
    <row r="201" spans="1:40" ht="16.5" thickBot="1" x14ac:dyDescent="0.3">
      <c r="A201" s="265"/>
      <c r="B201" s="127"/>
      <c r="C201" s="131"/>
      <c r="D201" s="165"/>
      <c r="E201" s="165"/>
      <c r="F201" s="165"/>
      <c r="G201" s="165"/>
      <c r="H201" s="165"/>
      <c r="I201" s="165"/>
      <c r="J201" s="165"/>
      <c r="K201" s="165"/>
      <c r="L201" s="131"/>
      <c r="M201" s="165"/>
      <c r="N201" s="165"/>
      <c r="O201" s="177"/>
      <c r="W201" s="125"/>
      <c r="X201" s="177"/>
      <c r="Y201" s="97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7"/>
    </row>
    <row r="202" spans="1:40" x14ac:dyDescent="0.25">
      <c r="A202" s="265"/>
      <c r="B202" s="127" t="s">
        <v>14</v>
      </c>
      <c r="C202" s="131"/>
      <c r="D202" s="167"/>
      <c r="E202" s="167"/>
      <c r="F202" s="168"/>
      <c r="G202" s="167"/>
      <c r="H202" s="167"/>
      <c r="I202" s="168"/>
      <c r="J202" s="167"/>
      <c r="K202" s="167"/>
      <c r="L202" s="129">
        <v>6.1171273525054623E-2</v>
      </c>
      <c r="M202" s="164"/>
      <c r="N202" s="165"/>
      <c r="O202" s="166"/>
      <c r="P202" s="126"/>
      <c r="W202" s="169">
        <f>D204</f>
        <v>2412025.5721399998</v>
      </c>
      <c r="X202" s="166">
        <f>O204</f>
        <v>28603006</v>
      </c>
      <c r="Y202" s="97" t="s">
        <v>43</v>
      </c>
      <c r="Z202" s="35">
        <v>68934.3</v>
      </c>
      <c r="AA202" s="36">
        <v>68934.3</v>
      </c>
      <c r="AB202" s="36">
        <v>68934.3</v>
      </c>
      <c r="AC202" s="36">
        <v>24126.399999999994</v>
      </c>
      <c r="AD202" s="36">
        <v>44807.9</v>
      </c>
      <c r="AE202" s="36">
        <v>1661.45</v>
      </c>
      <c r="AF202" s="36">
        <v>1661.4500000000003</v>
      </c>
      <c r="AG202" s="36">
        <v>22583.474999999999</v>
      </c>
      <c r="AH202" s="36">
        <v>1440.2000000000005</v>
      </c>
      <c r="AI202" s="36">
        <v>221.25000000000009</v>
      </c>
      <c r="AJ202" s="36">
        <v>1661.4499999999998</v>
      </c>
      <c r="AK202" s="36">
        <v>1661.45</v>
      </c>
      <c r="AL202" s="36">
        <v>39263.699999999997</v>
      </c>
      <c r="AM202" s="36">
        <v>1440.2000000000005</v>
      </c>
      <c r="AN202" s="37">
        <v>221.25000000000006</v>
      </c>
    </row>
    <row r="203" spans="1:40" ht="18" customHeight="1" thickBot="1" x14ac:dyDescent="0.3">
      <c r="A203" s="265"/>
      <c r="B203" s="127"/>
      <c r="C203" s="131"/>
      <c r="D203" s="128"/>
      <c r="E203" s="128"/>
      <c r="F203" s="129"/>
      <c r="G203" s="128"/>
      <c r="H203" s="128"/>
      <c r="I203" s="134"/>
      <c r="J203" s="128"/>
      <c r="K203" s="128"/>
      <c r="L203" s="129"/>
      <c r="M203" s="130"/>
      <c r="N203" s="131"/>
      <c r="O203" s="178"/>
      <c r="P203" s="133"/>
      <c r="W203" s="165"/>
      <c r="X203" s="166"/>
      <c r="Y203" s="97"/>
      <c r="Z203" s="38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40"/>
    </row>
    <row r="204" spans="1:40" x14ac:dyDescent="0.25">
      <c r="A204" s="265"/>
      <c r="B204" s="127" t="s">
        <v>15</v>
      </c>
      <c r="C204" s="131"/>
      <c r="D204" s="128">
        <f>D200-D202</f>
        <v>2412025.5721399998</v>
      </c>
      <c r="E204" s="128">
        <f>E200-E202</f>
        <v>2500530.0811400008</v>
      </c>
      <c r="F204" s="129"/>
      <c r="G204" s="128">
        <f>G200-G202</f>
        <v>2806129.3218199993</v>
      </c>
      <c r="H204" s="128">
        <f>H200-H202</f>
        <v>2958233.5338199995</v>
      </c>
      <c r="I204" s="134"/>
      <c r="J204" s="128">
        <f>J200-J202</f>
        <v>2877657.3686200003</v>
      </c>
      <c r="K204" s="128">
        <f>K200-K202</f>
        <v>2996495.0298599997</v>
      </c>
      <c r="L204" s="129"/>
      <c r="M204" s="130">
        <f>M200-M202</f>
        <v>7995.4666666666662</v>
      </c>
      <c r="N204" s="131"/>
      <c r="O204" s="130">
        <f t="shared" ref="O204" si="63">O200-O202</f>
        <v>28603006</v>
      </c>
      <c r="P204" s="133">
        <f>P200-P202</f>
        <v>11001.199999999999</v>
      </c>
      <c r="Q204" s="109" t="s">
        <v>26</v>
      </c>
      <c r="T204" s="135">
        <f t="shared" ref="T204:U204" si="64">T200-T202</f>
        <v>0</v>
      </c>
      <c r="U204" s="136">
        <f t="shared" si="64"/>
        <v>0</v>
      </c>
      <c r="W204" s="167"/>
      <c r="X204" s="166"/>
      <c r="Y204" s="97" t="s">
        <v>39</v>
      </c>
      <c r="Z204" s="72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73"/>
    </row>
    <row r="205" spans="1:40" x14ac:dyDescent="0.25">
      <c r="A205" s="265"/>
      <c r="B205" s="127"/>
      <c r="C205" s="131"/>
      <c r="D205" s="138"/>
      <c r="E205" s="131"/>
      <c r="F205" s="131"/>
      <c r="G205" s="139"/>
      <c r="H205" s="139"/>
      <c r="I205" s="139"/>
      <c r="J205" s="139"/>
      <c r="K205" s="131"/>
      <c r="L205" s="131"/>
      <c r="M205" s="130"/>
      <c r="N205" s="131"/>
      <c r="O205" s="140"/>
      <c r="P205" s="175">
        <v>1.1875812547</v>
      </c>
      <c r="T205" s="142">
        <v>1.1875812547</v>
      </c>
      <c r="U205" s="143">
        <v>1.1875812547</v>
      </c>
      <c r="W205" s="137"/>
      <c r="X205" s="166"/>
      <c r="Y205" s="97"/>
      <c r="Z205" s="43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5"/>
    </row>
    <row r="206" spans="1:40" ht="16.5" thickBot="1" x14ac:dyDescent="0.3">
      <c r="A206" s="265"/>
      <c r="B206" s="127"/>
      <c r="C206" s="131"/>
      <c r="D206" s="128"/>
      <c r="E206" s="128"/>
      <c r="F206" s="131"/>
      <c r="G206" s="128"/>
      <c r="H206" s="128"/>
      <c r="I206" s="131"/>
      <c r="J206" s="128"/>
      <c r="K206" s="128"/>
      <c r="L206" s="131"/>
      <c r="M206" s="130"/>
      <c r="N206" s="131"/>
      <c r="O206" s="140"/>
      <c r="P206" s="144">
        <f>P204/P205</f>
        <v>9263.534563602605</v>
      </c>
      <c r="Q206" s="109" t="s">
        <v>22</v>
      </c>
      <c r="T206" s="145">
        <f>T200/T205</f>
        <v>0</v>
      </c>
      <c r="U206" s="146">
        <f>U200/U205</f>
        <v>0</v>
      </c>
      <c r="W206" s="137"/>
      <c r="X206" s="166"/>
      <c r="Y206" s="89" t="s">
        <v>38</v>
      </c>
      <c r="Z206" s="46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8"/>
    </row>
    <row r="207" spans="1:40" x14ac:dyDescent="0.25">
      <c r="A207" s="265"/>
      <c r="B207" s="127"/>
      <c r="C207" s="131"/>
      <c r="D207" s="128"/>
      <c r="E207" s="128"/>
      <c r="F207" s="131"/>
      <c r="G207" s="128"/>
      <c r="H207" s="128"/>
      <c r="I207" s="131"/>
      <c r="J207" s="128"/>
      <c r="K207" s="128"/>
      <c r="L207" s="131"/>
      <c r="M207" s="130"/>
      <c r="N207" s="131"/>
      <c r="O207" s="140"/>
      <c r="P207" s="109">
        <v>1.0933999999999999</v>
      </c>
      <c r="Q207" s="109" t="s">
        <v>24</v>
      </c>
      <c r="T207" s="147">
        <v>1.0933999999999999</v>
      </c>
      <c r="U207" s="148">
        <v>1.0933999999999999</v>
      </c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1:40" ht="16.5" thickBot="1" x14ac:dyDescent="0.3">
      <c r="A208" s="265"/>
      <c r="B208" s="127" t="s">
        <v>74</v>
      </c>
      <c r="C208" s="131"/>
      <c r="D208" s="128">
        <f>D204-D206</f>
        <v>2412025.5721399998</v>
      </c>
      <c r="E208" s="128">
        <f>E204-E206</f>
        <v>2500530.0811400008</v>
      </c>
      <c r="F208" s="131"/>
      <c r="G208" s="128">
        <f t="shared" ref="G208:H208" si="65">G204-G206</f>
        <v>2806129.3218199993</v>
      </c>
      <c r="H208" s="128">
        <f t="shared" si="65"/>
        <v>2958233.5338199995</v>
      </c>
      <c r="I208" s="131"/>
      <c r="J208" s="128">
        <f t="shared" ref="J208:K208" si="66">J204-J206</f>
        <v>2877657.3686200003</v>
      </c>
      <c r="K208" s="128">
        <f t="shared" si="66"/>
        <v>2996495.0298599997</v>
      </c>
      <c r="L208" s="131"/>
      <c r="M208" s="130"/>
      <c r="N208" s="131"/>
      <c r="O208" s="140"/>
      <c r="P208" s="144">
        <f>P206*P207</f>
        <v>10128.748691843088</v>
      </c>
      <c r="Q208" s="109" t="s">
        <v>23</v>
      </c>
      <c r="T208" s="149">
        <f t="shared" ref="T208:U208" si="67">T206*T207</f>
        <v>0</v>
      </c>
      <c r="U208" s="150">
        <f t="shared" si="67"/>
        <v>0</v>
      </c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</row>
    <row r="209" spans="1:40" x14ac:dyDescent="0.25">
      <c r="A209" s="265"/>
      <c r="B209" s="127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40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1:40" ht="16.5" thickBot="1" x14ac:dyDescent="0.3">
      <c r="A210" s="265"/>
      <c r="B210" s="127" t="s">
        <v>16</v>
      </c>
      <c r="C210" s="131"/>
      <c r="D210" s="165">
        <v>38</v>
      </c>
      <c r="E210" s="165"/>
      <c r="F210" s="131"/>
      <c r="G210" s="131"/>
      <c r="H210" s="131"/>
      <c r="I210" s="131"/>
      <c r="J210" s="131"/>
      <c r="K210" s="131"/>
      <c r="L210" s="131"/>
      <c r="M210" s="179"/>
      <c r="N210" s="131"/>
      <c r="O210" s="140"/>
      <c r="P210" s="144">
        <f>S210*$P$45</f>
        <v>11550.791061914491</v>
      </c>
      <c r="Q210" s="153" t="s">
        <v>19</v>
      </c>
      <c r="S210" s="109">
        <v>0.64281481027750809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1:40" x14ac:dyDescent="0.25">
      <c r="A211" s="265"/>
      <c r="B211" s="127"/>
      <c r="C211" s="131"/>
      <c r="D211" s="131"/>
      <c r="E211" s="131"/>
      <c r="F211" s="131"/>
      <c r="G211" s="131"/>
      <c r="H211" s="131"/>
      <c r="I211" s="131"/>
      <c r="J211" s="131"/>
      <c r="K211" s="131"/>
      <c r="L211" s="120"/>
      <c r="M211" s="151"/>
      <c r="N211" s="151"/>
      <c r="O211" s="152"/>
      <c r="P211" s="144">
        <f>S211*$P$45</f>
        <v>8568.8031733617481</v>
      </c>
      <c r="Q211" s="153" t="s">
        <v>20</v>
      </c>
      <c r="S211" s="109">
        <v>0.47686375389054009</v>
      </c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1:40" x14ac:dyDescent="0.25">
      <c r="A212" s="265"/>
      <c r="B212" s="127" t="s">
        <v>14</v>
      </c>
      <c r="C212" s="131"/>
      <c r="D212" s="165"/>
      <c r="E212" s="165"/>
      <c r="F212" s="131"/>
      <c r="G212" s="131"/>
      <c r="H212" s="131"/>
      <c r="I212" s="131"/>
      <c r="J212" s="131"/>
      <c r="K212" s="131"/>
      <c r="L212" s="127"/>
      <c r="M212" s="128"/>
      <c r="N212" s="128"/>
      <c r="O212" s="155"/>
      <c r="P212" s="144">
        <f>S212*$P$45</f>
        <v>11550.791061914491</v>
      </c>
      <c r="Q212" s="153" t="s">
        <v>21</v>
      </c>
      <c r="S212" s="109">
        <v>0.64281481027750809</v>
      </c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1:40" x14ac:dyDescent="0.25">
      <c r="A213" s="265"/>
      <c r="B213" s="127"/>
      <c r="C213" s="131"/>
      <c r="D213" s="131"/>
      <c r="E213" s="131"/>
      <c r="F213" s="131"/>
      <c r="G213" s="131"/>
      <c r="H213" s="131"/>
      <c r="I213" s="131"/>
      <c r="J213" s="131"/>
      <c r="K213" s="131"/>
      <c r="L213" s="156"/>
      <c r="M213" s="128"/>
      <c r="N213" s="128"/>
      <c r="O213" s="155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1:40" x14ac:dyDescent="0.25">
      <c r="A214" s="265"/>
      <c r="B214" s="127" t="s">
        <v>17</v>
      </c>
      <c r="C214" s="131"/>
      <c r="D214" s="131">
        <f>D210-D212</f>
        <v>38</v>
      </c>
      <c r="E214" s="131">
        <f>E210-E212</f>
        <v>0</v>
      </c>
      <c r="F214" s="131"/>
      <c r="G214" s="165"/>
      <c r="H214" s="131"/>
      <c r="I214" s="131"/>
      <c r="J214" s="165"/>
      <c r="K214" s="131"/>
      <c r="L214" s="127"/>
      <c r="M214" s="128"/>
      <c r="N214" s="128"/>
      <c r="O214" s="155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1:40" ht="16.5" thickBot="1" x14ac:dyDescent="0.3">
      <c r="A215" s="265"/>
      <c r="B215" s="157"/>
      <c r="C215" s="158"/>
      <c r="D215" s="158"/>
      <c r="E215" s="158"/>
      <c r="F215" s="158"/>
      <c r="G215" s="158"/>
      <c r="H215" s="158"/>
      <c r="I215" s="158"/>
      <c r="J215" s="158"/>
      <c r="K215" s="158"/>
      <c r="L215" s="157"/>
      <c r="M215" s="107"/>
      <c r="N215" s="107"/>
      <c r="O215" s="108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1:40" ht="16.5" thickBot="1" x14ac:dyDescent="0.3"/>
    <row r="217" spans="1:40" ht="16.5" thickBot="1" x14ac:dyDescent="0.3">
      <c r="B217" s="120" t="s">
        <v>13</v>
      </c>
      <c r="C217" s="160"/>
      <c r="D217" s="151">
        <f>D90+D183+D200</f>
        <v>8233960.5546700004</v>
      </c>
      <c r="E217" s="151">
        <f>E90+E183+E200</f>
        <v>8525699.2191700004</v>
      </c>
      <c r="F217" s="162">
        <f>(E217-D217)/D217</f>
        <v>3.54311467200965E-2</v>
      </c>
      <c r="G217" s="151">
        <f>G90+G183+G200</f>
        <v>9944583.6717199981</v>
      </c>
      <c r="H217" s="151">
        <f>H90+H183+H200</f>
        <v>10497874.418319998</v>
      </c>
      <c r="I217" s="162">
        <f>(H217-G217)/G217</f>
        <v>5.5637396683928142E-2</v>
      </c>
      <c r="J217" s="151">
        <f>J90+J183+J200</f>
        <v>9904447.5451200027</v>
      </c>
      <c r="K217" s="151">
        <f>K90+K183+K200</f>
        <v>10399501.067760002</v>
      </c>
      <c r="L217" s="162">
        <f>(K217-J217)/J217</f>
        <v>4.9982951637107295E-2</v>
      </c>
      <c r="M217" s="182">
        <f>M90+M183+M200</f>
        <v>94380.290833333318</v>
      </c>
      <c r="N217" s="182"/>
      <c r="O217" s="182">
        <f>O90+O183+O200</f>
        <v>97692443</v>
      </c>
      <c r="P217" s="182">
        <f>P90+P183+P200</f>
        <v>38950</v>
      </c>
      <c r="Q217" s="109" t="s">
        <v>18</v>
      </c>
      <c r="T217" s="183">
        <f>T127+T143+T183+T200</f>
        <v>0</v>
      </c>
      <c r="U217" s="124">
        <f>U127+U143+U183+U200</f>
        <v>0</v>
      </c>
      <c r="V217" s="255" t="s">
        <v>27</v>
      </c>
      <c r="W217" s="183">
        <f>W127+W143+W183+W200</f>
        <v>0</v>
      </c>
      <c r="X217" s="183">
        <f>X127+X143+X183+X200</f>
        <v>0</v>
      </c>
      <c r="Y217" s="93" t="s">
        <v>42</v>
      </c>
      <c r="Z217" s="3">
        <f>Z183+Z200</f>
        <v>0</v>
      </c>
      <c r="AA217" s="3">
        <f t="shared" ref="AA217:AN217" si="68">AA183+AA200</f>
        <v>0</v>
      </c>
      <c r="AB217" s="3">
        <f t="shared" si="68"/>
        <v>0</v>
      </c>
      <c r="AC217" s="3">
        <f t="shared" si="68"/>
        <v>0</v>
      </c>
      <c r="AD217" s="3">
        <f t="shared" si="68"/>
        <v>0</v>
      </c>
      <c r="AE217" s="3">
        <f t="shared" si="68"/>
        <v>0</v>
      </c>
      <c r="AF217" s="3">
        <f t="shared" si="68"/>
        <v>0</v>
      </c>
      <c r="AG217" s="3">
        <f t="shared" si="68"/>
        <v>0</v>
      </c>
      <c r="AH217" s="3">
        <f t="shared" si="68"/>
        <v>0</v>
      </c>
      <c r="AI217" s="3">
        <f t="shared" si="68"/>
        <v>0</v>
      </c>
      <c r="AJ217" s="3">
        <f t="shared" si="68"/>
        <v>0</v>
      </c>
      <c r="AK217" s="3">
        <f t="shared" si="68"/>
        <v>0</v>
      </c>
      <c r="AL217" s="3">
        <f t="shared" si="68"/>
        <v>0</v>
      </c>
      <c r="AM217" s="3">
        <f t="shared" si="68"/>
        <v>0</v>
      </c>
      <c r="AN217" s="3">
        <f t="shared" si="68"/>
        <v>0</v>
      </c>
    </row>
    <row r="218" spans="1:40" ht="16.5" thickBot="1" x14ac:dyDescent="0.3">
      <c r="B218" s="127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40"/>
      <c r="P218" s="131"/>
      <c r="V218" s="255"/>
      <c r="W218" s="184"/>
      <c r="X218" s="132"/>
      <c r="Y218" s="97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</row>
    <row r="219" spans="1:40" ht="16.5" thickBot="1" x14ac:dyDescent="0.3">
      <c r="B219" s="127" t="s">
        <v>14</v>
      </c>
      <c r="C219" s="131"/>
      <c r="D219" s="128">
        <f>D185+D202</f>
        <v>0</v>
      </c>
      <c r="E219" s="128">
        <f>E185+E202</f>
        <v>0</v>
      </c>
      <c r="F219" s="129" t="e">
        <f>(E219-D219)/D219</f>
        <v>#DIV/0!</v>
      </c>
      <c r="G219" s="128">
        <f>G185+G202</f>
        <v>0</v>
      </c>
      <c r="H219" s="128">
        <f>H185+H202</f>
        <v>0</v>
      </c>
      <c r="I219" s="129" t="e">
        <f>(H219-G219)/G219</f>
        <v>#DIV/0!</v>
      </c>
      <c r="J219" s="128">
        <f>J185+J202</f>
        <v>0</v>
      </c>
      <c r="K219" s="128">
        <f>K185+K202</f>
        <v>0</v>
      </c>
      <c r="L219" s="129" t="e">
        <f>(K219-J219)/J219</f>
        <v>#DIV/0!</v>
      </c>
      <c r="M219" s="130">
        <f>M129+M145+M185+M202</f>
        <v>0</v>
      </c>
      <c r="N219" s="131"/>
      <c r="O219" s="132">
        <f>O129+O145+O185+O202</f>
        <v>0</v>
      </c>
      <c r="P219" s="130">
        <f>P129+P145+P185+P202</f>
        <v>0</v>
      </c>
      <c r="W219" s="183">
        <f>W90+W185+W202</f>
        <v>8233960.2194400001</v>
      </c>
      <c r="X219" s="183">
        <f>X90+X185+X202</f>
        <v>97692443</v>
      </c>
      <c r="Y219" s="97" t="s">
        <v>43</v>
      </c>
      <c r="Z219" s="67">
        <f t="shared" ref="Z219:AN219" si="69">Z90+Z185+Z202</f>
        <v>325405.15000000002</v>
      </c>
      <c r="AA219" s="67">
        <f t="shared" si="69"/>
        <v>325405.15000000002</v>
      </c>
      <c r="AB219" s="67">
        <f t="shared" si="69"/>
        <v>322210.27</v>
      </c>
      <c r="AC219" s="67">
        <f t="shared" si="69"/>
        <v>121846.04999999997</v>
      </c>
      <c r="AD219" s="67">
        <f t="shared" si="69"/>
        <v>203559.09999999998</v>
      </c>
      <c r="AE219" s="67">
        <f t="shared" si="69"/>
        <v>6018.31</v>
      </c>
      <c r="AF219" s="67">
        <f t="shared" si="69"/>
        <v>6018.3100000000013</v>
      </c>
      <c r="AG219" s="67">
        <f t="shared" si="69"/>
        <v>86435.655000000013</v>
      </c>
      <c r="AH219" s="67">
        <f t="shared" si="69"/>
        <v>4500.6600000000008</v>
      </c>
      <c r="AI219" s="67">
        <f t="shared" si="69"/>
        <v>1517.6500000000003</v>
      </c>
      <c r="AJ219" s="67">
        <f t="shared" si="69"/>
        <v>6018.3099999999995</v>
      </c>
      <c r="AK219" s="67">
        <f t="shared" si="69"/>
        <v>6018.31</v>
      </c>
      <c r="AL219" s="67">
        <f t="shared" si="69"/>
        <v>150119.33000000002</v>
      </c>
      <c r="AM219" s="67">
        <f t="shared" si="69"/>
        <v>4500.6600000000008</v>
      </c>
      <c r="AN219" s="67">
        <f t="shared" si="69"/>
        <v>1517.6500000000003</v>
      </c>
    </row>
    <row r="220" spans="1:40" ht="16.5" thickBot="1" x14ac:dyDescent="0.3">
      <c r="B220" s="127"/>
      <c r="C220" s="131"/>
      <c r="D220" s="128"/>
      <c r="E220" s="128"/>
      <c r="F220" s="129"/>
      <c r="G220" s="128"/>
      <c r="H220" s="128"/>
      <c r="I220" s="134"/>
      <c r="J220" s="128"/>
      <c r="K220" s="128"/>
      <c r="L220" s="129"/>
      <c r="M220" s="130"/>
      <c r="N220" s="131"/>
      <c r="O220" s="132">
        <f t="shared" ref="O220" si="70">O216-O218</f>
        <v>0</v>
      </c>
      <c r="P220" s="207"/>
      <c r="W220" s="131"/>
      <c r="X220" s="132"/>
      <c r="Y220" s="97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1:40" ht="16.5" thickBot="1" x14ac:dyDescent="0.3">
      <c r="B221" s="127" t="s">
        <v>15</v>
      </c>
      <c r="C221" s="131"/>
      <c r="D221" s="128">
        <f>D217-D219</f>
        <v>8233960.5546700004</v>
      </c>
      <c r="E221" s="128">
        <f>E217-E219</f>
        <v>8525699.2191700004</v>
      </c>
      <c r="F221" s="129">
        <f>(E221-D221)/D221</f>
        <v>3.54311467200965E-2</v>
      </c>
      <c r="G221" s="128">
        <f>G217-G219</f>
        <v>9944583.6717199981</v>
      </c>
      <c r="H221" s="128">
        <f>H217-H219</f>
        <v>10497874.418319998</v>
      </c>
      <c r="I221" s="129">
        <f>(H221-G221)/G221</f>
        <v>5.5637396683928142E-2</v>
      </c>
      <c r="J221" s="128">
        <f>J217-J219</f>
        <v>9904447.5451200027</v>
      </c>
      <c r="K221" s="128">
        <f>K217-K219</f>
        <v>10399501.067760002</v>
      </c>
      <c r="L221" s="129">
        <f>(K221-J221)/J221</f>
        <v>4.9982951637107295E-2</v>
      </c>
      <c r="M221" s="130">
        <f>M217-M219</f>
        <v>94380.290833333318</v>
      </c>
      <c r="N221" s="131"/>
      <c r="O221" s="123">
        <f>O217-O219</f>
        <v>97692443</v>
      </c>
      <c r="P221" s="124">
        <f>P217-P219</f>
        <v>38950</v>
      </c>
      <c r="Q221" s="109" t="s">
        <v>26</v>
      </c>
      <c r="T221" s="123">
        <f t="shared" ref="T221:U221" si="71">T217-T219</f>
        <v>0</v>
      </c>
      <c r="U221" s="123">
        <f t="shared" si="71"/>
        <v>0</v>
      </c>
      <c r="V221" s="133">
        <v>56694</v>
      </c>
      <c r="W221" s="183">
        <f>W131+W147+W187+W204</f>
        <v>0</v>
      </c>
      <c r="X221" s="183">
        <f>X131+X147+X187+X204</f>
        <v>0</v>
      </c>
      <c r="Y221" s="97" t="s">
        <v>39</v>
      </c>
      <c r="Z221" s="4">
        <f>Z187+Z204</f>
        <v>0</v>
      </c>
      <c r="AA221" s="4">
        <f t="shared" ref="AA221:AN221" si="72">AA187+AA204</f>
        <v>0</v>
      </c>
      <c r="AB221" s="4">
        <f t="shared" si="72"/>
        <v>0</v>
      </c>
      <c r="AC221" s="4">
        <f t="shared" si="72"/>
        <v>0</v>
      </c>
      <c r="AD221" s="4">
        <f t="shared" si="72"/>
        <v>0</v>
      </c>
      <c r="AE221" s="4">
        <f t="shared" si="72"/>
        <v>0</v>
      </c>
      <c r="AF221" s="4">
        <f t="shared" si="72"/>
        <v>0</v>
      </c>
      <c r="AG221" s="4">
        <f t="shared" si="72"/>
        <v>0</v>
      </c>
      <c r="AH221" s="4">
        <f t="shared" si="72"/>
        <v>0</v>
      </c>
      <c r="AI221" s="4">
        <f t="shared" si="72"/>
        <v>0</v>
      </c>
      <c r="AJ221" s="4">
        <f t="shared" si="72"/>
        <v>0</v>
      </c>
      <c r="AK221" s="4">
        <f t="shared" si="72"/>
        <v>0</v>
      </c>
      <c r="AL221" s="4">
        <f t="shared" si="72"/>
        <v>0</v>
      </c>
      <c r="AM221" s="4">
        <f t="shared" si="72"/>
        <v>0</v>
      </c>
      <c r="AN221" s="4">
        <f t="shared" si="72"/>
        <v>0</v>
      </c>
    </row>
    <row r="222" spans="1:40" ht="16.5" thickBot="1" x14ac:dyDescent="0.3">
      <c r="B222" s="127"/>
      <c r="C222" s="131"/>
      <c r="D222" s="138"/>
      <c r="E222" s="131"/>
      <c r="F222" s="131"/>
      <c r="G222" s="139" t="s">
        <v>75</v>
      </c>
      <c r="H222" s="139"/>
      <c r="I222" s="139"/>
      <c r="J222" s="139"/>
      <c r="K222" s="131"/>
      <c r="L222" s="131"/>
      <c r="M222" s="130"/>
      <c r="N222" s="131"/>
      <c r="O222" s="140"/>
      <c r="P222" s="208">
        <v>1.1875812547</v>
      </c>
      <c r="T222" s="187">
        <v>1.1875812547</v>
      </c>
      <c r="U222" s="188">
        <v>1.1875812547</v>
      </c>
      <c r="V222" s="175">
        <v>1.1875812547</v>
      </c>
      <c r="W222" s="189"/>
      <c r="X222" s="132"/>
      <c r="Y222" s="97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</row>
    <row r="223" spans="1:40" ht="16.5" thickBot="1" x14ac:dyDescent="0.3">
      <c r="B223" s="127"/>
      <c r="C223" s="131"/>
      <c r="D223" s="128"/>
      <c r="E223" s="128"/>
      <c r="F223" s="131"/>
      <c r="G223" s="128"/>
      <c r="H223" s="128"/>
      <c r="I223" s="131"/>
      <c r="J223" s="128"/>
      <c r="K223" s="128"/>
      <c r="L223" s="131"/>
      <c r="M223" s="130"/>
      <c r="N223" s="131"/>
      <c r="O223" s="140"/>
      <c r="P223" s="100">
        <f>P221/P222</f>
        <v>32797.75581321324</v>
      </c>
      <c r="Q223" s="109" t="s">
        <v>22</v>
      </c>
      <c r="T223" s="190">
        <f t="shared" ref="T223:U223" si="73">T221/T222</f>
        <v>0</v>
      </c>
      <c r="U223" s="209">
        <f t="shared" si="73"/>
        <v>0</v>
      </c>
      <c r="V223" s="133">
        <f>V221/V222</f>
        <v>47739.049244526614</v>
      </c>
      <c r="W223" s="183">
        <f>W133+W149+W189+W206</f>
        <v>0</v>
      </c>
      <c r="X223" s="183">
        <f>X133+X149+X189+X206</f>
        <v>0</v>
      </c>
      <c r="Y223" s="89" t="s">
        <v>38</v>
      </c>
      <c r="Z223" s="68">
        <f>Z189+Z206</f>
        <v>0</v>
      </c>
      <c r="AA223" s="68">
        <f t="shared" ref="AA223:AN223" si="74">AA189+AA206</f>
        <v>0</v>
      </c>
      <c r="AB223" s="68">
        <f t="shared" si="74"/>
        <v>0</v>
      </c>
      <c r="AC223" s="68">
        <f t="shared" si="74"/>
        <v>0</v>
      </c>
      <c r="AD223" s="68">
        <f t="shared" si="74"/>
        <v>0</v>
      </c>
      <c r="AE223" s="68">
        <f t="shared" si="74"/>
        <v>0</v>
      </c>
      <c r="AF223" s="68">
        <f t="shared" si="74"/>
        <v>0</v>
      </c>
      <c r="AG223" s="68">
        <f t="shared" si="74"/>
        <v>0</v>
      </c>
      <c r="AH223" s="68">
        <f t="shared" si="74"/>
        <v>0</v>
      </c>
      <c r="AI223" s="68">
        <f t="shared" si="74"/>
        <v>0</v>
      </c>
      <c r="AJ223" s="68">
        <f t="shared" si="74"/>
        <v>0</v>
      </c>
      <c r="AK223" s="68">
        <f t="shared" si="74"/>
        <v>0</v>
      </c>
      <c r="AL223" s="68">
        <f t="shared" si="74"/>
        <v>0</v>
      </c>
      <c r="AM223" s="68">
        <f t="shared" si="74"/>
        <v>0</v>
      </c>
      <c r="AN223" s="68">
        <f t="shared" si="74"/>
        <v>0</v>
      </c>
    </row>
    <row r="224" spans="1:40" ht="16.5" thickBot="1" x14ac:dyDescent="0.3">
      <c r="B224" s="127"/>
      <c r="C224" s="131"/>
      <c r="D224" s="128"/>
      <c r="E224" s="128"/>
      <c r="F224" s="131"/>
      <c r="G224" s="128"/>
      <c r="H224" s="128"/>
      <c r="I224" s="131"/>
      <c r="J224" s="128"/>
      <c r="K224" s="128"/>
      <c r="L224" s="131"/>
      <c r="M224" s="130"/>
      <c r="N224" s="131"/>
      <c r="O224" s="140"/>
      <c r="P224" s="98">
        <v>1.0933999999999999</v>
      </c>
      <c r="Q224" s="109" t="s">
        <v>24</v>
      </c>
      <c r="T224" s="97">
        <v>1.0933999999999999</v>
      </c>
      <c r="U224" s="192">
        <v>1.0933999999999999</v>
      </c>
      <c r="V224" s="109">
        <v>1.0933999999999999</v>
      </c>
    </row>
    <row r="225" spans="2:37" ht="15.75" customHeight="1" thickBot="1" x14ac:dyDescent="0.3">
      <c r="B225" s="127" t="s">
        <v>74</v>
      </c>
      <c r="C225" s="131"/>
      <c r="D225" s="193">
        <f>D221-D223</f>
        <v>8233960.5546700004</v>
      </c>
      <c r="E225" s="128">
        <f>E221-E223</f>
        <v>8525699.2191700004</v>
      </c>
      <c r="F225" s="128">
        <f>E225-D225</f>
        <v>291738.66449999996</v>
      </c>
      <c r="G225" s="128">
        <f>G221-G223</f>
        <v>9944583.6717199981</v>
      </c>
      <c r="H225" s="128">
        <f>H221-H223</f>
        <v>10497874.418319998</v>
      </c>
      <c r="I225" s="131"/>
      <c r="J225" s="128">
        <f>J221-J223</f>
        <v>9904447.5451200027</v>
      </c>
      <c r="K225" s="128">
        <f>K221-K223</f>
        <v>10399501.067760002</v>
      </c>
      <c r="L225" s="131"/>
      <c r="M225" s="130"/>
      <c r="N225" s="131"/>
      <c r="O225" s="140"/>
      <c r="P225" s="210">
        <f>P223*P224</f>
        <v>35861.066206167357</v>
      </c>
      <c r="Q225" s="109" t="s">
        <v>23</v>
      </c>
      <c r="T225" s="194">
        <f t="shared" ref="T225:U225" si="75">T223*T224</f>
        <v>0</v>
      </c>
      <c r="U225" s="194">
        <f t="shared" si="75"/>
        <v>0</v>
      </c>
      <c r="V225" s="133">
        <f>V223*V224</f>
        <v>52197.876443965397</v>
      </c>
      <c r="Y225" s="203" t="s">
        <v>43</v>
      </c>
      <c r="Z225" s="63" t="s">
        <v>52</v>
      </c>
      <c r="AA225" s="32" t="s">
        <v>67</v>
      </c>
      <c r="AB225" s="32" t="s">
        <v>13</v>
      </c>
      <c r="AC225" s="32" t="s">
        <v>54</v>
      </c>
      <c r="AD225" s="32" t="s">
        <v>56</v>
      </c>
      <c r="AF225" s="49" t="s">
        <v>71</v>
      </c>
      <c r="AG225" s="49" t="s">
        <v>71</v>
      </c>
      <c r="AI225" s="64" t="s">
        <v>72</v>
      </c>
      <c r="AK225" s="74" t="s">
        <v>73</v>
      </c>
    </row>
    <row r="226" spans="2:37" ht="16.5" thickBot="1" x14ac:dyDescent="0.3">
      <c r="B226" s="127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40"/>
      <c r="P226" s="98"/>
      <c r="Y226" s="98"/>
      <c r="Z226" s="63"/>
      <c r="AA226" s="32" t="s">
        <v>68</v>
      </c>
      <c r="AB226" s="32" t="s">
        <v>53</v>
      </c>
      <c r="AC226" s="32" t="s">
        <v>55</v>
      </c>
      <c r="AD226" s="32" t="s">
        <v>47</v>
      </c>
      <c r="AF226" s="49" t="s">
        <v>55</v>
      </c>
      <c r="AG226" s="49" t="s">
        <v>47</v>
      </c>
      <c r="AI226" s="64"/>
      <c r="AK226" s="74" t="s">
        <v>72</v>
      </c>
    </row>
    <row r="227" spans="2:37" ht="16.5" thickBot="1" x14ac:dyDescent="0.3">
      <c r="B227" s="127" t="s">
        <v>16</v>
      </c>
      <c r="C227" s="131"/>
      <c r="D227" s="206">
        <f>D100+D193+D210</f>
        <v>121</v>
      </c>
      <c r="E227" s="206"/>
      <c r="F227" s="131"/>
      <c r="G227" s="131"/>
      <c r="H227" s="131"/>
      <c r="I227" s="131"/>
      <c r="J227" s="131"/>
      <c r="K227" s="131"/>
      <c r="L227" s="120"/>
      <c r="M227" s="151"/>
      <c r="N227" s="151"/>
      <c r="O227" s="152"/>
      <c r="P227" s="130">
        <f>P137+P153+P193</f>
        <v>11550.791061914491</v>
      </c>
      <c r="Q227" s="153" t="s">
        <v>19</v>
      </c>
      <c r="S227" s="109">
        <v>0.64281481027750809</v>
      </c>
      <c r="V227" s="133">
        <v>38354</v>
      </c>
      <c r="Y227" s="106"/>
      <c r="Z227" s="29"/>
      <c r="AA227" s="29"/>
      <c r="AB227" s="29"/>
      <c r="AC227" s="29"/>
      <c r="AD227" s="29"/>
    </row>
    <row r="228" spans="2:37" ht="16.5" thickBot="1" x14ac:dyDescent="0.3">
      <c r="B228" s="127"/>
      <c r="C228" s="131"/>
      <c r="D228" s="131"/>
      <c r="E228" s="131"/>
      <c r="F228" s="131"/>
      <c r="G228" s="131"/>
      <c r="H228" s="131"/>
      <c r="I228" s="131"/>
      <c r="J228" s="131"/>
      <c r="K228" s="131"/>
      <c r="L228" s="127"/>
      <c r="M228" s="128"/>
      <c r="N228" s="128"/>
      <c r="O228" s="155"/>
      <c r="P228" s="124">
        <f>P138+P154+P194</f>
        <v>8568.8031733617481</v>
      </c>
      <c r="Q228" s="153" t="s">
        <v>20</v>
      </c>
      <c r="S228" s="109">
        <v>0.47686375389054009</v>
      </c>
      <c r="V228" s="133">
        <v>24891</v>
      </c>
      <c r="Y228" s="93" t="s">
        <v>58</v>
      </c>
      <c r="Z228" s="26">
        <f>D227*12</f>
        <v>1452</v>
      </c>
      <c r="AA228" s="26"/>
      <c r="AB228" s="26"/>
      <c r="AC228" s="55">
        <v>40</v>
      </c>
      <c r="AD228" s="53">
        <f>$Z$228*AC228</f>
        <v>58080</v>
      </c>
      <c r="AF228" s="54">
        <f>AF162</f>
        <v>200</v>
      </c>
      <c r="AG228" s="53">
        <f>$Z$228*AF228</f>
        <v>290400</v>
      </c>
      <c r="AI228" s="56">
        <f>AG228-AD228</f>
        <v>232320</v>
      </c>
      <c r="AK228" s="59">
        <f t="shared" ref="AK228" si="76">AI228/AD228</f>
        <v>4</v>
      </c>
    </row>
    <row r="229" spans="2:37" ht="16.5" thickBot="1" x14ac:dyDescent="0.3">
      <c r="B229" s="127" t="s">
        <v>14</v>
      </c>
      <c r="C229" s="131"/>
      <c r="D229" s="131">
        <f>D195+D212</f>
        <v>0</v>
      </c>
      <c r="E229" s="131">
        <f>E195+E212</f>
        <v>0</v>
      </c>
      <c r="F229" s="131"/>
      <c r="G229" s="131"/>
      <c r="H229" s="131"/>
      <c r="I229" s="131"/>
      <c r="J229" s="131"/>
      <c r="K229" s="131"/>
      <c r="L229" s="156"/>
      <c r="M229" s="128"/>
      <c r="N229" s="128"/>
      <c r="O229" s="155"/>
      <c r="P229" s="130">
        <f>P139+P155+P195</f>
        <v>11550.791061914491</v>
      </c>
      <c r="Q229" s="153" t="s">
        <v>21</v>
      </c>
      <c r="S229" s="109">
        <v>0.64281481027750809</v>
      </c>
      <c r="V229" s="133">
        <v>33554</v>
      </c>
      <c r="Y229" s="97"/>
      <c r="Z229" s="8"/>
      <c r="AA229" s="8"/>
      <c r="AB229" s="8"/>
      <c r="AC229" s="33"/>
      <c r="AD229" s="28"/>
      <c r="AF229" s="76"/>
      <c r="AG229" s="28"/>
      <c r="AI229" s="57"/>
      <c r="AK229" s="60"/>
    </row>
    <row r="230" spans="2:37" x14ac:dyDescent="0.25">
      <c r="B230" s="127"/>
      <c r="C230" s="131"/>
      <c r="D230" s="131"/>
      <c r="E230" s="131"/>
      <c r="F230" s="131"/>
      <c r="G230" s="131"/>
      <c r="H230" s="131"/>
      <c r="I230" s="131"/>
      <c r="J230" s="131"/>
      <c r="K230" s="131"/>
      <c r="L230" s="127"/>
      <c r="M230" s="128"/>
      <c r="N230" s="128"/>
      <c r="O230" s="155"/>
      <c r="Q230" s="256" t="s">
        <v>28</v>
      </c>
      <c r="R230" s="198" t="s">
        <v>29</v>
      </c>
      <c r="Y230" s="97" t="s">
        <v>46</v>
      </c>
      <c r="Z230" s="8"/>
      <c r="AA230" s="8"/>
      <c r="AB230" s="22">
        <f>X219</f>
        <v>97692443</v>
      </c>
      <c r="AC230" s="34">
        <v>8.3690000000000001E-2</v>
      </c>
      <c r="AD230" s="28">
        <f>AB230*AC230</f>
        <v>8175880.5546700004</v>
      </c>
      <c r="AF230" s="76">
        <f t="shared" ref="AF230:AF240" si="77">AF164</f>
        <v>3.5209999999999998E-2</v>
      </c>
      <c r="AG230" s="28">
        <f>$AB$230*AF230</f>
        <v>3439750.9180299998</v>
      </c>
      <c r="AI230" s="57">
        <f t="shared" ref="AI230:AI242" si="78">AG230-AD230</f>
        <v>-4736129.6366400011</v>
      </c>
      <c r="AK230" s="60">
        <f t="shared" ref="AK230:AK242" si="79">AI230/AD230</f>
        <v>-0.57928067869518474</v>
      </c>
    </row>
    <row r="231" spans="2:37" ht="16.5" thickBot="1" x14ac:dyDescent="0.3">
      <c r="B231" s="211"/>
      <c r="C231" s="158"/>
      <c r="D231" s="158">
        <f>D227-D229</f>
        <v>121</v>
      </c>
      <c r="E231" s="158">
        <f>E227-E229</f>
        <v>0</v>
      </c>
      <c r="F231" s="158"/>
      <c r="G231" s="158">
        <f>G141+G157+G197+G214</f>
        <v>0</v>
      </c>
      <c r="H231" s="158"/>
      <c r="I231" s="158"/>
      <c r="J231" s="158">
        <f>J141+J157+J197+J214</f>
        <v>0</v>
      </c>
      <c r="K231" s="158"/>
      <c r="L231" s="157"/>
      <c r="M231" s="107"/>
      <c r="N231" s="107"/>
      <c r="O231" s="108"/>
      <c r="Q231" s="256"/>
      <c r="R231" s="199">
        <f>P228/V228*V231</f>
        <v>110.5052355730634</v>
      </c>
      <c r="V231" s="133">
        <v>321</v>
      </c>
      <c r="Y231" s="97"/>
      <c r="Z231" s="8"/>
      <c r="AA231" s="8"/>
      <c r="AB231" s="8"/>
      <c r="AC231" s="8"/>
      <c r="AD231" s="23"/>
      <c r="AF231" s="76"/>
      <c r="AG231" s="23"/>
      <c r="AI231" s="57"/>
      <c r="AK231" s="60"/>
    </row>
    <row r="232" spans="2:37" x14ac:dyDescent="0.25">
      <c r="B232" s="212"/>
      <c r="D232" s="171"/>
      <c r="E232" s="171"/>
      <c r="F232" s="171"/>
      <c r="G232" s="171"/>
      <c r="H232" s="171"/>
      <c r="I232" s="171"/>
      <c r="J232" s="171"/>
      <c r="K232" s="171"/>
      <c r="W232" s="171">
        <f>X232-AD242</f>
        <v>-0.33523000031709671</v>
      </c>
      <c r="X232" s="171">
        <f>W219</f>
        <v>8233960.2194400001</v>
      </c>
      <c r="Y232" s="97" t="s">
        <v>61</v>
      </c>
      <c r="Z232" s="8"/>
      <c r="AA232" s="22">
        <f>AB219</f>
        <v>322210.27</v>
      </c>
      <c r="AB232" s="8"/>
      <c r="AC232" s="8"/>
      <c r="AD232" s="7"/>
      <c r="AF232" s="76">
        <f t="shared" si="77"/>
        <v>5.2</v>
      </c>
      <c r="AG232" s="7">
        <f>AA232*AF232</f>
        <v>1675493.4040000001</v>
      </c>
      <c r="AH232" s="1"/>
      <c r="AI232" s="57">
        <f t="shared" si="78"/>
        <v>1675493.4040000001</v>
      </c>
      <c r="AK232" s="60" t="e">
        <f t="shared" si="79"/>
        <v>#DIV/0!</v>
      </c>
    </row>
    <row r="233" spans="2:37" x14ac:dyDescent="0.25">
      <c r="B233" s="180"/>
      <c r="Y233" s="97" t="s">
        <v>69</v>
      </c>
      <c r="Z233" s="8"/>
      <c r="AA233" s="22">
        <f>AG219</f>
        <v>86435.655000000013</v>
      </c>
      <c r="AB233" s="8"/>
      <c r="AC233" s="8"/>
      <c r="AD233" s="23"/>
      <c r="AF233" s="76">
        <f t="shared" si="77"/>
        <v>5.2</v>
      </c>
      <c r="AG233" s="7">
        <f>AA233*AF233</f>
        <v>449465.40600000008</v>
      </c>
      <c r="AI233" s="57">
        <f t="shared" si="78"/>
        <v>449465.40600000008</v>
      </c>
      <c r="AK233" s="60" t="e">
        <f t="shared" si="79"/>
        <v>#DIV/0!</v>
      </c>
    </row>
    <row r="234" spans="2:37" x14ac:dyDescent="0.25">
      <c r="B234" s="180"/>
      <c r="Y234" s="97" t="s">
        <v>70</v>
      </c>
      <c r="Z234" s="8"/>
      <c r="AA234" s="8"/>
      <c r="AB234" s="8"/>
      <c r="AC234" s="8"/>
      <c r="AD234" s="23"/>
      <c r="AF234" s="76"/>
      <c r="AG234" s="7"/>
      <c r="AI234" s="57"/>
      <c r="AK234" s="60"/>
    </row>
    <row r="235" spans="2:37" x14ac:dyDescent="0.25">
      <c r="B235" s="180"/>
      <c r="G235" s="171"/>
      <c r="Y235" s="97"/>
      <c r="Z235" s="8"/>
      <c r="AA235" s="8"/>
      <c r="AB235" s="8"/>
      <c r="AC235" s="8"/>
      <c r="AD235" s="23"/>
      <c r="AF235" s="76"/>
      <c r="AG235" s="7"/>
      <c r="AI235" s="57"/>
      <c r="AK235" s="60"/>
    </row>
    <row r="236" spans="2:37" x14ac:dyDescent="0.25">
      <c r="B236" s="180"/>
      <c r="Y236" s="97" t="s">
        <v>66</v>
      </c>
      <c r="Z236" s="8"/>
      <c r="AA236" s="22">
        <f>AA219</f>
        <v>325405.15000000002</v>
      </c>
      <c r="AB236" s="8"/>
      <c r="AC236" s="8"/>
      <c r="AD236" s="23"/>
      <c r="AF236" s="76">
        <f t="shared" si="77"/>
        <v>4.53</v>
      </c>
      <c r="AG236" s="7">
        <f>AA236*AF236</f>
        <v>1474085.3295000002</v>
      </c>
      <c r="AI236" s="57">
        <f t="shared" si="78"/>
        <v>1474085.3295000002</v>
      </c>
      <c r="AK236" s="60" t="e">
        <f t="shared" si="79"/>
        <v>#DIV/0!</v>
      </c>
    </row>
    <row r="237" spans="2:37" x14ac:dyDescent="0.25">
      <c r="B237" s="180"/>
      <c r="J237" s="171"/>
      <c r="Y237" s="97" t="s">
        <v>63</v>
      </c>
      <c r="Z237" s="8"/>
      <c r="AA237" s="22">
        <f>AF219</f>
        <v>6018.3100000000013</v>
      </c>
      <c r="AB237" s="8"/>
      <c r="AC237" s="8"/>
      <c r="AD237" s="23"/>
      <c r="AF237" s="76">
        <f t="shared" si="77"/>
        <v>4.53</v>
      </c>
      <c r="AG237" s="7">
        <f>AA237*AF237</f>
        <v>27262.944300000006</v>
      </c>
      <c r="AI237" s="57">
        <f t="shared" si="78"/>
        <v>27262.944300000006</v>
      </c>
      <c r="AK237" s="60" t="e">
        <f t="shared" si="79"/>
        <v>#DIV/0!</v>
      </c>
    </row>
    <row r="238" spans="2:37" x14ac:dyDescent="0.25">
      <c r="Y238" s="97"/>
      <c r="Z238" s="8"/>
      <c r="AA238" s="8"/>
      <c r="AB238" s="8"/>
      <c r="AC238" s="8"/>
      <c r="AD238" s="23"/>
      <c r="AF238" s="76"/>
      <c r="AG238" s="7"/>
      <c r="AI238" s="57"/>
      <c r="AK238" s="60"/>
    </row>
    <row r="239" spans="2:37" x14ac:dyDescent="0.25">
      <c r="Y239" s="97" t="s">
        <v>62</v>
      </c>
      <c r="Z239" s="8"/>
      <c r="AA239" s="22">
        <f>Z219</f>
        <v>325405.15000000002</v>
      </c>
      <c r="AB239" s="8"/>
      <c r="AC239" s="8"/>
      <c r="AD239" s="23"/>
      <c r="AF239" s="76">
        <f t="shared" si="77"/>
        <v>6.13</v>
      </c>
      <c r="AG239" s="7">
        <f t="shared" ref="AG239:AG240" si="80">AA239*AF239</f>
        <v>1994733.5695000002</v>
      </c>
      <c r="AI239" s="57">
        <f t="shared" si="78"/>
        <v>1994733.5695000002</v>
      </c>
      <c r="AK239" s="60" t="e">
        <f t="shared" si="79"/>
        <v>#DIV/0!</v>
      </c>
    </row>
    <row r="240" spans="2:37" x14ac:dyDescent="0.25">
      <c r="J240" s="171"/>
      <c r="Y240" s="97" t="s">
        <v>63</v>
      </c>
      <c r="Z240" s="8"/>
      <c r="AA240" s="22">
        <f>AE219</f>
        <v>6018.31</v>
      </c>
      <c r="AB240" s="8"/>
      <c r="AC240" s="8"/>
      <c r="AD240" s="23"/>
      <c r="AF240" s="76">
        <f t="shared" si="77"/>
        <v>6.13</v>
      </c>
      <c r="AG240" s="7">
        <f t="shared" si="80"/>
        <v>36892.240300000005</v>
      </c>
      <c r="AI240" s="57">
        <f t="shared" si="78"/>
        <v>36892.240300000005</v>
      </c>
      <c r="AK240" s="60" t="e">
        <f t="shared" si="79"/>
        <v>#DIV/0!</v>
      </c>
    </row>
    <row r="241" spans="7:37" x14ac:dyDescent="0.25">
      <c r="G241" s="144"/>
      <c r="J241" s="144"/>
      <c r="Y241" s="97"/>
      <c r="Z241" s="8"/>
      <c r="AA241" s="8"/>
      <c r="AB241" s="8"/>
      <c r="AC241" s="8"/>
      <c r="AD241" s="23"/>
      <c r="AF241" s="9"/>
      <c r="AG241" s="23"/>
      <c r="AI241" s="57"/>
      <c r="AK241" s="60"/>
    </row>
    <row r="242" spans="7:37" ht="16.5" thickBot="1" x14ac:dyDescent="0.3">
      <c r="Y242" s="89" t="s">
        <v>64</v>
      </c>
      <c r="Z242" s="29"/>
      <c r="AA242" s="29"/>
      <c r="AB242" s="29"/>
      <c r="AC242" s="29"/>
      <c r="AD242" s="5">
        <f>SUM(AD228:AD241)</f>
        <v>8233960.5546700004</v>
      </c>
      <c r="AF242" s="13"/>
      <c r="AG242" s="5">
        <f>SUM(AG228:AG241)</f>
        <v>9388083.8116299994</v>
      </c>
      <c r="AI242" s="58">
        <f t="shared" si="78"/>
        <v>1154123.256959999</v>
      </c>
      <c r="AK242" s="61">
        <f t="shared" si="79"/>
        <v>0.14016623583476151</v>
      </c>
    </row>
    <row r="243" spans="7:37" x14ac:dyDescent="0.25">
      <c r="G243" s="171"/>
      <c r="J243" s="171"/>
    </row>
    <row r="245" spans="7:37" x14ac:dyDescent="0.25">
      <c r="G245" s="171"/>
      <c r="J245" s="171"/>
      <c r="K245" s="171"/>
    </row>
  </sheetData>
  <mergeCells count="43">
    <mergeCell ref="A200:A215"/>
    <mergeCell ref="AJ4:AN4"/>
    <mergeCell ref="Z4:AB4"/>
    <mergeCell ref="AC4:AD4"/>
    <mergeCell ref="AE4:AI4"/>
    <mergeCell ref="A5:A19"/>
    <mergeCell ref="A21:A35"/>
    <mergeCell ref="C105:C109"/>
    <mergeCell ref="V90:V91"/>
    <mergeCell ref="Q101:Q102"/>
    <mergeCell ref="A88:A103"/>
    <mergeCell ref="A37:A52"/>
    <mergeCell ref="P104:T104"/>
    <mergeCell ref="A71:A86"/>
    <mergeCell ref="Z2:AD2"/>
    <mergeCell ref="AE1:AG1"/>
    <mergeCell ref="AH1:AI1"/>
    <mergeCell ref="AJ1:AL1"/>
    <mergeCell ref="A183:A198"/>
    <mergeCell ref="A54:A69"/>
    <mergeCell ref="C1:C2"/>
    <mergeCell ref="F1:F2"/>
    <mergeCell ref="A1:A2"/>
    <mergeCell ref="B1:B2"/>
    <mergeCell ref="D1:D2"/>
    <mergeCell ref="E1:E2"/>
    <mergeCell ref="G1:G2"/>
    <mergeCell ref="W164:X166"/>
    <mergeCell ref="F105:F109"/>
    <mergeCell ref="F112:F113"/>
    <mergeCell ref="AM1:AN1"/>
    <mergeCell ref="AE2:AG2"/>
    <mergeCell ref="AH2:AI2"/>
    <mergeCell ref="AJ2:AL2"/>
    <mergeCell ref="AM2:AN2"/>
    <mergeCell ref="V217:V218"/>
    <mergeCell ref="Q230:Q231"/>
    <mergeCell ref="H1:H2"/>
    <mergeCell ref="J1:J2"/>
    <mergeCell ref="K1:K2"/>
    <mergeCell ref="I1:I2"/>
    <mergeCell ref="L1:L2"/>
    <mergeCell ref="S2:U2"/>
  </mergeCells>
  <pageMargins left="0.45" right="0.45" top="0.75" bottom="0.75" header="0.3" footer="0.3"/>
  <pageSetup scale="36" orientation="landscape" r:id="rId1"/>
  <rowBreaks count="3" manualBreakCount="3">
    <brk id="70" max="39" man="1"/>
    <brk id="158" max="39" man="1"/>
    <brk id="181" max="39" man="1"/>
  </rowBreaks>
  <colBreaks count="1" manualBreakCount="1">
    <brk id="24" max="2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2"/>
  <sheetViews>
    <sheetView zoomScaleNormal="100" workbookViewId="0">
      <pane xSplit="2" ySplit="8" topLeftCell="C167" activePane="bottomRight" state="frozen"/>
      <selection pane="topRight" activeCell="C1" sqref="C1"/>
      <selection pane="bottomLeft" activeCell="A9" sqref="A9"/>
      <selection pane="bottomRight" activeCell="I78" sqref="I78"/>
    </sheetView>
  </sheetViews>
  <sheetFormatPr defaultRowHeight="15" x14ac:dyDescent="0.25"/>
  <cols>
    <col min="3" max="3" width="14.28515625" bestFit="1" customWidth="1"/>
    <col min="4" max="4" width="14.42578125" customWidth="1"/>
    <col min="5" max="5" width="9.28515625" customWidth="1"/>
    <col min="6" max="6" width="12.85546875" customWidth="1"/>
    <col min="7" max="7" width="10" customWidth="1"/>
    <col min="8" max="8" width="11.5703125" bestFit="1" customWidth="1"/>
    <col min="9" max="9" width="9.85546875" customWidth="1"/>
    <col min="10" max="10" width="11.140625" bestFit="1" customWidth="1"/>
    <col min="11" max="11" width="10.140625" customWidth="1"/>
    <col min="12" max="12" width="11.28515625" customWidth="1"/>
    <col min="13" max="13" width="9.5703125" bestFit="1" customWidth="1"/>
    <col min="14" max="14" width="11.28515625" customWidth="1"/>
    <col min="15" max="15" width="9.5703125" bestFit="1" customWidth="1"/>
    <col min="16" max="16" width="12.7109375" bestFit="1" customWidth="1"/>
    <col min="17" max="17" width="12.140625" customWidth="1"/>
    <col min="18" max="18" width="10.140625" bestFit="1" customWidth="1"/>
    <col min="19" max="19" width="9.5703125" bestFit="1" customWidth="1"/>
    <col min="20" max="20" width="12.42578125" customWidth="1"/>
    <col min="21" max="22" width="10.140625" bestFit="1" customWidth="1"/>
    <col min="25" max="25" width="14.140625" customWidth="1"/>
    <col min="27" max="27" width="12.140625" customWidth="1"/>
    <col min="29" max="29" width="11.140625" customWidth="1"/>
    <col min="31" max="31" width="11.140625" bestFit="1" customWidth="1"/>
  </cols>
  <sheetData>
    <row r="1" spans="1:20" x14ac:dyDescent="0.25">
      <c r="J1" s="262" t="s">
        <v>38</v>
      </c>
      <c r="K1" s="262"/>
      <c r="L1" s="262"/>
      <c r="M1" s="262" t="s">
        <v>39</v>
      </c>
      <c r="N1" s="262"/>
      <c r="O1" s="262" t="s">
        <v>38</v>
      </c>
      <c r="P1" s="262"/>
      <c r="Q1" s="262"/>
      <c r="R1" s="262" t="s">
        <v>39</v>
      </c>
      <c r="S1" s="262"/>
    </row>
    <row r="2" spans="1:20" x14ac:dyDescent="0.25">
      <c r="E2" s="263" t="s">
        <v>31</v>
      </c>
      <c r="F2" s="263"/>
      <c r="G2" s="263"/>
      <c r="H2" s="263"/>
      <c r="I2" s="263"/>
      <c r="J2" s="263" t="s">
        <v>32</v>
      </c>
      <c r="K2" s="263"/>
      <c r="L2" s="264"/>
      <c r="M2" s="263" t="s">
        <v>32</v>
      </c>
      <c r="N2" s="263"/>
      <c r="O2" s="263" t="s">
        <v>32</v>
      </c>
      <c r="P2" s="263"/>
      <c r="Q2" s="264"/>
      <c r="R2" s="263" t="s">
        <v>32</v>
      </c>
      <c r="S2" s="263"/>
    </row>
    <row r="3" spans="1:20" ht="15.75" thickBot="1" x14ac:dyDescent="0.3">
      <c r="B3" s="243" t="s">
        <v>83</v>
      </c>
      <c r="C3" s="243" t="s">
        <v>84</v>
      </c>
      <c r="D3" s="243" t="s">
        <v>53</v>
      </c>
      <c r="E3" s="10" t="s">
        <v>33</v>
      </c>
      <c r="F3" s="10" t="s">
        <v>34</v>
      </c>
      <c r="G3" s="10" t="s">
        <v>35</v>
      </c>
      <c r="H3" s="11" t="s">
        <v>36</v>
      </c>
      <c r="I3" s="11" t="s">
        <v>37</v>
      </c>
      <c r="J3" s="11" t="s">
        <v>33</v>
      </c>
      <c r="K3" s="11" t="s">
        <v>34</v>
      </c>
      <c r="L3" s="11" t="s">
        <v>35</v>
      </c>
      <c r="M3" s="11" t="s">
        <v>36</v>
      </c>
      <c r="N3" s="11" t="s">
        <v>37</v>
      </c>
      <c r="O3" s="10" t="s">
        <v>33</v>
      </c>
      <c r="P3" s="10" t="s">
        <v>34</v>
      </c>
      <c r="Q3" s="10" t="s">
        <v>35</v>
      </c>
      <c r="R3" s="10" t="s">
        <v>36</v>
      </c>
      <c r="S3" s="10" t="s">
        <v>37</v>
      </c>
    </row>
    <row r="4" spans="1:20" ht="16.5" thickBot="1" x14ac:dyDescent="0.3">
      <c r="A4" t="s">
        <v>43</v>
      </c>
      <c r="B4">
        <f>'Billing Data'!Q106</f>
        <v>121</v>
      </c>
      <c r="C4" s="213">
        <f>'Billing Data'!W219</f>
        <v>8233960.2194400001</v>
      </c>
      <c r="D4" s="213">
        <f>'Billing Data'!X219</f>
        <v>97692443</v>
      </c>
      <c r="E4" s="67">
        <f>'Billing Data'!Z219</f>
        <v>325405.15000000002</v>
      </c>
      <c r="F4" s="67">
        <f>'Billing Data'!AA219</f>
        <v>325405.15000000002</v>
      </c>
      <c r="G4" s="67">
        <f>'Billing Data'!AB219</f>
        <v>322210.27</v>
      </c>
      <c r="H4" s="67">
        <f>'Billing Data'!AC219</f>
        <v>121846.04999999997</v>
      </c>
      <c r="I4" s="67">
        <f>'Billing Data'!AD219</f>
        <v>203559.09999999998</v>
      </c>
      <c r="J4" s="67">
        <f>'Billing Data'!AE219</f>
        <v>6018.31</v>
      </c>
      <c r="K4" s="67">
        <f>'Billing Data'!AF219</f>
        <v>6018.3100000000013</v>
      </c>
      <c r="L4" s="67">
        <f>'Billing Data'!AG219</f>
        <v>86435.655000000013</v>
      </c>
      <c r="M4" s="67">
        <f>'Billing Data'!AH219</f>
        <v>4500.6600000000008</v>
      </c>
      <c r="N4" s="67">
        <f>'Billing Data'!AI219</f>
        <v>1517.6500000000003</v>
      </c>
      <c r="O4" s="67">
        <f>'Billing Data'!AJ219</f>
        <v>6018.3099999999995</v>
      </c>
      <c r="P4" s="67">
        <f>'Billing Data'!AK219</f>
        <v>6018.31</v>
      </c>
      <c r="Q4" s="67">
        <f>'Billing Data'!AL219</f>
        <v>150119.33000000002</v>
      </c>
      <c r="R4" s="67">
        <f>'Billing Data'!AM219</f>
        <v>4500.6600000000008</v>
      </c>
      <c r="S4" s="67">
        <f>'Billing Data'!AN219</f>
        <v>1517.6500000000003</v>
      </c>
    </row>
    <row r="5" spans="1:20" ht="8.25" customHeight="1" thickBot="1" x14ac:dyDescent="0.3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0" ht="16.5" thickBot="1" x14ac:dyDescent="0.3">
      <c r="A6" t="s">
        <v>39</v>
      </c>
      <c r="B6">
        <f>'Billing Data'!S106</f>
        <v>132</v>
      </c>
      <c r="C6" s="185">
        <f>'Billing Data'!S110</f>
        <v>7430805.642434001</v>
      </c>
      <c r="D6" s="183">
        <f>'Billing Data'!S108</f>
        <v>73019668.200000003</v>
      </c>
      <c r="E6" s="2">
        <f>'Billing Data'!Z92</f>
        <v>260182.84999999998</v>
      </c>
      <c r="F6" s="2">
        <f>'Billing Data'!AA92</f>
        <v>260182.84999999998</v>
      </c>
      <c r="G6" s="2">
        <f>'Billing Data'!AB92</f>
        <v>254981.54999999996</v>
      </c>
      <c r="H6" s="2">
        <f>'Billing Data'!AC92</f>
        <v>110826.86000000002</v>
      </c>
      <c r="I6" s="2">
        <f>'Billing Data'!AD92</f>
        <v>149355.99000000002</v>
      </c>
      <c r="J6" s="2">
        <f>'Billing Data'!AE92</f>
        <v>2050.2150000000001</v>
      </c>
      <c r="K6" s="2">
        <f>'Billing Data'!AF92</f>
        <v>2050.2149999999997</v>
      </c>
      <c r="L6" s="2">
        <f>'Billing Data'!AG92</f>
        <v>153776.94999999998</v>
      </c>
      <c r="M6" s="2">
        <f>'Billing Data'!AH92</f>
        <v>1226.71</v>
      </c>
      <c r="N6" s="2">
        <f>'Billing Data'!AI92</f>
        <v>823.50499999999988</v>
      </c>
      <c r="O6" s="2">
        <f>'Billing Data'!AJ92</f>
        <v>2050.2150000000001</v>
      </c>
      <c r="P6" s="2">
        <f>'Billing Data'!AK92</f>
        <v>2050.2150000000001</v>
      </c>
      <c r="Q6" s="2">
        <f>'Billing Data'!AL92</f>
        <v>170922.05000000002</v>
      </c>
      <c r="R6" s="2">
        <f>'Billing Data'!AM92</f>
        <v>1226.71</v>
      </c>
      <c r="S6" s="2">
        <f>'Billing Data'!AN92</f>
        <v>823.505</v>
      </c>
    </row>
    <row r="7" spans="1:20" ht="6" customHeight="1" thickBot="1" x14ac:dyDescent="0.3">
      <c r="C7" s="189"/>
      <c r="D7" s="13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16.5" thickBot="1" x14ac:dyDescent="0.3">
      <c r="A8" t="s">
        <v>38</v>
      </c>
      <c r="B8">
        <f>'Billing Data'!T106</f>
        <v>98</v>
      </c>
      <c r="C8" s="185">
        <f>'Billing Data'!T110</f>
        <v>12345754.919202032</v>
      </c>
      <c r="D8" s="183">
        <f>'Billing Data'!T108</f>
        <v>139498199.24900001</v>
      </c>
      <c r="E8" s="2">
        <f>'Billing Data'!Z94</f>
        <v>442735.35146999994</v>
      </c>
      <c r="F8" s="2">
        <f>'Billing Data'!AA94</f>
        <v>445242.25147000002</v>
      </c>
      <c r="G8" s="2">
        <f>'Billing Data'!AB94</f>
        <v>446762.15146999998</v>
      </c>
      <c r="H8" s="2">
        <f>'Billing Data'!AC94</f>
        <v>180829.81644999998</v>
      </c>
      <c r="I8" s="2">
        <f>'Billing Data'!AD94</f>
        <v>261905.53501999998</v>
      </c>
      <c r="J8" s="2">
        <f>'Billing Data'!AE94</f>
        <v>3055.0380599999999</v>
      </c>
      <c r="K8" s="2">
        <f>'Billing Data'!AF94</f>
        <v>3066.5380599999999</v>
      </c>
      <c r="L8" s="2">
        <f>'Billing Data'!AG94</f>
        <v>19991.603780000001</v>
      </c>
      <c r="M8" s="2">
        <f>'Billing Data'!AH94</f>
        <v>2812.2999999999997</v>
      </c>
      <c r="N8" s="2">
        <f>'Billing Data'!AI94</f>
        <v>242.73806000000002</v>
      </c>
      <c r="O8" s="2">
        <f>'Billing Data'!AJ94</f>
        <v>3055.0380600000003</v>
      </c>
      <c r="P8" s="2">
        <f>'Billing Data'!AK94</f>
        <v>3066.5380599999999</v>
      </c>
      <c r="Q8" s="2">
        <f>'Billing Data'!AL94</f>
        <v>118879.74632999999</v>
      </c>
      <c r="R8" s="2">
        <f>'Billing Data'!AM94</f>
        <v>2812.3000000000006</v>
      </c>
      <c r="S8" s="2">
        <f>'Billing Data'!AN94</f>
        <v>242.73806000000025</v>
      </c>
    </row>
    <row r="14" spans="1:20" ht="15.75" thickBot="1" x14ac:dyDescent="0.3"/>
    <row r="15" spans="1:20" x14ac:dyDescent="0.25">
      <c r="B15" t="s">
        <v>43</v>
      </c>
      <c r="C15" s="12"/>
      <c r="D15" s="244" t="s">
        <v>85</v>
      </c>
      <c r="E15" s="244" t="s">
        <v>86</v>
      </c>
      <c r="F15" s="244" t="s">
        <v>87</v>
      </c>
      <c r="G15" s="291" t="s">
        <v>43</v>
      </c>
      <c r="H15" s="283"/>
      <c r="J15" s="282" t="s">
        <v>39</v>
      </c>
      <c r="K15" s="283"/>
      <c r="M15" s="282" t="s">
        <v>39</v>
      </c>
      <c r="N15" s="283"/>
      <c r="P15" s="282" t="s">
        <v>38</v>
      </c>
      <c r="Q15" s="283"/>
      <c r="S15" s="282" t="s">
        <v>38</v>
      </c>
      <c r="T15" s="283"/>
    </row>
    <row r="16" spans="1:20" ht="5.25" customHeight="1" x14ac:dyDescent="0.25">
      <c r="C16" s="9"/>
      <c r="D16" s="8"/>
      <c r="E16" s="8"/>
      <c r="F16" s="8"/>
      <c r="G16" s="8"/>
      <c r="H16" s="23"/>
      <c r="J16" s="9"/>
      <c r="K16" s="23"/>
      <c r="M16" s="9"/>
      <c r="N16" s="23"/>
      <c r="P16" s="9"/>
      <c r="Q16" s="23"/>
      <c r="S16" s="9"/>
      <c r="T16" s="23"/>
    </row>
    <row r="17" spans="3:20" x14ac:dyDescent="0.25">
      <c r="C17" s="9" t="s">
        <v>58</v>
      </c>
      <c r="D17" s="16">
        <f>12*B4</f>
        <v>1452</v>
      </c>
      <c r="E17" s="8"/>
      <c r="F17" s="8"/>
      <c r="G17" s="33">
        <v>40</v>
      </c>
      <c r="H17" s="7">
        <f>D17*G17</f>
        <v>58080</v>
      </c>
      <c r="J17" s="50">
        <v>90</v>
      </c>
      <c r="K17" s="7">
        <f>D17*J17</f>
        <v>130680</v>
      </c>
      <c r="L17" s="1"/>
      <c r="M17" s="50">
        <v>90</v>
      </c>
      <c r="N17" s="7">
        <f>$D17*M17</f>
        <v>130680</v>
      </c>
      <c r="P17" s="76">
        <v>200</v>
      </c>
      <c r="Q17" s="7">
        <f>G17*P17</f>
        <v>8000</v>
      </c>
      <c r="S17" s="76">
        <v>200</v>
      </c>
      <c r="T17" s="7">
        <f>$D17*S17</f>
        <v>290400</v>
      </c>
    </row>
    <row r="18" spans="3:20" x14ac:dyDescent="0.25">
      <c r="C18" s="9"/>
      <c r="D18" s="8"/>
      <c r="E18" s="8"/>
      <c r="F18" s="8"/>
      <c r="G18" s="33"/>
      <c r="H18" s="7"/>
      <c r="J18" s="50"/>
      <c r="K18" s="7"/>
      <c r="L18" s="1"/>
      <c r="M18" s="50"/>
      <c r="N18" s="7"/>
      <c r="P18" s="76"/>
      <c r="Q18" s="7"/>
      <c r="S18" s="76"/>
      <c r="T18" s="7"/>
    </row>
    <row r="19" spans="3:20" x14ac:dyDescent="0.25">
      <c r="C19" s="9" t="s">
        <v>46</v>
      </c>
      <c r="D19" s="8"/>
      <c r="E19" s="16"/>
      <c r="F19" s="16">
        <f>D4</f>
        <v>97692443</v>
      </c>
      <c r="G19" s="34">
        <v>8.3690000000000001E-2</v>
      </c>
      <c r="H19" s="7">
        <f>F19*G19</f>
        <v>8175880.5546700004</v>
      </c>
      <c r="J19" s="51">
        <v>3.5720000000000002E-2</v>
      </c>
      <c r="K19" s="7">
        <f>J19*F19</f>
        <v>3489574.0639599999</v>
      </c>
      <c r="L19" s="1"/>
      <c r="M19" s="51">
        <v>3.5720000000000002E-2</v>
      </c>
      <c r="N19" s="7">
        <f>M19*$F19</f>
        <v>3489574.0639599999</v>
      </c>
      <c r="P19" s="80">
        <v>3.5270000000000003E-2</v>
      </c>
      <c r="Q19" s="7">
        <f>F19*P19</f>
        <v>3445612.4646100001</v>
      </c>
      <c r="S19" s="80">
        <v>3.5270000000000003E-2</v>
      </c>
      <c r="T19" s="7">
        <f>$F19*S19</f>
        <v>3445612.4646100001</v>
      </c>
    </row>
    <row r="20" spans="3:20" x14ac:dyDescent="0.25">
      <c r="C20" s="9"/>
      <c r="D20" s="8"/>
      <c r="E20" s="16"/>
      <c r="F20" s="16"/>
      <c r="G20" s="34"/>
      <c r="H20" s="7"/>
      <c r="J20" s="9"/>
      <c r="K20" s="7"/>
      <c r="L20" s="1"/>
      <c r="M20" s="9"/>
      <c r="N20" s="7"/>
      <c r="P20" s="51"/>
      <c r="Q20" s="7"/>
      <c r="S20" s="51"/>
      <c r="T20" s="7"/>
    </row>
    <row r="21" spans="3:20" x14ac:dyDescent="0.25">
      <c r="C21" s="9" t="s">
        <v>59</v>
      </c>
      <c r="D21" s="8"/>
      <c r="E21" s="16">
        <f>H4</f>
        <v>121846.04999999997</v>
      </c>
      <c r="F21" s="16"/>
      <c r="G21" s="34"/>
      <c r="H21" s="7"/>
      <c r="J21" s="50">
        <v>19.05</v>
      </c>
      <c r="K21" s="7">
        <f>E21*J21</f>
        <v>2321167.2524999995</v>
      </c>
      <c r="L21" s="1"/>
      <c r="M21" s="50">
        <f>J21-$K$117</f>
        <v>17.637617410691828</v>
      </c>
      <c r="N21" s="7">
        <f>$E21*M21</f>
        <v>2149074.0129040265</v>
      </c>
      <c r="P21" s="50"/>
      <c r="Q21" s="7">
        <f>H21*P21</f>
        <v>0</v>
      </c>
      <c r="S21" s="50"/>
      <c r="T21" s="7">
        <f>K21*S21</f>
        <v>0</v>
      </c>
    </row>
    <row r="22" spans="3:20" x14ac:dyDescent="0.25">
      <c r="C22" s="9" t="s">
        <v>63</v>
      </c>
      <c r="D22" s="8"/>
      <c r="E22" s="16">
        <f>M4</f>
        <v>4500.6600000000008</v>
      </c>
      <c r="F22" s="16"/>
      <c r="G22" s="34"/>
      <c r="H22" s="7"/>
      <c r="J22" s="50">
        <v>19.05</v>
      </c>
      <c r="K22" s="7">
        <f t="shared" ref="K22:K25" si="0">E22*J22</f>
        <v>85737.573000000019</v>
      </c>
      <c r="L22" s="1"/>
      <c r="M22" s="50">
        <f>J22-$K$117</f>
        <v>17.637617410691828</v>
      </c>
      <c r="N22" s="7">
        <f>$E22*M22</f>
        <v>79380.9191756043</v>
      </c>
      <c r="P22" s="50"/>
      <c r="Q22" s="7">
        <f>H22*P22</f>
        <v>0</v>
      </c>
      <c r="S22" s="50"/>
      <c r="T22" s="7">
        <f>K22*S22</f>
        <v>0</v>
      </c>
    </row>
    <row r="23" spans="3:20" x14ac:dyDescent="0.25">
      <c r="C23" s="9"/>
      <c r="D23" s="8"/>
      <c r="E23" s="16"/>
      <c r="F23" s="16"/>
      <c r="G23" s="34"/>
      <c r="H23" s="7"/>
      <c r="J23" s="50"/>
      <c r="K23" s="7"/>
      <c r="L23" s="1"/>
      <c r="M23" s="50"/>
      <c r="N23" s="7"/>
      <c r="P23" s="50"/>
      <c r="Q23" s="7"/>
      <c r="S23" s="50"/>
      <c r="T23" s="7"/>
    </row>
    <row r="24" spans="3:20" x14ac:dyDescent="0.25">
      <c r="C24" s="9" t="s">
        <v>60</v>
      </c>
      <c r="D24" s="8"/>
      <c r="E24" s="16">
        <f>I4</f>
        <v>203559.09999999998</v>
      </c>
      <c r="F24" s="16"/>
      <c r="G24" s="34"/>
      <c r="H24" s="7"/>
      <c r="J24" s="50">
        <v>16.95</v>
      </c>
      <c r="K24" s="7">
        <f t="shared" si="0"/>
        <v>3450326.7449999996</v>
      </c>
      <c r="L24" s="1"/>
      <c r="M24" s="50">
        <f>J24-$K$117</f>
        <v>15.537617410691825</v>
      </c>
      <c r="N24" s="7">
        <f>$E24*M24</f>
        <v>3162823.416264758</v>
      </c>
      <c r="P24" s="50"/>
      <c r="Q24" s="7">
        <f>H24*P24</f>
        <v>0</v>
      </c>
      <c r="S24" s="50"/>
      <c r="T24" s="7">
        <f>K24*S24</f>
        <v>0</v>
      </c>
    </row>
    <row r="25" spans="3:20" x14ac:dyDescent="0.25">
      <c r="C25" s="9" t="s">
        <v>63</v>
      </c>
      <c r="D25" s="8"/>
      <c r="E25" s="16">
        <f>N4</f>
        <v>1517.6500000000003</v>
      </c>
      <c r="F25" s="16"/>
      <c r="G25" s="34"/>
      <c r="H25" s="7"/>
      <c r="J25" s="50">
        <v>16.95</v>
      </c>
      <c r="K25" s="7">
        <f t="shared" si="0"/>
        <v>25724.167500000003</v>
      </c>
      <c r="L25" s="1"/>
      <c r="M25" s="50">
        <f>J25-$K$117</f>
        <v>15.537617410691825</v>
      </c>
      <c r="N25" s="7">
        <f>$E25*M25</f>
        <v>23580.665063336452</v>
      </c>
      <c r="P25" s="50"/>
      <c r="Q25" s="7">
        <f>H25*P25</f>
        <v>0</v>
      </c>
      <c r="S25" s="50"/>
      <c r="T25" s="7">
        <f>K25*S25</f>
        <v>0</v>
      </c>
    </row>
    <row r="26" spans="3:20" x14ac:dyDescent="0.25">
      <c r="C26" s="9"/>
      <c r="D26" s="8"/>
      <c r="E26" s="16"/>
      <c r="F26" s="16"/>
      <c r="G26" s="34"/>
      <c r="H26" s="7"/>
      <c r="J26" s="51"/>
      <c r="K26" s="7"/>
      <c r="L26" s="1"/>
      <c r="M26" s="51"/>
      <c r="N26" s="7"/>
      <c r="P26" s="51"/>
      <c r="Q26" s="7"/>
      <c r="S26" s="51"/>
      <c r="T26" s="7"/>
    </row>
    <row r="27" spans="3:20" x14ac:dyDescent="0.25">
      <c r="C27" s="9" t="s">
        <v>61</v>
      </c>
      <c r="D27" s="8"/>
      <c r="E27" s="16">
        <f>G4</f>
        <v>322210.27</v>
      </c>
      <c r="F27" s="16"/>
      <c r="G27" s="30"/>
      <c r="H27" s="7">
        <f>$AB27*G27</f>
        <v>0</v>
      </c>
      <c r="J27" s="50"/>
      <c r="K27" s="7"/>
      <c r="L27" s="1"/>
      <c r="M27" s="50"/>
      <c r="N27" s="7"/>
      <c r="P27" s="76">
        <v>5.2</v>
      </c>
      <c r="Q27" s="7">
        <f>E27*P27</f>
        <v>1675493.4040000001</v>
      </c>
      <c r="S27" s="76">
        <f>P27-$Q$117</f>
        <v>4.5897329271771667</v>
      </c>
      <c r="T27" s="7">
        <f>$E27*S27</f>
        <v>1478859.0856936453</v>
      </c>
    </row>
    <row r="28" spans="3:20" x14ac:dyDescent="0.25">
      <c r="C28" s="9" t="s">
        <v>69</v>
      </c>
      <c r="D28" s="8"/>
      <c r="E28" s="16">
        <f>L4</f>
        <v>86435.655000000013</v>
      </c>
      <c r="F28" s="16"/>
      <c r="G28" s="30"/>
      <c r="H28" s="7">
        <f>$AB28*G28</f>
        <v>0</v>
      </c>
      <c r="J28" s="50"/>
      <c r="K28" s="7"/>
      <c r="L28" s="1"/>
      <c r="M28" s="50"/>
      <c r="N28" s="7"/>
      <c r="P28" s="76">
        <v>5.2</v>
      </c>
      <c r="Q28" s="7">
        <f>E28*P28</f>
        <v>449465.40600000008</v>
      </c>
      <c r="S28" s="76">
        <f>P28-$Q$117</f>
        <v>4.5897329271771667</v>
      </c>
      <c r="T28" s="7">
        <f>$E28*S28</f>
        <v>396716.57183562574</v>
      </c>
    </row>
    <row r="29" spans="3:20" x14ac:dyDescent="0.25">
      <c r="C29" s="9" t="s">
        <v>70</v>
      </c>
      <c r="D29" s="8"/>
      <c r="E29" s="16">
        <f>Q4</f>
        <v>150119.33000000002</v>
      </c>
      <c r="F29" s="16"/>
      <c r="G29" s="30"/>
      <c r="H29" s="7"/>
      <c r="J29" s="50"/>
      <c r="K29" s="7"/>
      <c r="L29" s="1"/>
      <c r="M29" s="50"/>
      <c r="N29" s="7"/>
      <c r="P29" s="76">
        <v>5.2</v>
      </c>
      <c r="Q29" s="7"/>
      <c r="S29" s="76">
        <f>P29-$Q$117</f>
        <v>4.5897329271771667</v>
      </c>
      <c r="T29" s="7"/>
    </row>
    <row r="30" spans="3:20" x14ac:dyDescent="0.25">
      <c r="C30" s="9"/>
      <c r="D30" s="8"/>
      <c r="E30" s="16"/>
      <c r="F30" s="16"/>
      <c r="G30" s="30"/>
      <c r="H30" s="7"/>
      <c r="J30" s="50"/>
      <c r="K30" s="7"/>
      <c r="L30" s="1"/>
      <c r="M30" s="50"/>
      <c r="N30" s="7"/>
      <c r="P30" s="76"/>
      <c r="Q30" s="7"/>
      <c r="S30" s="76"/>
      <c r="T30" s="7"/>
    </row>
    <row r="31" spans="3:20" x14ac:dyDescent="0.25">
      <c r="C31" s="9" t="s">
        <v>66</v>
      </c>
      <c r="D31" s="8"/>
      <c r="E31" s="16">
        <f>F4</f>
        <v>325405.15000000002</v>
      </c>
      <c r="F31" s="16"/>
      <c r="G31" s="30"/>
      <c r="H31" s="7">
        <f>$AB31*G31</f>
        <v>0</v>
      </c>
      <c r="J31" s="50"/>
      <c r="K31" s="7"/>
      <c r="L31" s="1"/>
      <c r="M31" s="50"/>
      <c r="N31" s="7"/>
      <c r="P31" s="76">
        <v>4.53</v>
      </c>
      <c r="Q31" s="7">
        <f>E31*P31</f>
        <v>1474085.3295000002</v>
      </c>
      <c r="S31" s="76">
        <f>P31-$Q$117</f>
        <v>3.9197329271771664</v>
      </c>
      <c r="T31" s="7">
        <f>$E31*S31</f>
        <v>1275501.2811280249</v>
      </c>
    </row>
    <row r="32" spans="3:20" x14ac:dyDescent="0.25">
      <c r="C32" s="9" t="s">
        <v>63</v>
      </c>
      <c r="D32" s="8"/>
      <c r="E32" s="16">
        <f>K4</f>
        <v>6018.3100000000013</v>
      </c>
      <c r="F32" s="16"/>
      <c r="G32" s="30"/>
      <c r="H32" s="7">
        <f>$AB32*G32</f>
        <v>0</v>
      </c>
      <c r="J32" s="50"/>
      <c r="K32" s="7"/>
      <c r="L32" s="1"/>
      <c r="M32" s="50"/>
      <c r="N32" s="7"/>
      <c r="P32" s="76">
        <v>4.53</v>
      </c>
      <c r="Q32" s="7">
        <f>E32*P32</f>
        <v>27262.944300000006</v>
      </c>
      <c r="S32" s="76">
        <f>P32-$Q$117</f>
        <v>3.9197329271771664</v>
      </c>
      <c r="T32" s="7">
        <f>$E32*S32</f>
        <v>23590.167872959617</v>
      </c>
    </row>
    <row r="33" spans="3:29" x14ac:dyDescent="0.25">
      <c r="C33" s="9"/>
      <c r="D33" s="8"/>
      <c r="E33" s="16"/>
      <c r="F33" s="16"/>
      <c r="G33" s="30"/>
      <c r="H33" s="7"/>
      <c r="J33" s="50"/>
      <c r="K33" s="7"/>
      <c r="L33" s="1"/>
      <c r="M33" s="50"/>
      <c r="N33" s="7"/>
      <c r="P33" s="9"/>
      <c r="Q33" s="7"/>
      <c r="S33" s="9"/>
      <c r="T33" s="7"/>
    </row>
    <row r="34" spans="3:29" x14ac:dyDescent="0.25">
      <c r="C34" s="9" t="s">
        <v>62</v>
      </c>
      <c r="D34" s="8"/>
      <c r="E34" s="16">
        <f>E4</f>
        <v>325405.15000000002</v>
      </c>
      <c r="F34" s="16"/>
      <c r="G34" s="30"/>
      <c r="H34" s="7">
        <f>$AB34*G34</f>
        <v>0</v>
      </c>
      <c r="J34" s="50"/>
      <c r="K34" s="7"/>
      <c r="L34" s="1"/>
      <c r="M34" s="50"/>
      <c r="N34" s="7"/>
      <c r="P34" s="76">
        <v>6.13</v>
      </c>
      <c r="Q34" s="7">
        <f>E34*P34</f>
        <v>1994733.5695000002</v>
      </c>
      <c r="S34" s="76">
        <f>P34-$Q$117</f>
        <v>5.5197329271771665</v>
      </c>
      <c r="T34" s="7">
        <f t="shared" ref="T34:T35" si="1">$E34*S34</f>
        <v>1796149.5211280251</v>
      </c>
    </row>
    <row r="35" spans="3:29" x14ac:dyDescent="0.25">
      <c r="C35" s="9" t="s">
        <v>63</v>
      </c>
      <c r="D35" s="8"/>
      <c r="E35" s="16">
        <f>J4</f>
        <v>6018.31</v>
      </c>
      <c r="F35" s="16"/>
      <c r="G35" s="8"/>
      <c r="H35" s="7">
        <f>$AB35*G35</f>
        <v>0</v>
      </c>
      <c r="J35" s="50"/>
      <c r="K35" s="7"/>
      <c r="L35" s="1"/>
      <c r="M35" s="50"/>
      <c r="N35" s="7"/>
      <c r="P35" s="76">
        <v>6.13</v>
      </c>
      <c r="Q35" s="7">
        <f>E35*P35</f>
        <v>36892.240300000005</v>
      </c>
      <c r="S35" s="76">
        <f>P35-$Q$117</f>
        <v>5.5197329271771665</v>
      </c>
      <c r="T35" s="7">
        <f t="shared" si="1"/>
        <v>33219.463872959612</v>
      </c>
    </row>
    <row r="36" spans="3:29" x14ac:dyDescent="0.25">
      <c r="C36" s="9"/>
      <c r="D36" s="8"/>
      <c r="E36" s="8"/>
      <c r="F36" s="8"/>
      <c r="G36" s="8"/>
      <c r="H36" s="23"/>
      <c r="J36" s="84"/>
      <c r="K36" s="23"/>
      <c r="L36" s="1"/>
      <c r="M36" s="84"/>
      <c r="N36" s="23"/>
      <c r="P36" s="76"/>
      <c r="Q36" s="23"/>
      <c r="S36" s="76"/>
      <c r="T36" s="23"/>
    </row>
    <row r="37" spans="3:29" ht="15.75" thickBot="1" x14ac:dyDescent="0.3">
      <c r="C37" s="13" t="s">
        <v>64</v>
      </c>
      <c r="D37" s="29"/>
      <c r="E37" s="29"/>
      <c r="F37" s="29"/>
      <c r="G37" s="29"/>
      <c r="H37" s="5">
        <f>SUM(H17:H36)</f>
        <v>8233960.5546700004</v>
      </c>
      <c r="J37" s="52"/>
      <c r="K37" s="5">
        <f>SUM(K17:K36)</f>
        <v>9503209.8019599989</v>
      </c>
      <c r="L37" s="1"/>
      <c r="M37" s="52"/>
      <c r="N37" s="5">
        <f>SUM(N17:N36)</f>
        <v>9035113.0773677249</v>
      </c>
      <c r="P37" s="52"/>
      <c r="Q37" s="5">
        <f>SUM(Q17:Q36)</f>
        <v>9111545.3582100011</v>
      </c>
      <c r="S37" s="52"/>
      <c r="T37" s="5">
        <f>SUM(T17:T36)</f>
        <v>8740048.5561412405</v>
      </c>
    </row>
    <row r="38" spans="3:29" x14ac:dyDescent="0.25">
      <c r="C38" s="8"/>
      <c r="D38" s="8"/>
      <c r="E38" s="8"/>
      <c r="F38" s="8"/>
      <c r="G38" s="8"/>
      <c r="H38" s="6"/>
      <c r="J38" s="6"/>
      <c r="K38" s="6"/>
      <c r="L38" s="1"/>
      <c r="P38" s="6"/>
      <c r="Q38" s="6"/>
      <c r="S38" s="83"/>
    </row>
    <row r="39" spans="3:29" x14ac:dyDescent="0.25">
      <c r="C39" s="8"/>
      <c r="D39" s="8"/>
      <c r="E39" s="8"/>
      <c r="F39" s="8"/>
      <c r="G39" s="8"/>
      <c r="H39" s="6"/>
      <c r="J39" s="6"/>
      <c r="K39" s="6"/>
      <c r="L39" s="1"/>
      <c r="P39" s="6"/>
      <c r="Q39" s="6"/>
      <c r="S39" s="83"/>
    </row>
    <row r="40" spans="3:29" x14ac:dyDescent="0.25">
      <c r="C40" s="8"/>
      <c r="D40" s="8"/>
      <c r="E40" s="8"/>
      <c r="F40" s="8"/>
      <c r="G40" s="8"/>
      <c r="H40" s="6"/>
      <c r="J40" s="6"/>
      <c r="K40" s="6"/>
      <c r="L40" s="1"/>
      <c r="P40" s="6"/>
      <c r="Q40" s="6"/>
      <c r="S40" s="83"/>
    </row>
    <row r="41" spans="3:29" x14ac:dyDescent="0.25">
      <c r="C41" s="8"/>
      <c r="D41" s="8"/>
      <c r="E41" s="8"/>
      <c r="F41" s="8"/>
      <c r="G41" s="8"/>
      <c r="H41" s="6"/>
      <c r="J41" s="6"/>
      <c r="K41" s="6"/>
      <c r="L41" s="1"/>
      <c r="P41" s="6"/>
      <c r="Q41" s="6"/>
      <c r="S41" s="83"/>
    </row>
    <row r="42" spans="3:29" ht="15.75" thickBot="1" x14ac:dyDescent="0.3">
      <c r="Q42" s="8"/>
    </row>
    <row r="43" spans="3:29" ht="15.75" thickBot="1" x14ac:dyDescent="0.3">
      <c r="C43" s="12"/>
      <c r="D43" s="244" t="s">
        <v>85</v>
      </c>
      <c r="E43" s="244" t="s">
        <v>86</v>
      </c>
      <c r="F43" s="244" t="s">
        <v>87</v>
      </c>
      <c r="G43" s="291" t="s">
        <v>43</v>
      </c>
      <c r="H43" s="283"/>
      <c r="J43" s="282" t="s">
        <v>39</v>
      </c>
      <c r="K43" s="283"/>
      <c r="M43" s="282" t="s">
        <v>39</v>
      </c>
      <c r="N43" s="283"/>
      <c r="P43" s="282" t="s">
        <v>38</v>
      </c>
      <c r="Q43" s="283"/>
      <c r="S43" s="282" t="s">
        <v>38</v>
      </c>
      <c r="T43" s="283"/>
      <c r="V43" s="12"/>
      <c r="W43" s="214" t="s">
        <v>85</v>
      </c>
      <c r="X43" s="214" t="s">
        <v>86</v>
      </c>
      <c r="Y43" s="214" t="s">
        <v>87</v>
      </c>
      <c r="Z43" s="290" t="s">
        <v>92</v>
      </c>
      <c r="AA43" s="290"/>
      <c r="AB43" s="290" t="s">
        <v>93</v>
      </c>
      <c r="AC43" s="290"/>
    </row>
    <row r="44" spans="3:29" x14ac:dyDescent="0.25">
      <c r="C44" s="9"/>
      <c r="D44" s="8"/>
      <c r="E44" s="8"/>
      <c r="F44" s="8"/>
      <c r="G44" s="8"/>
      <c r="H44" s="23"/>
      <c r="J44" s="9"/>
      <c r="K44" s="23"/>
      <c r="M44" s="9"/>
      <c r="N44" s="23"/>
      <c r="P44" s="9"/>
      <c r="Q44" s="23"/>
      <c r="S44" s="9"/>
      <c r="T44" s="23"/>
      <c r="V44" s="9"/>
      <c r="W44" s="8"/>
      <c r="X44" s="8"/>
      <c r="Y44" s="8"/>
      <c r="Z44" s="8"/>
      <c r="AA44" s="8"/>
      <c r="AB44" s="8"/>
      <c r="AC44" s="23"/>
    </row>
    <row r="45" spans="3:29" x14ac:dyDescent="0.25">
      <c r="C45" s="9" t="s">
        <v>58</v>
      </c>
      <c r="D45" s="16">
        <f>12*B6</f>
        <v>1584</v>
      </c>
      <c r="E45" s="8"/>
      <c r="F45" s="8"/>
      <c r="G45" s="33">
        <v>40</v>
      </c>
      <c r="H45" s="7">
        <f>D45*G45</f>
        <v>63360</v>
      </c>
      <c r="J45" s="50">
        <v>90</v>
      </c>
      <c r="K45" s="7">
        <f>$D45*J45</f>
        <v>142560</v>
      </c>
      <c r="L45" s="1"/>
      <c r="M45" s="50">
        <v>90</v>
      </c>
      <c r="N45" s="7">
        <f>$D45*M45</f>
        <v>142560</v>
      </c>
      <c r="P45" s="76">
        <v>200</v>
      </c>
      <c r="Q45" s="7">
        <f>$D45*P45</f>
        <v>316800</v>
      </c>
      <c r="S45" s="76">
        <v>200</v>
      </c>
      <c r="T45" s="7">
        <f>$D45*S45</f>
        <v>316800</v>
      </c>
      <c r="V45" s="9" t="s">
        <v>58</v>
      </c>
      <c r="W45" s="16">
        <f>D45</f>
        <v>1584</v>
      </c>
      <c r="X45" s="8"/>
      <c r="Y45" s="8"/>
      <c r="Z45" s="30">
        <v>90</v>
      </c>
      <c r="AA45" s="6">
        <f>W45*Z45</f>
        <v>142560</v>
      </c>
      <c r="AB45" s="30">
        <v>90</v>
      </c>
      <c r="AC45" s="7">
        <f>W45*AB45</f>
        <v>142560</v>
      </c>
    </row>
    <row r="46" spans="3:29" x14ac:dyDescent="0.25">
      <c r="C46" s="9"/>
      <c r="D46" s="8"/>
      <c r="E46" s="8"/>
      <c r="F46" s="8"/>
      <c r="G46" s="33"/>
      <c r="H46" s="7"/>
      <c r="J46" s="50"/>
      <c r="K46" s="7"/>
      <c r="L46" s="1"/>
      <c r="M46" s="50"/>
      <c r="N46" s="7"/>
      <c r="P46" s="76"/>
      <c r="Q46" s="7"/>
      <c r="S46" s="76"/>
      <c r="T46" s="7"/>
      <c r="V46" s="9"/>
      <c r="W46" s="8"/>
      <c r="X46" s="8"/>
      <c r="Y46" s="8"/>
      <c r="Z46" s="30"/>
      <c r="AA46" s="6"/>
      <c r="AB46" s="30"/>
      <c r="AC46" s="7"/>
    </row>
    <row r="47" spans="3:29" x14ac:dyDescent="0.25">
      <c r="C47" s="9" t="s">
        <v>46</v>
      </c>
      <c r="D47" s="8"/>
      <c r="E47" s="16"/>
      <c r="F47" s="16">
        <f>D6</f>
        <v>73019668.200000003</v>
      </c>
      <c r="G47" s="34">
        <v>8.3690000000000001E-2</v>
      </c>
      <c r="H47" s="7">
        <f>F47*G47</f>
        <v>6111016.0316580003</v>
      </c>
      <c r="J47" s="51">
        <v>3.5720000000000002E-2</v>
      </c>
      <c r="K47" s="7">
        <f>J47*$F47</f>
        <v>2608262.5481040003</v>
      </c>
      <c r="L47" s="1"/>
      <c r="M47" s="51">
        <v>3.5720000000000002E-2</v>
      </c>
      <c r="N47" s="7">
        <f>M47*$F47</f>
        <v>2608262.5481040003</v>
      </c>
      <c r="P47" s="80">
        <v>3.5270000000000003E-2</v>
      </c>
      <c r="Q47" s="7">
        <f>$F47*P47</f>
        <v>2575403.6974140005</v>
      </c>
      <c r="S47" s="80">
        <v>3.5270000000000003E-2</v>
      </c>
      <c r="T47" s="7">
        <f>$F47*S47</f>
        <v>2575403.6974140005</v>
      </c>
      <c r="V47" s="9" t="s">
        <v>46</v>
      </c>
      <c r="W47" s="8"/>
      <c r="X47" s="16"/>
      <c r="Y47" s="16">
        <f>F47</f>
        <v>73019668.200000003</v>
      </c>
      <c r="Z47" s="31">
        <v>3.5720000000000002E-2</v>
      </c>
      <c r="AA47" s="6">
        <f>Y47*Z47</f>
        <v>2608262.5481040003</v>
      </c>
      <c r="AB47" s="31">
        <v>3.5720000000000002E-2</v>
      </c>
      <c r="AC47" s="7">
        <f>Y47*AB47</f>
        <v>2608262.5481040003</v>
      </c>
    </row>
    <row r="48" spans="3:29" x14ac:dyDescent="0.25">
      <c r="C48" s="9"/>
      <c r="D48" s="8"/>
      <c r="E48" s="16"/>
      <c r="F48" s="16"/>
      <c r="G48" s="34"/>
      <c r="H48" s="7"/>
      <c r="J48" s="9"/>
      <c r="K48" s="7"/>
      <c r="L48" s="1"/>
      <c r="M48" s="9"/>
      <c r="N48" s="7"/>
      <c r="P48" s="51"/>
      <c r="Q48" s="7"/>
      <c r="S48" s="51"/>
      <c r="T48" s="7"/>
      <c r="V48" s="9"/>
      <c r="W48" s="8"/>
      <c r="X48" s="16"/>
      <c r="Y48" s="16"/>
      <c r="Z48" s="8"/>
      <c r="AA48" s="6"/>
      <c r="AB48" s="30"/>
      <c r="AC48" s="7"/>
    </row>
    <row r="49" spans="2:29" x14ac:dyDescent="0.25">
      <c r="B49" t="s">
        <v>39</v>
      </c>
      <c r="C49" s="9" t="s">
        <v>59</v>
      </c>
      <c r="D49" s="8"/>
      <c r="E49" s="16">
        <f>H6</f>
        <v>110826.86000000002</v>
      </c>
      <c r="F49" s="16"/>
      <c r="G49" s="34"/>
      <c r="H49" s="7"/>
      <c r="J49" s="50">
        <v>19.05</v>
      </c>
      <c r="K49" s="7">
        <f>$E49*J49</f>
        <v>2111251.6830000002</v>
      </c>
      <c r="L49" s="1"/>
      <c r="M49" s="50">
        <f>J49-$K$66</f>
        <v>18.28731967210161</v>
      </c>
      <c r="N49" s="7">
        <f>$E49*M49</f>
        <v>2026726.2170752513</v>
      </c>
      <c r="P49" s="50"/>
      <c r="Q49" s="7">
        <f>H49*P49</f>
        <v>0</v>
      </c>
      <c r="S49" s="50"/>
      <c r="T49" s="7">
        <f>K49*S49</f>
        <v>0</v>
      </c>
      <c r="V49" s="9" t="s">
        <v>59</v>
      </c>
      <c r="W49" s="8"/>
      <c r="X49" s="16">
        <f>E49</f>
        <v>110826.86000000002</v>
      </c>
      <c r="Y49" s="16"/>
      <c r="Z49" s="30">
        <v>19.05</v>
      </c>
      <c r="AA49" s="6">
        <f>X49*Z49</f>
        <v>2111251.6830000002</v>
      </c>
      <c r="AB49" s="30">
        <f>M49</f>
        <v>18.28731967210161</v>
      </c>
      <c r="AC49" s="7">
        <f>X49*AB49</f>
        <v>2026726.2170752513</v>
      </c>
    </row>
    <row r="50" spans="2:29" x14ac:dyDescent="0.25">
      <c r="C50" s="9" t="s">
        <v>63</v>
      </c>
      <c r="D50" s="8"/>
      <c r="E50" s="16">
        <f>M6</f>
        <v>1226.71</v>
      </c>
      <c r="F50" s="16"/>
      <c r="G50" s="34"/>
      <c r="H50" s="7"/>
      <c r="J50" s="50">
        <v>19.05</v>
      </c>
      <c r="K50" s="7">
        <f>$E50*J50</f>
        <v>23368.825500000003</v>
      </c>
      <c r="L50" s="1"/>
      <c r="M50" s="50">
        <f t="shared" ref="M50:M53" si="2">J50-$K$66</f>
        <v>18.28731967210161</v>
      </c>
      <c r="N50" s="7">
        <f>$E50*M50</f>
        <v>22433.237914963767</v>
      </c>
      <c r="P50" s="50"/>
      <c r="Q50" s="7">
        <f>H50*P50</f>
        <v>0</v>
      </c>
      <c r="S50" s="50"/>
      <c r="T50" s="7">
        <f>K50*S50</f>
        <v>0</v>
      </c>
      <c r="V50" s="9" t="s">
        <v>63</v>
      </c>
      <c r="W50" s="8"/>
      <c r="X50" s="16">
        <f t="shared" ref="X50:X63" si="3">E50</f>
        <v>1226.71</v>
      </c>
      <c r="Y50" s="16"/>
      <c r="Z50" s="30">
        <v>19.05</v>
      </c>
      <c r="AA50" s="6">
        <f t="shared" ref="AA50:AA53" si="4">X50*Z50</f>
        <v>23368.825500000003</v>
      </c>
      <c r="AB50" s="30">
        <f t="shared" ref="AB50:AB53" si="5">M50</f>
        <v>18.28731967210161</v>
      </c>
      <c r="AC50" s="7">
        <f t="shared" ref="AC50:AC53" si="6">X50*AB50</f>
        <v>22433.237914963767</v>
      </c>
    </row>
    <row r="51" spans="2:29" x14ac:dyDescent="0.25">
      <c r="C51" s="9"/>
      <c r="D51" s="8"/>
      <c r="E51" s="16"/>
      <c r="F51" s="16"/>
      <c r="G51" s="34"/>
      <c r="H51" s="7"/>
      <c r="J51" s="50"/>
      <c r="K51" s="7"/>
      <c r="L51" s="1"/>
      <c r="M51" s="50"/>
      <c r="N51" s="7"/>
      <c r="P51" s="50"/>
      <c r="Q51" s="7"/>
      <c r="S51" s="50"/>
      <c r="T51" s="7"/>
      <c r="V51" s="9"/>
      <c r="W51" s="8"/>
      <c r="X51" s="16"/>
      <c r="Y51" s="16"/>
      <c r="Z51" s="30"/>
      <c r="AA51" s="6"/>
      <c r="AB51" s="30"/>
      <c r="AC51" s="7"/>
    </row>
    <row r="52" spans="2:29" x14ac:dyDescent="0.25">
      <c r="C52" s="9" t="s">
        <v>60</v>
      </c>
      <c r="D52" s="8"/>
      <c r="E52" s="16">
        <f>I6</f>
        <v>149355.99000000002</v>
      </c>
      <c r="F52" s="16"/>
      <c r="G52" s="34"/>
      <c r="H52" s="7"/>
      <c r="J52" s="50">
        <v>16.95</v>
      </c>
      <c r="K52" s="7">
        <f>$E52*J52</f>
        <v>2531584.0305000003</v>
      </c>
      <c r="L52" s="1"/>
      <c r="M52" s="50">
        <f t="shared" si="2"/>
        <v>16.187319672101609</v>
      </c>
      <c r="N52" s="7">
        <f>$E52*M52</f>
        <v>2417673.1550732115</v>
      </c>
      <c r="P52" s="50"/>
      <c r="Q52" s="7">
        <f>H52*P52</f>
        <v>0</v>
      </c>
      <c r="S52" s="50"/>
      <c r="T52" s="7">
        <f>K52*S52</f>
        <v>0</v>
      </c>
      <c r="V52" s="9" t="s">
        <v>60</v>
      </c>
      <c r="W52" s="8"/>
      <c r="X52" s="16">
        <f t="shared" si="3"/>
        <v>149355.99000000002</v>
      </c>
      <c r="Y52" s="16"/>
      <c r="Z52" s="30">
        <v>16.95</v>
      </c>
      <c r="AA52" s="6">
        <f t="shared" si="4"/>
        <v>2531584.0305000003</v>
      </c>
      <c r="AB52" s="30">
        <f t="shared" si="5"/>
        <v>16.187319672101609</v>
      </c>
      <c r="AC52" s="7">
        <f t="shared" si="6"/>
        <v>2417673.1550732115</v>
      </c>
    </row>
    <row r="53" spans="2:29" x14ac:dyDescent="0.25">
      <c r="C53" s="9" t="s">
        <v>63</v>
      </c>
      <c r="D53" s="8"/>
      <c r="E53" s="16">
        <f>N6</f>
        <v>823.50499999999988</v>
      </c>
      <c r="F53" s="16"/>
      <c r="G53" s="34"/>
      <c r="H53" s="7"/>
      <c r="J53" s="50">
        <v>16.95</v>
      </c>
      <c r="K53" s="7">
        <f>$E53*J53</f>
        <v>13958.409749999997</v>
      </c>
      <c r="L53" s="1"/>
      <c r="M53" s="50">
        <f t="shared" si="2"/>
        <v>16.187319672101609</v>
      </c>
      <c r="N53" s="7">
        <f>$E53*M53</f>
        <v>13330.338686574034</v>
      </c>
      <c r="P53" s="50"/>
      <c r="Q53" s="7">
        <f>H53*P53</f>
        <v>0</v>
      </c>
      <c r="S53" s="50"/>
      <c r="T53" s="7">
        <f>K53*S53</f>
        <v>0</v>
      </c>
      <c r="V53" s="9" t="s">
        <v>63</v>
      </c>
      <c r="W53" s="8"/>
      <c r="X53" s="16">
        <f t="shared" si="3"/>
        <v>823.50499999999988</v>
      </c>
      <c r="Y53" s="16"/>
      <c r="Z53" s="30">
        <v>16.95</v>
      </c>
      <c r="AA53" s="6">
        <f t="shared" si="4"/>
        <v>13958.409749999997</v>
      </c>
      <c r="AB53" s="30">
        <f t="shared" si="5"/>
        <v>16.187319672101609</v>
      </c>
      <c r="AC53" s="7">
        <f t="shared" si="6"/>
        <v>13330.338686574034</v>
      </c>
    </row>
    <row r="54" spans="2:29" x14ac:dyDescent="0.25">
      <c r="C54" s="9"/>
      <c r="D54" s="8"/>
      <c r="E54" s="16"/>
      <c r="F54" s="16"/>
      <c r="G54" s="34"/>
      <c r="H54" s="7"/>
      <c r="J54" s="51"/>
      <c r="K54" s="7"/>
      <c r="L54" s="1"/>
      <c r="M54" s="51"/>
      <c r="N54" s="7"/>
      <c r="P54" s="51"/>
      <c r="Q54" s="7"/>
      <c r="S54" s="51"/>
      <c r="T54" s="7"/>
      <c r="V54" s="9"/>
      <c r="W54" s="8"/>
      <c r="X54" s="16"/>
      <c r="Y54" s="16"/>
      <c r="Z54" s="8"/>
      <c r="AA54" s="8"/>
      <c r="AB54" s="31"/>
      <c r="AC54" s="7"/>
    </row>
    <row r="55" spans="2:29" x14ac:dyDescent="0.25">
      <c r="C55" s="9" t="s">
        <v>61</v>
      </c>
      <c r="D55" s="8"/>
      <c r="E55" s="16">
        <f>G6</f>
        <v>254981.54999999996</v>
      </c>
      <c r="F55" s="16"/>
      <c r="G55" s="30"/>
      <c r="H55" s="7">
        <f>$AB55*G55</f>
        <v>0</v>
      </c>
      <c r="J55" s="50"/>
      <c r="K55" s="7"/>
      <c r="L55" s="1"/>
      <c r="M55" s="50"/>
      <c r="N55" s="7"/>
      <c r="P55" s="76">
        <v>5.2</v>
      </c>
      <c r="Q55" s="7">
        <f>$E55*P55</f>
        <v>1325904.0599999998</v>
      </c>
      <c r="S55" s="76">
        <f>S103</f>
        <v>4.5897329271771667</v>
      </c>
      <c r="T55" s="7">
        <f>$E55*S55</f>
        <v>1170297.2158576709</v>
      </c>
      <c r="V55" s="9" t="s">
        <v>61</v>
      </c>
      <c r="W55" s="8"/>
      <c r="X55" s="16">
        <f t="shared" si="3"/>
        <v>254981.54999999996</v>
      </c>
      <c r="Y55" s="16"/>
      <c r="Z55" s="8"/>
      <c r="AA55" s="8"/>
      <c r="AB55" s="30"/>
      <c r="AC55" s="7"/>
    </row>
    <row r="56" spans="2:29" x14ac:dyDescent="0.25">
      <c r="C56" s="9" t="s">
        <v>69</v>
      </c>
      <c r="D56" s="8"/>
      <c r="E56" s="16">
        <f>L6</f>
        <v>153776.94999999998</v>
      </c>
      <c r="F56" s="16"/>
      <c r="G56" s="30"/>
      <c r="H56" s="7">
        <f>$AB56*G56</f>
        <v>0</v>
      </c>
      <c r="J56" s="50"/>
      <c r="K56" s="7"/>
      <c r="L56" s="1"/>
      <c r="M56" s="50"/>
      <c r="N56" s="7"/>
      <c r="P56" s="76">
        <v>5.2</v>
      </c>
      <c r="Q56" s="7">
        <f>$E56*P56</f>
        <v>799640.1399999999</v>
      </c>
      <c r="S56" s="76">
        <f t="shared" ref="S56:S63" si="7">S104</f>
        <v>4.5897329271771667</v>
      </c>
      <c r="T56" s="7">
        <f>$E56*S56</f>
        <v>705795.13085587672</v>
      </c>
      <c r="V56" s="9" t="s">
        <v>69</v>
      </c>
      <c r="W56" s="8"/>
      <c r="X56" s="16">
        <f t="shared" si="3"/>
        <v>153776.94999999998</v>
      </c>
      <c r="Y56" s="16"/>
      <c r="Z56" s="8"/>
      <c r="AA56" s="8"/>
      <c r="AB56" s="30"/>
      <c r="AC56" s="7"/>
    </row>
    <row r="57" spans="2:29" x14ac:dyDescent="0.25">
      <c r="C57" s="9" t="s">
        <v>70</v>
      </c>
      <c r="D57" s="8"/>
      <c r="E57" s="16">
        <f>Q6</f>
        <v>170922.05000000002</v>
      </c>
      <c r="F57" s="16"/>
      <c r="G57" s="30"/>
      <c r="H57" s="7"/>
      <c r="J57" s="50"/>
      <c r="K57" s="7"/>
      <c r="L57" s="1"/>
      <c r="M57" s="50"/>
      <c r="N57" s="7"/>
      <c r="P57" s="76">
        <v>5.2</v>
      </c>
      <c r="Q57" s="7"/>
      <c r="S57" s="76"/>
      <c r="T57" s="7"/>
      <c r="V57" s="9" t="s">
        <v>70</v>
      </c>
      <c r="W57" s="8"/>
      <c r="X57" s="16">
        <f t="shared" si="3"/>
        <v>170922.05000000002</v>
      </c>
      <c r="Y57" s="16"/>
      <c r="Z57" s="8"/>
      <c r="AA57" s="8"/>
      <c r="AB57" s="30"/>
      <c r="AC57" s="7"/>
    </row>
    <row r="58" spans="2:29" x14ac:dyDescent="0.25">
      <c r="C58" s="9"/>
      <c r="D58" s="8"/>
      <c r="E58" s="16"/>
      <c r="F58" s="16"/>
      <c r="G58" s="30"/>
      <c r="H58" s="7"/>
      <c r="J58" s="50"/>
      <c r="K58" s="7"/>
      <c r="L58" s="1"/>
      <c r="M58" s="50"/>
      <c r="N58" s="7"/>
      <c r="P58" s="76"/>
      <c r="Q58" s="7"/>
      <c r="S58" s="76"/>
      <c r="T58" s="7"/>
      <c r="V58" s="9"/>
      <c r="W58" s="8"/>
      <c r="X58" s="16"/>
      <c r="Y58" s="16"/>
      <c r="Z58" s="8"/>
      <c r="AA58" s="8"/>
      <c r="AB58" s="30"/>
      <c r="AC58" s="7"/>
    </row>
    <row r="59" spans="2:29" x14ac:dyDescent="0.25">
      <c r="C59" s="9" t="s">
        <v>66</v>
      </c>
      <c r="D59" s="8"/>
      <c r="E59" s="16">
        <f>F6</f>
        <v>260182.84999999998</v>
      </c>
      <c r="F59" s="16"/>
      <c r="G59" s="30"/>
      <c r="H59" s="7">
        <f>$AB59*G59</f>
        <v>0</v>
      </c>
      <c r="J59" s="50"/>
      <c r="K59" s="7"/>
      <c r="L59" s="1"/>
      <c r="M59" s="50"/>
      <c r="N59" s="7"/>
      <c r="P59" s="76">
        <v>4.53</v>
      </c>
      <c r="Q59" s="7">
        <f>$E59*P59</f>
        <v>1178628.3104999999</v>
      </c>
      <c r="S59" s="76">
        <f t="shared" si="7"/>
        <v>3.9197329271771664</v>
      </c>
      <c r="T59" s="7">
        <f>$E59*S59</f>
        <v>1019847.2842317976</v>
      </c>
      <c r="V59" s="9" t="s">
        <v>66</v>
      </c>
      <c r="W59" s="8"/>
      <c r="X59" s="16">
        <f t="shared" si="3"/>
        <v>260182.84999999998</v>
      </c>
      <c r="Y59" s="16"/>
      <c r="Z59" s="8"/>
      <c r="AA59" s="8"/>
      <c r="AB59" s="30"/>
      <c r="AC59" s="7"/>
    </row>
    <row r="60" spans="2:29" x14ac:dyDescent="0.25">
      <c r="C60" s="9" t="s">
        <v>63</v>
      </c>
      <c r="D60" s="8"/>
      <c r="E60" s="16">
        <f>K6</f>
        <v>2050.2149999999997</v>
      </c>
      <c r="F60" s="16"/>
      <c r="G60" s="30"/>
      <c r="H60" s="7">
        <f>$AB60*G60</f>
        <v>0</v>
      </c>
      <c r="J60" s="50"/>
      <c r="K60" s="7"/>
      <c r="L60" s="1"/>
      <c r="M60" s="50"/>
      <c r="N60" s="7"/>
      <c r="P60" s="76">
        <v>4.53</v>
      </c>
      <c r="Q60" s="7">
        <f>$E60*P60</f>
        <v>9287.4739499999996</v>
      </c>
      <c r="S60" s="76">
        <f t="shared" si="7"/>
        <v>3.9197329271771664</v>
      </c>
      <c r="T60" s="7">
        <f>$E60*S60</f>
        <v>8036.2952432925331</v>
      </c>
      <c r="V60" s="9" t="s">
        <v>63</v>
      </c>
      <c r="W60" s="8"/>
      <c r="X60" s="16">
        <f t="shared" si="3"/>
        <v>2050.2149999999997</v>
      </c>
      <c r="Y60" s="16"/>
      <c r="Z60" s="8"/>
      <c r="AA60" s="8"/>
      <c r="AB60" s="30"/>
      <c r="AC60" s="7"/>
    </row>
    <row r="61" spans="2:29" x14ac:dyDescent="0.25">
      <c r="C61" s="9"/>
      <c r="D61" s="8"/>
      <c r="E61" s="16"/>
      <c r="F61" s="16"/>
      <c r="G61" s="30"/>
      <c r="H61" s="7"/>
      <c r="J61" s="50"/>
      <c r="K61" s="7"/>
      <c r="L61" s="1"/>
      <c r="M61" s="50"/>
      <c r="N61" s="7"/>
      <c r="P61" s="9"/>
      <c r="Q61" s="7"/>
      <c r="S61" s="76"/>
      <c r="T61" s="7"/>
      <c r="V61" s="9"/>
      <c r="W61" s="8"/>
      <c r="X61" s="16">
        <f t="shared" si="3"/>
        <v>0</v>
      </c>
      <c r="Y61" s="16"/>
      <c r="Z61" s="8"/>
      <c r="AA61" s="8"/>
      <c r="AB61" s="30"/>
      <c r="AC61" s="7"/>
    </row>
    <row r="62" spans="2:29" x14ac:dyDescent="0.25">
      <c r="C62" s="9" t="s">
        <v>62</v>
      </c>
      <c r="D62" s="8"/>
      <c r="E62" s="16">
        <f>E6</f>
        <v>260182.84999999998</v>
      </c>
      <c r="F62" s="16"/>
      <c r="G62" s="30"/>
      <c r="H62" s="7">
        <f>$AB62*G62</f>
        <v>0</v>
      </c>
      <c r="J62" s="50"/>
      <c r="K62" s="7"/>
      <c r="L62" s="1"/>
      <c r="M62" s="50"/>
      <c r="N62" s="7"/>
      <c r="P62" s="76">
        <v>6.13</v>
      </c>
      <c r="Q62" s="7">
        <f>$E62*P62</f>
        <v>1594920.8704999997</v>
      </c>
      <c r="S62" s="76">
        <f t="shared" si="7"/>
        <v>5.5197329271771665</v>
      </c>
      <c r="T62" s="7">
        <f t="shared" ref="T62:T63" si="8">$E62*S62</f>
        <v>1436139.8442317974</v>
      </c>
      <c r="V62" s="9" t="s">
        <v>62</v>
      </c>
      <c r="W62" s="8"/>
      <c r="X62" s="16">
        <f t="shared" si="3"/>
        <v>260182.84999999998</v>
      </c>
      <c r="Y62" s="16"/>
      <c r="Z62" s="8"/>
      <c r="AA62" s="8"/>
      <c r="AB62" s="30"/>
      <c r="AC62" s="7"/>
    </row>
    <row r="63" spans="2:29" x14ac:dyDescent="0.25">
      <c r="C63" s="9" t="s">
        <v>63</v>
      </c>
      <c r="D63" s="8"/>
      <c r="E63" s="16">
        <f>J6</f>
        <v>2050.2150000000001</v>
      </c>
      <c r="F63" s="16"/>
      <c r="G63" s="8"/>
      <c r="H63" s="7">
        <f>$AB63*G63</f>
        <v>0</v>
      </c>
      <c r="J63" s="50"/>
      <c r="K63" s="7"/>
      <c r="L63" s="1"/>
      <c r="M63" s="50"/>
      <c r="N63" s="7"/>
      <c r="P63" s="76">
        <v>6.13</v>
      </c>
      <c r="Q63" s="7">
        <f>$E63*P63</f>
        <v>12567.817950000001</v>
      </c>
      <c r="S63" s="76">
        <f t="shared" si="7"/>
        <v>5.5197329271771665</v>
      </c>
      <c r="T63" s="7">
        <f t="shared" si="8"/>
        <v>11316.639243292535</v>
      </c>
      <c r="V63" s="9" t="s">
        <v>63</v>
      </c>
      <c r="W63" s="8"/>
      <c r="X63" s="16">
        <f t="shared" si="3"/>
        <v>2050.2150000000001</v>
      </c>
      <c r="Y63" s="16"/>
      <c r="Z63" s="8"/>
      <c r="AA63" s="8"/>
      <c r="AB63" s="30"/>
      <c r="AC63" s="7"/>
    </row>
    <row r="64" spans="2:29" x14ac:dyDescent="0.25">
      <c r="C64" s="9"/>
      <c r="D64" s="8"/>
      <c r="E64" s="8"/>
      <c r="F64" s="8"/>
      <c r="G64" s="8"/>
      <c r="H64" s="23"/>
      <c r="J64" s="84"/>
      <c r="K64" s="23"/>
      <c r="L64" s="1"/>
      <c r="M64" s="84"/>
      <c r="N64" s="23"/>
      <c r="P64" s="76"/>
      <c r="Q64" s="23"/>
      <c r="S64" s="76"/>
      <c r="T64" s="23"/>
      <c r="V64" s="9"/>
      <c r="W64" s="8"/>
      <c r="X64" s="8"/>
      <c r="Y64" s="8"/>
      <c r="Z64" s="8"/>
      <c r="AA64" s="8"/>
      <c r="AB64" s="6"/>
      <c r="AC64" s="23"/>
    </row>
    <row r="65" spans="2:31" ht="15.75" thickBot="1" x14ac:dyDescent="0.3">
      <c r="C65" s="13" t="s">
        <v>64</v>
      </c>
      <c r="D65" s="29"/>
      <c r="E65" s="29"/>
      <c r="F65" s="29"/>
      <c r="G65" s="29"/>
      <c r="H65" s="5">
        <f>SUM(H45:H64)</f>
        <v>6174376.0316580003</v>
      </c>
      <c r="J65" s="52"/>
      <c r="K65" s="5">
        <f>SUM(K45:K64)</f>
        <v>7430985.4968540007</v>
      </c>
      <c r="L65" s="1"/>
      <c r="M65" s="52"/>
      <c r="N65" s="5">
        <f>SUM(N45:N64)</f>
        <v>7230985.4968540007</v>
      </c>
      <c r="P65" s="52"/>
      <c r="Q65" s="5">
        <f>SUM(Q45:Q64)</f>
        <v>7813152.3703139992</v>
      </c>
      <c r="S65" s="52"/>
      <c r="T65" s="5">
        <f>SUM(T45:T64)</f>
        <v>7243636.107077728</v>
      </c>
      <c r="U65" s="242">
        <f>K65-T65</f>
        <v>187349.3897762727</v>
      </c>
      <c r="V65" s="13" t="s">
        <v>64</v>
      </c>
      <c r="W65" s="29"/>
      <c r="X65" s="29"/>
      <c r="Y65" s="29"/>
      <c r="Z65" s="29"/>
      <c r="AA65" s="215">
        <f>SUM(AA45:AA64)</f>
        <v>7430985.4968540007</v>
      </c>
      <c r="AB65" s="215"/>
      <c r="AC65" s="5">
        <f>SUM(AC45:AC64)</f>
        <v>7230985.4968540007</v>
      </c>
      <c r="AE65" s="1">
        <f>AA65-AC65</f>
        <v>200000</v>
      </c>
    </row>
    <row r="66" spans="2:31" ht="15.75" thickBot="1" x14ac:dyDescent="0.3">
      <c r="C66" s="8"/>
      <c r="D66" s="8"/>
      <c r="E66" s="8"/>
      <c r="F66" s="8"/>
      <c r="G66" s="8"/>
      <c r="H66" s="6"/>
      <c r="J66" s="6">
        <v>200000</v>
      </c>
      <c r="K66" s="245">
        <f>J66/(SUM(E49:E53))</f>
        <v>0.76268032789839046</v>
      </c>
      <c r="L66" s="1"/>
      <c r="O66" s="1">
        <f>K65-N65</f>
        <v>200000</v>
      </c>
      <c r="Q66" s="6"/>
      <c r="S66" s="83"/>
      <c r="U66" s="1">
        <f>Q65-T65</f>
        <v>569516.26323627122</v>
      </c>
    </row>
    <row r="67" spans="2:31" ht="15.75" thickBot="1" x14ac:dyDescent="0.3">
      <c r="B67" t="s">
        <v>38</v>
      </c>
      <c r="C67" s="12"/>
      <c r="D67" s="244" t="s">
        <v>85</v>
      </c>
      <c r="E67" s="244" t="s">
        <v>86</v>
      </c>
      <c r="F67" s="244" t="s">
        <v>87</v>
      </c>
      <c r="G67" s="291" t="s">
        <v>43</v>
      </c>
      <c r="H67" s="283"/>
      <c r="J67" s="282" t="s">
        <v>39</v>
      </c>
      <c r="K67" s="283"/>
      <c r="M67" s="282" t="s">
        <v>39</v>
      </c>
      <c r="N67" s="283"/>
      <c r="P67" s="282" t="s">
        <v>38</v>
      </c>
      <c r="Q67" s="283"/>
      <c r="S67" s="282" t="s">
        <v>38</v>
      </c>
      <c r="T67" s="283"/>
      <c r="V67" s="12"/>
      <c r="W67" s="214" t="s">
        <v>85</v>
      </c>
      <c r="X67" s="214" t="s">
        <v>86</v>
      </c>
      <c r="Y67" s="214" t="s">
        <v>87</v>
      </c>
      <c r="Z67" s="292" t="s">
        <v>92</v>
      </c>
      <c r="AA67" s="293"/>
      <c r="AB67" s="292" t="s">
        <v>93</v>
      </c>
      <c r="AC67" s="293"/>
    </row>
    <row r="68" spans="2:31" x14ac:dyDescent="0.25">
      <c r="C68" s="9"/>
      <c r="D68" s="8"/>
      <c r="E68" s="8"/>
      <c r="F68" s="8"/>
      <c r="G68" s="8"/>
      <c r="H68" s="23"/>
      <c r="J68" s="9"/>
      <c r="K68" s="23"/>
      <c r="M68" s="9"/>
      <c r="N68" s="23"/>
      <c r="P68" s="9"/>
      <c r="Q68" s="23"/>
      <c r="S68" s="9"/>
      <c r="T68" s="23"/>
      <c r="V68" s="9"/>
      <c r="W68" s="8"/>
      <c r="X68" s="8"/>
      <c r="Y68" s="8"/>
      <c r="Z68" s="8"/>
      <c r="AA68" s="8"/>
      <c r="AB68" s="8"/>
      <c r="AC68" s="23"/>
    </row>
    <row r="69" spans="2:31" x14ac:dyDescent="0.25">
      <c r="C69" s="9" t="s">
        <v>58</v>
      </c>
      <c r="D69" s="16">
        <f>12*B8</f>
        <v>1176</v>
      </c>
      <c r="E69" s="8"/>
      <c r="F69" s="8"/>
      <c r="G69" s="33">
        <v>40</v>
      </c>
      <c r="H69" s="7">
        <f>D69*G69</f>
        <v>47040</v>
      </c>
      <c r="J69" s="50">
        <v>90</v>
      </c>
      <c r="K69" s="7">
        <f>$D69*J69</f>
        <v>105840</v>
      </c>
      <c r="L69" s="1"/>
      <c r="M69" s="50">
        <v>90</v>
      </c>
      <c r="N69" s="7">
        <f>$D69*M69</f>
        <v>105840</v>
      </c>
      <c r="P69" s="76">
        <v>200</v>
      </c>
      <c r="Q69" s="7">
        <f>$D69*P69</f>
        <v>235200</v>
      </c>
      <c r="S69" s="76">
        <v>200</v>
      </c>
      <c r="T69" s="7">
        <f>$D69*S69</f>
        <v>235200</v>
      </c>
      <c r="V69" s="9" t="s">
        <v>58</v>
      </c>
      <c r="W69" s="16">
        <f>D69</f>
        <v>1176</v>
      </c>
      <c r="X69" s="8"/>
      <c r="Y69" s="8"/>
      <c r="Z69" s="30">
        <v>200</v>
      </c>
      <c r="AA69" s="6">
        <f>W69*Z69</f>
        <v>235200</v>
      </c>
      <c r="AB69" s="33">
        <v>200</v>
      </c>
      <c r="AC69" s="7">
        <f>W69*AB69</f>
        <v>235200</v>
      </c>
    </row>
    <row r="70" spans="2:31" x14ac:dyDescent="0.25">
      <c r="C70" s="9"/>
      <c r="D70" s="8"/>
      <c r="E70" s="8"/>
      <c r="F70" s="8"/>
      <c r="G70" s="33"/>
      <c r="H70" s="7"/>
      <c r="J70" s="50"/>
      <c r="K70" s="7"/>
      <c r="L70" s="1"/>
      <c r="M70" s="50"/>
      <c r="N70" s="7"/>
      <c r="P70" s="76"/>
      <c r="Q70" s="7"/>
      <c r="S70" s="76"/>
      <c r="T70" s="7"/>
      <c r="V70" s="9"/>
      <c r="W70" s="8"/>
      <c r="X70" s="8"/>
      <c r="Y70" s="8"/>
      <c r="Z70" s="8"/>
      <c r="AA70" s="6"/>
      <c r="AB70" s="33"/>
      <c r="AC70" s="7"/>
    </row>
    <row r="71" spans="2:31" x14ac:dyDescent="0.25">
      <c r="C71" s="9" t="s">
        <v>46</v>
      </c>
      <c r="D71" s="8"/>
      <c r="E71" s="16"/>
      <c r="F71" s="16">
        <f>D8</f>
        <v>139498199.24900001</v>
      </c>
      <c r="G71" s="34">
        <v>8.3690000000000001E-2</v>
      </c>
      <c r="H71" s="7">
        <f>F71*G71</f>
        <v>11674604.29514881</v>
      </c>
      <c r="J71" s="51">
        <v>3.5720000000000002E-2</v>
      </c>
      <c r="K71" s="7">
        <f>J71*$F71</f>
        <v>4982875.6771742804</v>
      </c>
      <c r="L71" s="1"/>
      <c r="M71" s="51">
        <v>3.5720000000000002E-2</v>
      </c>
      <c r="N71" s="7">
        <f>M71*$F71</f>
        <v>4982875.6771742804</v>
      </c>
      <c r="P71" s="80">
        <v>3.5270000000000003E-2</v>
      </c>
      <c r="Q71" s="7">
        <f>$F71*P71</f>
        <v>4920101.4875122309</v>
      </c>
      <c r="S71" s="80">
        <v>3.5270000000000003E-2</v>
      </c>
      <c r="T71" s="7">
        <f>$F71*S71</f>
        <v>4920101.4875122309</v>
      </c>
      <c r="V71" s="9" t="s">
        <v>46</v>
      </c>
      <c r="W71" s="8"/>
      <c r="X71" s="16"/>
      <c r="Y71" s="16">
        <f>F71</f>
        <v>139498199.24900001</v>
      </c>
      <c r="Z71" s="31">
        <v>3.5270000000000003E-2</v>
      </c>
      <c r="AA71" s="6">
        <f>Y71*Z71</f>
        <v>4920101.4875122309</v>
      </c>
      <c r="AB71" s="34">
        <v>3.5270000000000003E-2</v>
      </c>
      <c r="AC71" s="7">
        <f>Y71*AB71</f>
        <v>4920101.4875122309</v>
      </c>
    </row>
    <row r="72" spans="2:31" x14ac:dyDescent="0.25">
      <c r="C72" s="9"/>
      <c r="D72" s="8"/>
      <c r="E72" s="16"/>
      <c r="F72" s="16"/>
      <c r="G72" s="34"/>
      <c r="H72" s="7"/>
      <c r="J72" s="9"/>
      <c r="K72" s="7"/>
      <c r="L72" s="1"/>
      <c r="M72" s="9"/>
      <c r="N72" s="7"/>
      <c r="P72" s="51"/>
      <c r="Q72" s="7"/>
      <c r="S72" s="51"/>
      <c r="T72" s="7"/>
      <c r="V72" s="9"/>
      <c r="W72" s="8"/>
      <c r="X72" s="16"/>
      <c r="Y72" s="16"/>
      <c r="Z72" s="8"/>
      <c r="AA72" s="6"/>
      <c r="AB72" s="31"/>
      <c r="AC72" s="23"/>
    </row>
    <row r="73" spans="2:31" x14ac:dyDescent="0.25">
      <c r="C73" s="9" t="s">
        <v>59</v>
      </c>
      <c r="D73" s="8"/>
      <c r="E73" s="16">
        <f>H8</f>
        <v>180829.81644999998</v>
      </c>
      <c r="F73" s="16"/>
      <c r="G73" s="34"/>
      <c r="H73" s="7"/>
      <c r="J73" s="50">
        <v>19.05</v>
      </c>
      <c r="K73" s="7">
        <f>$E73*J73</f>
        <v>3444808.0033724997</v>
      </c>
      <c r="L73" s="1"/>
      <c r="M73" s="50">
        <f>M97</f>
        <v>17.637617410691828</v>
      </c>
      <c r="N73" s="7">
        <f>$E73*M73</f>
        <v>3189407.1189907272</v>
      </c>
      <c r="P73" s="50"/>
      <c r="Q73" s="7">
        <f>$E73*P73</f>
        <v>0</v>
      </c>
      <c r="S73" s="50"/>
      <c r="T73" s="7">
        <f>K73*S73</f>
        <v>0</v>
      </c>
      <c r="V73" s="9" t="s">
        <v>59</v>
      </c>
      <c r="W73" s="8"/>
      <c r="X73" s="16">
        <f>E73</f>
        <v>180829.81644999998</v>
      </c>
      <c r="Y73" s="16"/>
      <c r="Z73" s="8"/>
      <c r="AA73" s="6"/>
      <c r="AB73" s="30"/>
      <c r="AC73" s="23"/>
    </row>
    <row r="74" spans="2:31" x14ac:dyDescent="0.25">
      <c r="B74" t="s">
        <v>38</v>
      </c>
      <c r="C74" s="9" t="s">
        <v>63</v>
      </c>
      <c r="D74" s="8"/>
      <c r="E74" s="16">
        <f>M8</f>
        <v>2812.2999999999997</v>
      </c>
      <c r="F74" s="16"/>
      <c r="G74" s="34"/>
      <c r="H74" s="7"/>
      <c r="J74" s="50">
        <v>19.05</v>
      </c>
      <c r="K74" s="7">
        <f>$E74*J74</f>
        <v>53574.314999999995</v>
      </c>
      <c r="L74" s="1"/>
      <c r="M74" s="50">
        <f t="shared" ref="M74:M77" si="9">M98</f>
        <v>17.637617410691828</v>
      </c>
      <c r="N74" s="7">
        <f>$E74*M74</f>
        <v>49602.271444088619</v>
      </c>
      <c r="P74" s="50"/>
      <c r="Q74" s="7">
        <f>$E74*P74</f>
        <v>0</v>
      </c>
      <c r="S74" s="50"/>
      <c r="T74" s="7">
        <f>K74*S74</f>
        <v>0</v>
      </c>
      <c r="V74" s="9" t="s">
        <v>63</v>
      </c>
      <c r="W74" s="8"/>
      <c r="X74" s="16">
        <f t="shared" ref="X74:X87" si="10">E74</f>
        <v>2812.2999999999997</v>
      </c>
      <c r="Y74" s="16"/>
      <c r="Z74" s="8"/>
      <c r="AA74" s="6"/>
      <c r="AB74" s="30"/>
      <c r="AC74" s="23"/>
    </row>
    <row r="75" spans="2:31" x14ac:dyDescent="0.25">
      <c r="C75" s="9"/>
      <c r="D75" s="8"/>
      <c r="E75" s="16"/>
      <c r="F75" s="16"/>
      <c r="G75" s="34"/>
      <c r="H75" s="7"/>
      <c r="J75" s="50"/>
      <c r="K75" s="7"/>
      <c r="L75" s="1"/>
      <c r="M75" s="50"/>
      <c r="N75" s="7"/>
      <c r="P75" s="50"/>
      <c r="Q75" s="7"/>
      <c r="S75" s="50"/>
      <c r="T75" s="7"/>
      <c r="V75" s="9"/>
      <c r="W75" s="8"/>
      <c r="X75" s="16">
        <f t="shared" si="10"/>
        <v>0</v>
      </c>
      <c r="Y75" s="16"/>
      <c r="Z75" s="8"/>
      <c r="AA75" s="6"/>
      <c r="AB75" s="30"/>
      <c r="AC75" s="23"/>
    </row>
    <row r="76" spans="2:31" x14ac:dyDescent="0.25">
      <c r="C76" s="9" t="s">
        <v>60</v>
      </c>
      <c r="D76" s="8"/>
      <c r="E76" s="16">
        <f>I8</f>
        <v>261905.53501999998</v>
      </c>
      <c r="F76" s="16"/>
      <c r="G76" s="34"/>
      <c r="H76" s="7"/>
      <c r="J76" s="50">
        <v>16.95</v>
      </c>
      <c r="K76" s="7">
        <f>$E76*J76</f>
        <v>4439298.8185889991</v>
      </c>
      <c r="L76" s="1"/>
      <c r="M76" s="50">
        <f t="shared" si="9"/>
        <v>15.537617410691825</v>
      </c>
      <c r="N76" s="7">
        <f>$E76*M76</f>
        <v>4069388.0008833092</v>
      </c>
      <c r="P76" s="50"/>
      <c r="Q76" s="7">
        <f>$E76*P76</f>
        <v>0</v>
      </c>
      <c r="S76" s="50"/>
      <c r="T76" s="7">
        <f>K76*S76</f>
        <v>0</v>
      </c>
      <c r="V76" s="9" t="s">
        <v>60</v>
      </c>
      <c r="W76" s="8"/>
      <c r="X76" s="16">
        <f t="shared" si="10"/>
        <v>261905.53501999998</v>
      </c>
      <c r="Y76" s="16"/>
      <c r="Z76" s="8"/>
      <c r="AA76" s="6"/>
      <c r="AB76" s="30"/>
      <c r="AC76" s="23"/>
    </row>
    <row r="77" spans="2:31" x14ac:dyDescent="0.25">
      <c r="C77" s="9" t="s">
        <v>63</v>
      </c>
      <c r="D77" s="8"/>
      <c r="E77" s="16">
        <f>N8</f>
        <v>242.73806000000002</v>
      </c>
      <c r="F77" s="16"/>
      <c r="G77" s="34"/>
      <c r="H77" s="7"/>
      <c r="J77" s="50">
        <v>16.95</v>
      </c>
      <c r="K77" s="7">
        <f>$E77*J77</f>
        <v>4114.4101170000004</v>
      </c>
      <c r="L77" s="1"/>
      <c r="M77" s="50">
        <f t="shared" si="9"/>
        <v>15.537617410691825</v>
      </c>
      <c r="N77" s="7">
        <f>$E77*M77</f>
        <v>3771.5711072935569</v>
      </c>
      <c r="P77" s="50"/>
      <c r="Q77" s="7">
        <f>$E77*P77</f>
        <v>0</v>
      </c>
      <c r="S77" s="50"/>
      <c r="T77" s="7">
        <f>K77*S77</f>
        <v>0</v>
      </c>
      <c r="V77" s="9" t="s">
        <v>63</v>
      </c>
      <c r="W77" s="8"/>
      <c r="X77" s="16">
        <f t="shared" si="10"/>
        <v>242.73806000000002</v>
      </c>
      <c r="Y77" s="16"/>
      <c r="Z77" s="8"/>
      <c r="AA77" s="6"/>
      <c r="AB77" s="30"/>
      <c r="AC77" s="23"/>
    </row>
    <row r="78" spans="2:31" x14ac:dyDescent="0.25">
      <c r="C78" s="9"/>
      <c r="D78" s="8"/>
      <c r="E78" s="16"/>
      <c r="F78" s="16"/>
      <c r="G78" s="34"/>
      <c r="H78" s="7"/>
      <c r="J78" s="51"/>
      <c r="K78" s="7"/>
      <c r="L78" s="1"/>
      <c r="M78" s="51"/>
      <c r="N78" s="7"/>
      <c r="P78" s="51"/>
      <c r="Q78" s="7"/>
      <c r="S78" s="51"/>
      <c r="T78" s="7"/>
      <c r="V78" s="9"/>
      <c r="W78" s="8"/>
      <c r="X78" s="16"/>
      <c r="Y78" s="16"/>
      <c r="Z78" s="8"/>
      <c r="AA78" s="6"/>
      <c r="AB78" s="31"/>
      <c r="AC78" s="23"/>
    </row>
    <row r="79" spans="2:31" x14ac:dyDescent="0.25">
      <c r="C79" s="9" t="s">
        <v>61</v>
      </c>
      <c r="D79" s="8"/>
      <c r="E79" s="16">
        <f>G8</f>
        <v>446762.15146999998</v>
      </c>
      <c r="F79" s="16"/>
      <c r="G79" s="30"/>
      <c r="H79" s="7">
        <f>$AB77*G79</f>
        <v>0</v>
      </c>
      <c r="J79" s="50"/>
      <c r="K79" s="7"/>
      <c r="L79" s="1"/>
      <c r="M79" s="50"/>
      <c r="N79" s="7"/>
      <c r="P79" s="76">
        <v>5.2</v>
      </c>
      <c r="Q79" s="7">
        <f>$E79*P79</f>
        <v>2323163.1876440002</v>
      </c>
      <c r="S79" s="76">
        <f>S103</f>
        <v>4.5897329271771667</v>
      </c>
      <c r="T79" s="7">
        <f>$E79*S79</f>
        <v>2050518.9572183718</v>
      </c>
      <c r="V79" s="9" t="s">
        <v>61</v>
      </c>
      <c r="W79" s="8"/>
      <c r="X79" s="16">
        <f t="shared" si="10"/>
        <v>446762.15146999998</v>
      </c>
      <c r="Y79" s="16"/>
      <c r="Z79" s="30">
        <v>5.2</v>
      </c>
      <c r="AA79" s="6">
        <f>X79*Z79</f>
        <v>2323163.1876440002</v>
      </c>
      <c r="AB79" s="33">
        <f>S79</f>
        <v>4.5897329271771667</v>
      </c>
      <c r="AC79" s="7">
        <f>X79*AB79</f>
        <v>2050518.9572183718</v>
      </c>
    </row>
    <row r="80" spans="2:31" x14ac:dyDescent="0.25">
      <c r="C80" s="9" t="s">
        <v>69</v>
      </c>
      <c r="D80" s="8"/>
      <c r="E80" s="16">
        <f>L8</f>
        <v>19991.603780000001</v>
      </c>
      <c r="F80" s="16"/>
      <c r="G80" s="30"/>
      <c r="H80" s="7">
        <f>$AB78*G80</f>
        <v>0</v>
      </c>
      <c r="J80" s="50"/>
      <c r="K80" s="7"/>
      <c r="L80" s="1"/>
      <c r="M80" s="50"/>
      <c r="N80" s="7"/>
      <c r="P80" s="76">
        <v>5.2</v>
      </c>
      <c r="Q80" s="7">
        <f>$E80*P80</f>
        <v>103956.33965600001</v>
      </c>
      <c r="S80" s="76">
        <f t="shared" ref="S80:S87" si="11">S104</f>
        <v>4.5897329271771667</v>
      </c>
      <c r="T80" s="7">
        <f>$E80*S80</f>
        <v>91756.12213614551</v>
      </c>
      <c r="V80" s="9" t="s">
        <v>69</v>
      </c>
      <c r="W80" s="8"/>
      <c r="X80" s="16">
        <f t="shared" si="10"/>
        <v>19991.603780000001</v>
      </c>
      <c r="Y80" s="16"/>
      <c r="Z80" s="30">
        <v>5.2</v>
      </c>
      <c r="AA80" s="6">
        <f t="shared" ref="AA80:AA87" si="12">X80*Z80</f>
        <v>103956.33965600001</v>
      </c>
      <c r="AB80" s="33">
        <f t="shared" ref="AB80:AB87" si="13">S80</f>
        <v>4.5897329271771667</v>
      </c>
      <c r="AC80" s="7">
        <f t="shared" ref="AC80:AC87" si="14">X80*AB80</f>
        <v>91756.12213614551</v>
      </c>
    </row>
    <row r="81" spans="3:31" x14ac:dyDescent="0.25">
      <c r="C81" s="9" t="s">
        <v>70</v>
      </c>
      <c r="D81" s="8"/>
      <c r="E81" s="16">
        <f>Q8</f>
        <v>118879.74632999999</v>
      </c>
      <c r="F81" s="16"/>
      <c r="G81" s="30"/>
      <c r="H81" s="7"/>
      <c r="J81" s="50"/>
      <c r="K81" s="7"/>
      <c r="L81" s="1"/>
      <c r="M81" s="50"/>
      <c r="N81" s="7"/>
      <c r="P81" s="76">
        <v>5.2</v>
      </c>
      <c r="Q81" s="7"/>
      <c r="S81" s="76"/>
      <c r="T81" s="7"/>
      <c r="V81" s="9" t="s">
        <v>70</v>
      </c>
      <c r="W81" s="8"/>
      <c r="X81" s="16">
        <f t="shared" si="10"/>
        <v>118879.74632999999</v>
      </c>
      <c r="Y81" s="16"/>
      <c r="Z81" s="30">
        <v>5.2</v>
      </c>
      <c r="AA81" s="6"/>
      <c r="AB81" s="33">
        <f t="shared" si="13"/>
        <v>0</v>
      </c>
      <c r="AC81" s="7"/>
    </row>
    <row r="82" spans="3:31" x14ac:dyDescent="0.25">
      <c r="C82" s="9"/>
      <c r="D82" s="8"/>
      <c r="E82" s="16"/>
      <c r="F82" s="16"/>
      <c r="G82" s="30"/>
      <c r="H82" s="7"/>
      <c r="J82" s="50"/>
      <c r="K82" s="7"/>
      <c r="L82" s="1"/>
      <c r="M82" s="50"/>
      <c r="N82" s="7"/>
      <c r="P82" s="76"/>
      <c r="Q82" s="7"/>
      <c r="S82" s="76"/>
      <c r="T82" s="7"/>
      <c r="V82" s="9"/>
      <c r="W82" s="8"/>
      <c r="X82" s="16"/>
      <c r="Y82" s="16"/>
      <c r="Z82" s="30"/>
      <c r="AA82" s="6"/>
      <c r="AB82" s="33"/>
      <c r="AC82" s="7"/>
    </row>
    <row r="83" spans="3:31" x14ac:dyDescent="0.25">
      <c r="C83" s="9" t="s">
        <v>66</v>
      </c>
      <c r="D83" s="8"/>
      <c r="E83" s="16">
        <f>F8</f>
        <v>445242.25147000002</v>
      </c>
      <c r="F83" s="16"/>
      <c r="G83" s="30"/>
      <c r="H83" s="7">
        <f>$AB81*G83</f>
        <v>0</v>
      </c>
      <c r="J83" s="50"/>
      <c r="K83" s="7"/>
      <c r="L83" s="1"/>
      <c r="M83" s="50"/>
      <c r="N83" s="7"/>
      <c r="P83" s="76">
        <v>4.53</v>
      </c>
      <c r="Q83" s="7">
        <f>$E83*P83</f>
        <v>2016947.3991591001</v>
      </c>
      <c r="S83" s="76">
        <f t="shared" si="11"/>
        <v>3.9197329271771664</v>
      </c>
      <c r="T83" s="7">
        <f>$E83*S83</f>
        <v>1745230.7136574553</v>
      </c>
      <c r="V83" s="9" t="s">
        <v>66</v>
      </c>
      <c r="W83" s="8"/>
      <c r="X83" s="16">
        <f t="shared" si="10"/>
        <v>445242.25147000002</v>
      </c>
      <c r="Y83" s="16"/>
      <c r="Z83" s="30">
        <v>4.53</v>
      </c>
      <c r="AA83" s="6">
        <f t="shared" si="12"/>
        <v>2016947.3991591001</v>
      </c>
      <c r="AB83" s="33">
        <f t="shared" si="13"/>
        <v>3.9197329271771664</v>
      </c>
      <c r="AC83" s="7">
        <f t="shared" si="14"/>
        <v>1745230.7136574553</v>
      </c>
    </row>
    <row r="84" spans="3:31" x14ac:dyDescent="0.25">
      <c r="C84" s="9" t="s">
        <v>63</v>
      </c>
      <c r="D84" s="8"/>
      <c r="E84" s="16">
        <f>K8</f>
        <v>3066.5380599999999</v>
      </c>
      <c r="F84" s="16"/>
      <c r="G84" s="30"/>
      <c r="H84" s="7">
        <f>$AB82*G84</f>
        <v>0</v>
      </c>
      <c r="J84" s="50"/>
      <c r="K84" s="7"/>
      <c r="L84" s="1"/>
      <c r="M84" s="50"/>
      <c r="N84" s="7"/>
      <c r="P84" s="76">
        <v>4.53</v>
      </c>
      <c r="Q84" s="7">
        <f>$E84*P84</f>
        <v>13891.417411800001</v>
      </c>
      <c r="S84" s="76">
        <f t="shared" si="11"/>
        <v>3.9197329271771664</v>
      </c>
      <c r="T84" s="7">
        <f>$E84*S84</f>
        <v>12020.010206223989</v>
      </c>
      <c r="V84" s="9" t="s">
        <v>63</v>
      </c>
      <c r="W84" s="8"/>
      <c r="X84" s="16">
        <f t="shared" si="10"/>
        <v>3066.5380599999999</v>
      </c>
      <c r="Y84" s="16"/>
      <c r="Z84" s="30">
        <v>4.53</v>
      </c>
      <c r="AA84" s="6">
        <f t="shared" si="12"/>
        <v>13891.417411800001</v>
      </c>
      <c r="AB84" s="33">
        <f t="shared" si="13"/>
        <v>3.9197329271771664</v>
      </c>
      <c r="AC84" s="7">
        <f t="shared" si="14"/>
        <v>12020.010206223989</v>
      </c>
    </row>
    <row r="85" spans="3:31" x14ac:dyDescent="0.25">
      <c r="C85" s="9"/>
      <c r="D85" s="8"/>
      <c r="E85" s="16"/>
      <c r="F85" s="16"/>
      <c r="G85" s="30"/>
      <c r="H85" s="7"/>
      <c r="J85" s="50"/>
      <c r="K85" s="7"/>
      <c r="L85" s="1"/>
      <c r="M85" s="50"/>
      <c r="N85" s="7"/>
      <c r="P85" s="9"/>
      <c r="Q85" s="7"/>
      <c r="S85" s="76"/>
      <c r="T85" s="7"/>
      <c r="V85" s="9"/>
      <c r="W85" s="8"/>
      <c r="X85" s="16"/>
      <c r="Y85" s="16"/>
      <c r="Z85" s="30"/>
      <c r="AA85" s="6"/>
      <c r="AB85" s="33"/>
      <c r="AC85" s="7">
        <f t="shared" si="14"/>
        <v>0</v>
      </c>
    </row>
    <row r="86" spans="3:31" x14ac:dyDescent="0.25">
      <c r="C86" s="9" t="s">
        <v>62</v>
      </c>
      <c r="D86" s="8"/>
      <c r="E86" s="16">
        <f>E8</f>
        <v>442735.35146999994</v>
      </c>
      <c r="F86" s="16"/>
      <c r="G86" s="30"/>
      <c r="H86" s="7">
        <f>$AB84*G86</f>
        <v>0</v>
      </c>
      <c r="J86" s="50"/>
      <c r="K86" s="7"/>
      <c r="L86" s="1"/>
      <c r="M86" s="50"/>
      <c r="N86" s="7"/>
      <c r="P86" s="76">
        <v>6.13</v>
      </c>
      <c r="Q86" s="7">
        <f>$E86*P86</f>
        <v>2713967.7045110995</v>
      </c>
      <c r="S86" s="76">
        <f t="shared" si="11"/>
        <v>5.5197329271771665</v>
      </c>
      <c r="T86" s="7">
        <f>$E86*S86</f>
        <v>2443780.8975343145</v>
      </c>
      <c r="V86" s="9" t="s">
        <v>62</v>
      </c>
      <c r="W86" s="8"/>
      <c r="X86" s="16">
        <f t="shared" si="10"/>
        <v>442735.35146999994</v>
      </c>
      <c r="Y86" s="16"/>
      <c r="Z86" s="30">
        <v>6.13</v>
      </c>
      <c r="AA86" s="6">
        <f t="shared" si="12"/>
        <v>2713967.7045110995</v>
      </c>
      <c r="AB86" s="33">
        <f t="shared" si="13"/>
        <v>5.5197329271771665</v>
      </c>
      <c r="AC86" s="7">
        <f t="shared" si="14"/>
        <v>2443780.8975343145</v>
      </c>
    </row>
    <row r="87" spans="3:31" x14ac:dyDescent="0.25">
      <c r="C87" s="9" t="s">
        <v>63</v>
      </c>
      <c r="D87" s="8"/>
      <c r="E87" s="16">
        <f>J8</f>
        <v>3055.0380599999999</v>
      </c>
      <c r="F87" s="16"/>
      <c r="G87" s="8"/>
      <c r="H87" s="7">
        <f>$AB85*G87</f>
        <v>0</v>
      </c>
      <c r="J87" s="50"/>
      <c r="K87" s="7"/>
      <c r="L87" s="1"/>
      <c r="M87" s="50"/>
      <c r="N87" s="7"/>
      <c r="P87" s="76">
        <v>6.13</v>
      </c>
      <c r="Q87" s="7">
        <f>$E87*P87</f>
        <v>18727.383307799999</v>
      </c>
      <c r="S87" s="76">
        <f t="shared" si="11"/>
        <v>5.5197329271771665</v>
      </c>
      <c r="T87" s="7">
        <f>$E87*S87</f>
        <v>16862.994173561452</v>
      </c>
      <c r="V87" s="9" t="s">
        <v>63</v>
      </c>
      <c r="W87" s="8"/>
      <c r="X87" s="16">
        <f t="shared" si="10"/>
        <v>3055.0380599999999</v>
      </c>
      <c r="Y87" s="16"/>
      <c r="Z87" s="30">
        <v>6.13</v>
      </c>
      <c r="AA87" s="6">
        <f t="shared" si="12"/>
        <v>18727.383307799999</v>
      </c>
      <c r="AB87" s="33">
        <f t="shared" si="13"/>
        <v>5.5197329271771665</v>
      </c>
      <c r="AC87" s="7">
        <f t="shared" si="14"/>
        <v>16862.994173561452</v>
      </c>
    </row>
    <row r="88" spans="3:31" x14ac:dyDescent="0.25">
      <c r="C88" s="9"/>
      <c r="D88" s="8"/>
      <c r="E88" s="8"/>
      <c r="F88" s="8"/>
      <c r="G88" s="8"/>
      <c r="H88" s="23"/>
      <c r="J88" s="84"/>
      <c r="K88" s="23"/>
      <c r="L88" s="1"/>
      <c r="M88" s="84"/>
      <c r="N88" s="23"/>
      <c r="P88" s="76"/>
      <c r="Q88" s="23"/>
      <c r="S88" s="76"/>
      <c r="T88" s="23"/>
      <c r="V88" s="9"/>
      <c r="W88" s="8"/>
      <c r="X88" s="8"/>
      <c r="Y88" s="8"/>
      <c r="Z88" s="8"/>
      <c r="AA88" s="6"/>
      <c r="AB88" s="8"/>
      <c r="AC88" s="23"/>
    </row>
    <row r="89" spans="3:31" ht="15.75" thickBot="1" x14ac:dyDescent="0.3">
      <c r="C89" s="13" t="s">
        <v>64</v>
      </c>
      <c r="D89" s="29"/>
      <c r="E89" s="29"/>
      <c r="F89" s="29"/>
      <c r="G89" s="29"/>
      <c r="H89" s="5">
        <f>SUM(H69:H88)</f>
        <v>11721644.29514881</v>
      </c>
      <c r="J89" s="52"/>
      <c r="K89" s="5">
        <f>SUM(K69:K88)</f>
        <v>13030511.224252779</v>
      </c>
      <c r="L89" s="1"/>
      <c r="M89" s="52"/>
      <c r="N89" s="5">
        <f>SUM(N69:N88)</f>
        <v>12400884.6395997</v>
      </c>
      <c r="P89" s="52"/>
      <c r="Q89" s="5">
        <f>SUM(Q69:Q88)</f>
        <v>12345954.91920203</v>
      </c>
      <c r="S89" s="52"/>
      <c r="T89" s="5">
        <f>SUM(T69:T88)</f>
        <v>11515471.182438305</v>
      </c>
      <c r="V89" s="13" t="s">
        <v>64</v>
      </c>
      <c r="W89" s="29"/>
      <c r="X89" s="29"/>
      <c r="Y89" s="29"/>
      <c r="Z89" s="29"/>
      <c r="AA89" s="215">
        <f>SUM(AA69:AA88)</f>
        <v>12345954.91920203</v>
      </c>
      <c r="AB89" s="29"/>
      <c r="AC89" s="5">
        <f>SUM(AC69:AC88)</f>
        <v>11515471.182438305</v>
      </c>
      <c r="AE89" s="1">
        <f>AA89-AC89</f>
        <v>830483.73676372506</v>
      </c>
    </row>
    <row r="90" spans="3:31" ht="15.75" thickBot="1" x14ac:dyDescent="0.3">
      <c r="J90" s="1">
        <f>U65</f>
        <v>187349.3897762727</v>
      </c>
      <c r="K90" s="85">
        <f>J90/SUM(E73:E77)</f>
        <v>0.42026341118254373</v>
      </c>
      <c r="O90" s="242">
        <f>K89-N89</f>
        <v>629626.58465307951</v>
      </c>
      <c r="P90" s="242">
        <v>825000</v>
      </c>
      <c r="Q90" s="85">
        <f>P90/(SUM(E79:E80)+SUM(E86:E87)+SUM(E83:E84))</f>
        <v>0.60623744065210383</v>
      </c>
      <c r="U90" s="242">
        <f>Q89-T89</f>
        <v>830483.73676372506</v>
      </c>
    </row>
    <row r="91" spans="3:31" x14ac:dyDescent="0.25">
      <c r="C91" s="12"/>
      <c r="D91" s="244" t="s">
        <v>85</v>
      </c>
      <c r="E91" s="244" t="s">
        <v>86</v>
      </c>
      <c r="F91" s="244" t="s">
        <v>87</v>
      </c>
      <c r="G91" s="291" t="s">
        <v>43</v>
      </c>
      <c r="H91" s="283"/>
      <c r="J91" s="282" t="s">
        <v>39</v>
      </c>
      <c r="K91" s="283"/>
      <c r="M91" s="282" t="s">
        <v>39</v>
      </c>
      <c r="N91" s="283"/>
      <c r="P91" s="282" t="s">
        <v>38</v>
      </c>
      <c r="Q91" s="283"/>
      <c r="S91" s="282" t="s">
        <v>38</v>
      </c>
      <c r="T91" s="283"/>
    </row>
    <row r="92" spans="3:31" x14ac:dyDescent="0.25">
      <c r="C92" s="9"/>
      <c r="D92" s="8"/>
      <c r="E92" s="8"/>
      <c r="F92" s="8"/>
      <c r="G92" s="8"/>
      <c r="H92" s="23"/>
      <c r="J92" s="9"/>
      <c r="K92" s="23"/>
      <c r="M92" s="9"/>
      <c r="N92" s="23"/>
      <c r="P92" s="9"/>
      <c r="Q92" s="23"/>
      <c r="S92" s="9"/>
      <c r="T92" s="23"/>
      <c r="U92" s="242">
        <f>U90+U65</f>
        <v>1017833.1265399978</v>
      </c>
      <c r="AE92" s="1">
        <f>AE65+AE89</f>
        <v>1030483.7367637251</v>
      </c>
    </row>
    <row r="93" spans="3:31" x14ac:dyDescent="0.25">
      <c r="C93" s="9" t="s">
        <v>58</v>
      </c>
      <c r="D93" s="16">
        <f>D45+D69</f>
        <v>2760</v>
      </c>
      <c r="E93" s="8"/>
      <c r="F93" s="8"/>
      <c r="G93" s="33">
        <v>40</v>
      </c>
      <c r="H93" s="7">
        <f>D93*G93</f>
        <v>110400</v>
      </c>
      <c r="J93" s="50">
        <v>90</v>
      </c>
      <c r="K93" s="7">
        <f>$D$93*J93</f>
        <v>248400</v>
      </c>
      <c r="L93" s="1"/>
      <c r="M93" s="50">
        <v>90</v>
      </c>
      <c r="N93" s="7">
        <f>$D$93*J93</f>
        <v>248400</v>
      </c>
      <c r="P93" s="76">
        <v>200</v>
      </c>
      <c r="Q93" s="7">
        <f>$D93*P93</f>
        <v>552000</v>
      </c>
      <c r="S93" s="76">
        <v>200</v>
      </c>
      <c r="T93" s="7">
        <f>$D93*S93</f>
        <v>552000</v>
      </c>
    </row>
    <row r="94" spans="3:31" x14ac:dyDescent="0.25">
      <c r="C94" s="9"/>
      <c r="D94" s="8"/>
      <c r="E94" s="8"/>
      <c r="F94" s="8"/>
      <c r="G94" s="33"/>
      <c r="H94" s="7"/>
      <c r="J94" s="50"/>
      <c r="K94" s="7"/>
      <c r="L94" s="1"/>
      <c r="M94" s="50"/>
      <c r="N94" s="7"/>
      <c r="P94" s="76"/>
      <c r="Q94" s="7"/>
      <c r="S94" s="76"/>
      <c r="T94" s="7"/>
    </row>
    <row r="95" spans="3:31" x14ac:dyDescent="0.25">
      <c r="C95" s="9" t="s">
        <v>46</v>
      </c>
      <c r="D95" s="8"/>
      <c r="E95" s="16"/>
      <c r="F95" s="16">
        <f>F47+F71</f>
        <v>212517867.449</v>
      </c>
      <c r="G95" s="34">
        <v>8.3690000000000001E-2</v>
      </c>
      <c r="H95" s="7">
        <f>F95*G95</f>
        <v>17785620.32680681</v>
      </c>
      <c r="J95" s="51">
        <v>3.5720000000000002E-2</v>
      </c>
      <c r="K95" s="7">
        <f>J$95*$F$95</f>
        <v>7591138.2252782807</v>
      </c>
      <c r="L95" s="1"/>
      <c r="M95" s="51">
        <v>3.5720000000000002E-2</v>
      </c>
      <c r="N95" s="7">
        <f>M$95*$F$95</f>
        <v>7591138.2252782807</v>
      </c>
      <c r="P95" s="80">
        <v>3.5270000000000003E-2</v>
      </c>
      <c r="Q95" s="7">
        <f>$F95*P95</f>
        <v>7495505.1849262305</v>
      </c>
      <c r="S95" s="80">
        <v>3.5270000000000003E-2</v>
      </c>
      <c r="T95" s="7">
        <f>$F95*S95</f>
        <v>7495505.1849262305</v>
      </c>
    </row>
    <row r="96" spans="3:31" x14ac:dyDescent="0.25">
      <c r="C96" s="9"/>
      <c r="D96" s="8"/>
      <c r="E96" s="16"/>
      <c r="F96" s="16"/>
      <c r="G96" s="34"/>
      <c r="H96" s="7"/>
      <c r="J96" s="9"/>
      <c r="K96" s="7"/>
      <c r="L96" s="1"/>
      <c r="M96" s="9"/>
      <c r="N96" s="7"/>
      <c r="P96" s="51"/>
      <c r="Q96" s="7"/>
      <c r="S96" s="51"/>
      <c r="T96" s="7"/>
    </row>
    <row r="97" spans="2:20" x14ac:dyDescent="0.25">
      <c r="C97" s="9" t="s">
        <v>59</v>
      </c>
      <c r="D97" s="8"/>
      <c r="E97" s="16">
        <f>E49+E73</f>
        <v>291656.67645000003</v>
      </c>
      <c r="F97" s="16"/>
      <c r="G97" s="34"/>
      <c r="H97" s="7"/>
      <c r="J97" s="50">
        <v>19.05</v>
      </c>
      <c r="K97" s="7">
        <f>$E$97*J97</f>
        <v>5556059.6863725008</v>
      </c>
      <c r="L97" s="1"/>
      <c r="M97" s="50">
        <f>J97-$K$117</f>
        <v>17.637617410691828</v>
      </c>
      <c r="N97" s="7">
        <f>$E$97*M97</f>
        <v>5144128.8744990341</v>
      </c>
      <c r="P97" s="50"/>
      <c r="Q97" s="7">
        <f>H97*P97</f>
        <v>0</v>
      </c>
      <c r="S97" s="50"/>
      <c r="T97" s="7">
        <f>K97*S97</f>
        <v>0</v>
      </c>
    </row>
    <row r="98" spans="2:20" x14ac:dyDescent="0.25">
      <c r="B98" s="289" t="s">
        <v>88</v>
      </c>
      <c r="C98" s="9" t="s">
        <v>63</v>
      </c>
      <c r="D98" s="8"/>
      <c r="E98" s="16">
        <f t="shared" ref="E98:E111" si="15">E50+E74</f>
        <v>4039.0099999999998</v>
      </c>
      <c r="F98" s="16"/>
      <c r="G98" s="34"/>
      <c r="H98" s="7"/>
      <c r="J98" s="50">
        <v>19.05</v>
      </c>
      <c r="K98" s="7">
        <f>$E$98*J98</f>
        <v>76943.140499999994</v>
      </c>
      <c r="L98" s="1"/>
      <c r="M98" s="50">
        <f>J98-$K$117</f>
        <v>17.637617410691828</v>
      </c>
      <c r="N98" s="7">
        <f>$E$98*M98</f>
        <v>71238.513097958392</v>
      </c>
      <c r="P98" s="50"/>
      <c r="Q98" s="7">
        <f>H98*P98</f>
        <v>0</v>
      </c>
      <c r="S98" s="50"/>
      <c r="T98" s="7">
        <f>K98*S98</f>
        <v>0</v>
      </c>
    </row>
    <row r="99" spans="2:20" x14ac:dyDescent="0.25">
      <c r="B99" s="289"/>
      <c r="C99" s="9"/>
      <c r="D99" s="8"/>
      <c r="E99" s="16"/>
      <c r="F99" s="16"/>
      <c r="G99" s="34"/>
      <c r="H99" s="7"/>
      <c r="J99" s="50"/>
      <c r="K99" s="7"/>
      <c r="L99" s="1"/>
      <c r="M99" s="50"/>
      <c r="N99" s="7"/>
      <c r="P99" s="50"/>
      <c r="Q99" s="7"/>
      <c r="S99" s="50"/>
      <c r="T99" s="7"/>
    </row>
    <row r="100" spans="2:20" x14ac:dyDescent="0.25">
      <c r="C100" s="9" t="s">
        <v>60</v>
      </c>
      <c r="D100" s="8"/>
      <c r="E100" s="16">
        <f t="shared" si="15"/>
        <v>411261.52502</v>
      </c>
      <c r="F100" s="16"/>
      <c r="G100" s="34"/>
      <c r="H100" s="7"/>
      <c r="J100" s="50">
        <v>16.95</v>
      </c>
      <c r="K100" s="7">
        <f>$E$100*J100</f>
        <v>6970882.8490889994</v>
      </c>
      <c r="L100" s="1"/>
      <c r="M100" s="50">
        <f>J100-$K$117</f>
        <v>15.537617410691825</v>
      </c>
      <c r="N100" s="7">
        <f>$E$100*M100</f>
        <v>6390024.231498423</v>
      </c>
      <c r="P100" s="50"/>
      <c r="Q100" s="7">
        <f>H100*P100</f>
        <v>0</v>
      </c>
      <c r="S100" s="50"/>
      <c r="T100" s="7">
        <f>K100*S100</f>
        <v>0</v>
      </c>
    </row>
    <row r="101" spans="2:20" x14ac:dyDescent="0.25">
      <c r="C101" s="9" t="s">
        <v>63</v>
      </c>
      <c r="D101" s="8"/>
      <c r="E101" s="16">
        <f t="shared" si="15"/>
        <v>1066.2430599999998</v>
      </c>
      <c r="F101" s="16"/>
      <c r="G101" s="34"/>
      <c r="H101" s="7"/>
      <c r="J101" s="50">
        <v>16.95</v>
      </c>
      <c r="K101" s="7">
        <f>$E$101*J101</f>
        <v>18072.819866999995</v>
      </c>
      <c r="L101" s="1"/>
      <c r="M101" s="50">
        <f>J101-$K$117</f>
        <v>15.537617410691825</v>
      </c>
      <c r="N101" s="7">
        <f>$E$101*M101</f>
        <v>16566.876733085326</v>
      </c>
      <c r="P101" s="50"/>
      <c r="Q101" s="7">
        <f>H101*P101</f>
        <v>0</v>
      </c>
      <c r="S101" s="50"/>
      <c r="T101" s="7">
        <f>K101*S101</f>
        <v>0</v>
      </c>
    </row>
    <row r="102" spans="2:20" x14ac:dyDescent="0.25">
      <c r="C102" s="9"/>
      <c r="D102" s="8"/>
      <c r="E102" s="16"/>
      <c r="F102" s="16"/>
      <c r="G102" s="34"/>
      <c r="H102" s="7"/>
      <c r="J102" s="51"/>
      <c r="K102" s="7"/>
      <c r="L102" s="1"/>
      <c r="M102" s="51"/>
      <c r="N102" s="7"/>
      <c r="P102" s="51"/>
      <c r="Q102" s="7"/>
      <c r="S102" s="51"/>
      <c r="T102" s="7"/>
    </row>
    <row r="103" spans="2:20" x14ac:dyDescent="0.25">
      <c r="C103" s="9" t="s">
        <v>61</v>
      </c>
      <c r="D103" s="8"/>
      <c r="E103" s="16">
        <f t="shared" si="15"/>
        <v>701743.70146999997</v>
      </c>
      <c r="F103" s="16"/>
      <c r="G103" s="30"/>
      <c r="H103" s="7">
        <f>$AB103*G103</f>
        <v>0</v>
      </c>
      <c r="J103" s="50"/>
      <c r="K103" s="7"/>
      <c r="L103" s="1"/>
      <c r="M103" s="50"/>
      <c r="N103" s="7"/>
      <c r="P103" s="76">
        <v>5.2</v>
      </c>
      <c r="Q103" s="7">
        <f>$E103*P103</f>
        <v>3649067.2476439998</v>
      </c>
      <c r="S103" s="76">
        <f>P103-$Q$117</f>
        <v>4.5897329271771667</v>
      </c>
      <c r="T103" s="7">
        <f>$E103*S103</f>
        <v>3220816.1730760429</v>
      </c>
    </row>
    <row r="104" spans="2:20" x14ac:dyDescent="0.25">
      <c r="C104" s="9" t="s">
        <v>69</v>
      </c>
      <c r="D104" s="8"/>
      <c r="E104" s="16">
        <f t="shared" si="15"/>
        <v>173768.55377999999</v>
      </c>
      <c r="F104" s="16"/>
      <c r="G104" s="30"/>
      <c r="H104" s="7">
        <f>$AB104*G104</f>
        <v>0</v>
      </c>
      <c r="J104" s="50"/>
      <c r="K104" s="7"/>
      <c r="L104" s="1"/>
      <c r="M104" s="50"/>
      <c r="N104" s="7"/>
      <c r="P104" s="76">
        <v>5.2</v>
      </c>
      <c r="Q104" s="7">
        <f>$E104*P104</f>
        <v>903596.47965599992</v>
      </c>
      <c r="S104" s="76">
        <f>P104-$Q$117</f>
        <v>4.5897329271771667</v>
      </c>
      <c r="T104" s="7">
        <f>$E104*S104</f>
        <v>797551.25299202232</v>
      </c>
    </row>
    <row r="105" spans="2:20" x14ac:dyDescent="0.25">
      <c r="C105" s="9" t="s">
        <v>70</v>
      </c>
      <c r="D105" s="8"/>
      <c r="E105" s="16">
        <f t="shared" si="15"/>
        <v>289801.79633000004</v>
      </c>
      <c r="F105" s="16"/>
      <c r="G105" s="30"/>
      <c r="H105" s="7"/>
      <c r="J105" s="50"/>
      <c r="K105" s="7"/>
      <c r="L105" s="1"/>
      <c r="M105" s="50"/>
      <c r="N105" s="7"/>
      <c r="P105" s="76">
        <v>5.2</v>
      </c>
      <c r="Q105" s="7"/>
      <c r="S105" s="76">
        <f>P105-$Q$117</f>
        <v>4.5897329271771667</v>
      </c>
      <c r="T105" s="7"/>
    </row>
    <row r="106" spans="2:20" x14ac:dyDescent="0.25">
      <c r="C106" s="9"/>
      <c r="D106" s="8"/>
      <c r="E106" s="16"/>
      <c r="F106" s="16"/>
      <c r="G106" s="30"/>
      <c r="H106" s="7"/>
      <c r="J106" s="50"/>
      <c r="K106" s="7"/>
      <c r="L106" s="1"/>
      <c r="M106" s="50"/>
      <c r="N106" s="7"/>
      <c r="P106" s="76"/>
      <c r="Q106" s="7"/>
      <c r="S106" s="76"/>
      <c r="T106" s="7"/>
    </row>
    <row r="107" spans="2:20" x14ac:dyDescent="0.25">
      <c r="C107" s="9" t="s">
        <v>66</v>
      </c>
      <c r="D107" s="8"/>
      <c r="E107" s="16">
        <f t="shared" si="15"/>
        <v>705425.10146999999</v>
      </c>
      <c r="F107" s="16"/>
      <c r="G107" s="30"/>
      <c r="H107" s="7">
        <f>$AB107*G107</f>
        <v>0</v>
      </c>
      <c r="J107" s="50"/>
      <c r="K107" s="7"/>
      <c r="L107" s="1"/>
      <c r="M107" s="50"/>
      <c r="N107" s="7"/>
      <c r="P107" s="76">
        <v>4.53</v>
      </c>
      <c r="Q107" s="7">
        <f>$E107*P107</f>
        <v>3195575.7096591</v>
      </c>
      <c r="S107" s="76">
        <f>P107-$Q$117</f>
        <v>3.9197329271771664</v>
      </c>
      <c r="T107" s="7">
        <f>$E107*S107</f>
        <v>2765077.9978892528</v>
      </c>
    </row>
    <row r="108" spans="2:20" x14ac:dyDescent="0.25">
      <c r="C108" s="9" t="s">
        <v>63</v>
      </c>
      <c r="D108" s="8"/>
      <c r="E108" s="16">
        <f t="shared" si="15"/>
        <v>5116.7530599999991</v>
      </c>
      <c r="F108" s="16"/>
      <c r="G108" s="30"/>
      <c r="H108" s="7">
        <f>$AB108*G108</f>
        <v>0</v>
      </c>
      <c r="J108" s="50"/>
      <c r="K108" s="7"/>
      <c r="L108" s="1"/>
      <c r="M108" s="50"/>
      <c r="N108" s="7"/>
      <c r="P108" s="76">
        <v>4.53</v>
      </c>
      <c r="Q108" s="7">
        <f>$E108*P108</f>
        <v>23178.891361799997</v>
      </c>
      <c r="S108" s="76">
        <f>P108-$Q$117</f>
        <v>3.9197329271771664</v>
      </c>
      <c r="T108" s="7">
        <f>$E108*S108</f>
        <v>20056.30544951652</v>
      </c>
    </row>
    <row r="109" spans="2:20" x14ac:dyDescent="0.25">
      <c r="C109" s="9"/>
      <c r="D109" s="8"/>
      <c r="E109" s="16"/>
      <c r="F109" s="16"/>
      <c r="G109" s="30"/>
      <c r="H109" s="7"/>
      <c r="J109" s="50"/>
      <c r="K109" s="7"/>
      <c r="L109" s="1"/>
      <c r="M109" s="50"/>
      <c r="N109" s="7"/>
      <c r="P109" s="9"/>
      <c r="Q109" s="7"/>
      <c r="S109" s="9"/>
      <c r="T109" s="7"/>
    </row>
    <row r="110" spans="2:20" x14ac:dyDescent="0.25">
      <c r="C110" s="9" t="s">
        <v>62</v>
      </c>
      <c r="D110" s="8"/>
      <c r="E110" s="16">
        <f t="shared" si="15"/>
        <v>702918.20146999997</v>
      </c>
      <c r="F110" s="16"/>
      <c r="G110" s="30"/>
      <c r="H110" s="7">
        <f>$AB110*G110</f>
        <v>0</v>
      </c>
      <c r="J110" s="50"/>
      <c r="K110" s="7"/>
      <c r="L110" s="1"/>
      <c r="M110" s="50"/>
      <c r="N110" s="7"/>
      <c r="P110" s="76">
        <v>6.13</v>
      </c>
      <c r="Q110" s="7">
        <f>$E110*P110</f>
        <v>4308888.5750110997</v>
      </c>
      <c r="S110" s="76">
        <f>P110-$Q$117</f>
        <v>5.5197329271771665</v>
      </c>
      <c r="T110" s="7">
        <f>$E110*S110</f>
        <v>3879920.7417661124</v>
      </c>
    </row>
    <row r="111" spans="2:20" x14ac:dyDescent="0.25">
      <c r="C111" s="9" t="s">
        <v>63</v>
      </c>
      <c r="D111" s="8"/>
      <c r="E111" s="16">
        <f t="shared" si="15"/>
        <v>5105.25306</v>
      </c>
      <c r="F111" s="16"/>
      <c r="G111" s="8"/>
      <c r="H111" s="7">
        <f>$AB111*G111</f>
        <v>0</v>
      </c>
      <c r="J111" s="50"/>
      <c r="K111" s="7"/>
      <c r="L111" s="1"/>
      <c r="M111" s="50"/>
      <c r="N111" s="7"/>
      <c r="P111" s="76">
        <v>6.13</v>
      </c>
      <c r="Q111" s="7">
        <f>$E111*P111</f>
        <v>31295.201257799999</v>
      </c>
      <c r="S111" s="76">
        <f>P111-$Q$117</f>
        <v>5.5197329271771665</v>
      </c>
      <c r="T111" s="7">
        <f>$E111*S111</f>
        <v>28179.633416853987</v>
      </c>
    </row>
    <row r="112" spans="2:20" x14ac:dyDescent="0.25">
      <c r="C112" s="9"/>
      <c r="D112" s="8"/>
      <c r="E112" s="8"/>
      <c r="F112" s="8"/>
      <c r="G112" s="8"/>
      <c r="H112" s="23"/>
      <c r="J112" s="84"/>
      <c r="K112" s="23"/>
      <c r="L112" s="1"/>
      <c r="M112" s="84"/>
      <c r="N112" s="23"/>
      <c r="P112" s="76"/>
      <c r="Q112" s="23"/>
      <c r="S112" s="76"/>
      <c r="T112" s="23"/>
    </row>
    <row r="113" spans="3:20" ht="15.75" thickBot="1" x14ac:dyDescent="0.3">
      <c r="C113" s="13" t="s">
        <v>64</v>
      </c>
      <c r="D113" s="29"/>
      <c r="E113" s="29"/>
      <c r="F113" s="29"/>
      <c r="G113" s="29"/>
      <c r="H113" s="5">
        <f>SUM(H93:H112)</f>
        <v>17896020.32680681</v>
      </c>
      <c r="J113" s="52"/>
      <c r="K113" s="5">
        <f>SUM(K93:K112)</f>
        <v>20461496.721106779</v>
      </c>
      <c r="L113" s="1"/>
      <c r="M113" s="52"/>
      <c r="N113" s="5">
        <f>SUM(N93:N112)</f>
        <v>19461496.721106783</v>
      </c>
      <c r="P113" s="52"/>
      <c r="Q113" s="5">
        <f>SUM(Q93:Q112)</f>
        <v>20159107.289516028</v>
      </c>
      <c r="S113" s="52"/>
      <c r="T113" s="5">
        <f>SUM(T93:T112)</f>
        <v>18759107.289516032</v>
      </c>
    </row>
    <row r="115" spans="3:20" x14ac:dyDescent="0.25">
      <c r="J115" t="s">
        <v>91</v>
      </c>
      <c r="K115" s="1">
        <v>1000000</v>
      </c>
      <c r="N115" s="1">
        <f>K113-N113</f>
        <v>999999.99999999627</v>
      </c>
      <c r="P115" t="s">
        <v>91</v>
      </c>
      <c r="Q115" s="1">
        <v>1400000</v>
      </c>
      <c r="T115" s="1">
        <f>Q113-T113</f>
        <v>1399999.9999999963</v>
      </c>
    </row>
    <row r="117" spans="3:20" x14ac:dyDescent="0.25">
      <c r="K117" s="85">
        <f>K115/SUM(E97:E101)</f>
        <v>1.4123825893081745</v>
      </c>
      <c r="Q117" s="85">
        <f>Q115/(SUM(E103:E104)+SUM(E107:E108)+SUM(E110:E111))</f>
        <v>0.61026707282283377</v>
      </c>
    </row>
    <row r="126" spans="3:20" ht="15.75" thickBot="1" x14ac:dyDescent="0.3"/>
    <row r="127" spans="3:20" ht="15.75" thickBot="1" x14ac:dyDescent="0.3">
      <c r="C127" s="286" t="s">
        <v>110</v>
      </c>
      <c r="D127" s="287"/>
      <c r="E127" s="287"/>
      <c r="F127" s="288"/>
      <c r="G127" s="284" t="s">
        <v>107</v>
      </c>
      <c r="H127" s="285"/>
      <c r="I127" s="284" t="s">
        <v>108</v>
      </c>
      <c r="J127" s="285"/>
      <c r="K127" s="284" t="s">
        <v>109</v>
      </c>
      <c r="L127" s="285"/>
    </row>
    <row r="128" spans="3:20" x14ac:dyDescent="0.25">
      <c r="C128" s="9"/>
      <c r="D128" s="247" t="s">
        <v>85</v>
      </c>
      <c r="E128" s="247" t="s">
        <v>86</v>
      </c>
      <c r="F128" s="248" t="s">
        <v>87</v>
      </c>
      <c r="G128" s="282" t="s">
        <v>39</v>
      </c>
      <c r="H128" s="283"/>
      <c r="I128" s="282" t="s">
        <v>39</v>
      </c>
      <c r="J128" s="283"/>
      <c r="K128" s="282" t="s">
        <v>38</v>
      </c>
      <c r="L128" s="283"/>
    </row>
    <row r="129" spans="3:12" x14ac:dyDescent="0.25">
      <c r="C129" s="9"/>
      <c r="D129" s="8"/>
      <c r="E129" s="8"/>
      <c r="F129" s="23"/>
      <c r="G129" s="9"/>
      <c r="H129" s="23"/>
      <c r="I129" s="9"/>
      <c r="J129" s="23"/>
      <c r="K129" s="9"/>
      <c r="L129" s="23"/>
    </row>
    <row r="130" spans="3:12" x14ac:dyDescent="0.25">
      <c r="C130" s="9" t="s">
        <v>58</v>
      </c>
      <c r="D130" s="16">
        <v>1584</v>
      </c>
      <c r="E130" s="16"/>
      <c r="F130" s="17"/>
      <c r="G130" s="50">
        <v>90</v>
      </c>
      <c r="H130" s="7">
        <f>$D130*G130</f>
        <v>142560</v>
      </c>
      <c r="I130" s="50">
        <v>90</v>
      </c>
      <c r="J130" s="7">
        <f>$D130*I130</f>
        <v>142560</v>
      </c>
      <c r="K130" s="76">
        <f>K156</f>
        <v>200</v>
      </c>
      <c r="L130" s="7">
        <f>$D130*K130</f>
        <v>316800</v>
      </c>
    </row>
    <row r="131" spans="3:12" x14ac:dyDescent="0.25">
      <c r="C131" s="9"/>
      <c r="D131" s="16"/>
      <c r="E131" s="16"/>
      <c r="F131" s="17"/>
      <c r="G131" s="50"/>
      <c r="H131" s="7"/>
      <c r="I131" s="50"/>
      <c r="J131" s="7"/>
      <c r="K131" s="76"/>
      <c r="L131" s="7"/>
    </row>
    <row r="132" spans="3:12" x14ac:dyDescent="0.25">
      <c r="C132" s="9" t="s">
        <v>46</v>
      </c>
      <c r="D132" s="16"/>
      <c r="E132" s="16"/>
      <c r="F132" s="17">
        <v>73019668.200000003</v>
      </c>
      <c r="G132" s="51">
        <v>3.5720000000000002E-2</v>
      </c>
      <c r="H132" s="7">
        <f>G132*$F132</f>
        <v>2608262.5481040003</v>
      </c>
      <c r="I132" s="51">
        <v>3.5720000000000002E-2</v>
      </c>
      <c r="J132" s="7">
        <f>I132*$F132</f>
        <v>2608262.5481040003</v>
      </c>
      <c r="K132" s="80">
        <f>K158</f>
        <v>3.5270000000000003E-2</v>
      </c>
      <c r="L132" s="7">
        <f>$F132*K132</f>
        <v>2575403.6974140005</v>
      </c>
    </row>
    <row r="133" spans="3:12" x14ac:dyDescent="0.25">
      <c r="C133" s="9"/>
      <c r="D133" s="16"/>
      <c r="E133" s="16"/>
      <c r="F133" s="17"/>
      <c r="G133" s="9"/>
      <c r="H133" s="7"/>
      <c r="I133" s="9"/>
      <c r="J133" s="7"/>
      <c r="K133" s="51"/>
      <c r="L133" s="7"/>
    </row>
    <row r="134" spans="3:12" x14ac:dyDescent="0.25">
      <c r="C134" s="9" t="s">
        <v>59</v>
      </c>
      <c r="D134" s="16"/>
      <c r="E134" s="16">
        <v>110826.86000000002</v>
      </c>
      <c r="F134" s="17"/>
      <c r="G134" s="50">
        <v>19.05</v>
      </c>
      <c r="H134" s="7">
        <f>$E134*G134</f>
        <v>2111251.6830000002</v>
      </c>
      <c r="I134" s="50">
        <f>G134-$H$151</f>
        <v>18.32545368849653</v>
      </c>
      <c r="J134" s="7">
        <f>$E134*I134</f>
        <v>2030952.490371489</v>
      </c>
      <c r="K134" s="50"/>
      <c r="L134" s="7"/>
    </row>
    <row r="135" spans="3:12" x14ac:dyDescent="0.25">
      <c r="C135" s="9" t="s">
        <v>63</v>
      </c>
      <c r="D135" s="16"/>
      <c r="E135" s="16">
        <v>1226.71</v>
      </c>
      <c r="F135" s="17"/>
      <c r="G135" s="50">
        <v>19.05</v>
      </c>
      <c r="H135" s="7">
        <f>$E135*G135</f>
        <v>23368.825500000003</v>
      </c>
      <c r="I135" s="50">
        <f>G135-$H$151</f>
        <v>18.32545368849653</v>
      </c>
      <c r="J135" s="7">
        <f>$E135*I135</f>
        <v>22480.01729421558</v>
      </c>
      <c r="K135" s="50"/>
      <c r="L135" s="7"/>
    </row>
    <row r="136" spans="3:12" x14ac:dyDescent="0.25">
      <c r="C136" s="9"/>
      <c r="D136" s="16"/>
      <c r="E136" s="16"/>
      <c r="F136" s="17"/>
      <c r="G136" s="50"/>
      <c r="H136" s="7"/>
      <c r="I136" s="50"/>
      <c r="J136" s="7"/>
      <c r="K136" s="50"/>
      <c r="L136" s="7"/>
    </row>
    <row r="137" spans="3:12" x14ac:dyDescent="0.25">
      <c r="C137" s="9" t="s">
        <v>60</v>
      </c>
      <c r="D137" s="16"/>
      <c r="E137" s="16">
        <v>149355.99000000002</v>
      </c>
      <c r="F137" s="17"/>
      <c r="G137" s="50">
        <v>16.95</v>
      </c>
      <c r="H137" s="7">
        <f>$E137*G137</f>
        <v>2531584.0305000003</v>
      </c>
      <c r="I137" s="50">
        <f>G137-$H$151</f>
        <v>16.225453688496529</v>
      </c>
      <c r="J137" s="7">
        <f>$E137*I137</f>
        <v>2423368.6988445511</v>
      </c>
      <c r="K137" s="50"/>
      <c r="L137" s="7"/>
    </row>
    <row r="138" spans="3:12" x14ac:dyDescent="0.25">
      <c r="C138" s="9" t="s">
        <v>63</v>
      </c>
      <c r="D138" s="16"/>
      <c r="E138" s="16">
        <v>823.50499999999988</v>
      </c>
      <c r="F138" s="17"/>
      <c r="G138" s="50">
        <v>16.95</v>
      </c>
      <c r="H138" s="7">
        <f>$E138*G138</f>
        <v>13958.409749999997</v>
      </c>
      <c r="I138" s="50">
        <f>G138-$H$151</f>
        <v>16.225453688496529</v>
      </c>
      <c r="J138" s="7">
        <f>$E138*I138</f>
        <v>13361.742239745332</v>
      </c>
      <c r="K138" s="50"/>
      <c r="L138" s="7"/>
    </row>
    <row r="139" spans="3:12" x14ac:dyDescent="0.25">
      <c r="C139" s="9"/>
      <c r="D139" s="16"/>
      <c r="E139" s="16"/>
      <c r="F139" s="17"/>
      <c r="G139" s="51"/>
      <c r="H139" s="7"/>
      <c r="I139" s="51"/>
      <c r="J139" s="7"/>
      <c r="K139" s="51"/>
      <c r="L139" s="7"/>
    </row>
    <row r="140" spans="3:12" x14ac:dyDescent="0.25">
      <c r="C140" s="9" t="s">
        <v>61</v>
      </c>
      <c r="D140" s="16"/>
      <c r="E140" s="16">
        <v>254981.54999999996</v>
      </c>
      <c r="F140" s="17"/>
      <c r="G140" s="50"/>
      <c r="H140" s="7"/>
      <c r="I140" s="50"/>
      <c r="J140" s="7"/>
      <c r="K140" s="76">
        <f>K160</f>
        <v>4.6000000000000005</v>
      </c>
      <c r="L140" s="7">
        <f>$E140*K140</f>
        <v>1172915.1299999999</v>
      </c>
    </row>
    <row r="141" spans="3:12" x14ac:dyDescent="0.25">
      <c r="C141" s="9" t="s">
        <v>69</v>
      </c>
      <c r="D141" s="16"/>
      <c r="E141" s="16">
        <v>153776.94999999998</v>
      </c>
      <c r="F141" s="17"/>
      <c r="G141" s="50"/>
      <c r="H141" s="7"/>
      <c r="I141" s="50"/>
      <c r="J141" s="7"/>
      <c r="K141" s="76">
        <f>K161</f>
        <v>4.6000000000000005</v>
      </c>
      <c r="L141" s="7">
        <f>$E141*K141</f>
        <v>707373.97</v>
      </c>
    </row>
    <row r="142" spans="3:12" x14ac:dyDescent="0.25">
      <c r="C142" s="9" t="s">
        <v>70</v>
      </c>
      <c r="D142" s="16"/>
      <c r="E142" s="16">
        <v>170922.05000000002</v>
      </c>
      <c r="F142" s="17"/>
      <c r="G142" s="50"/>
      <c r="H142" s="7"/>
      <c r="I142" s="50"/>
      <c r="J142" s="7"/>
      <c r="K142" s="76"/>
      <c r="L142" s="7"/>
    </row>
    <row r="143" spans="3:12" x14ac:dyDescent="0.25">
      <c r="C143" s="9"/>
      <c r="D143" s="16"/>
      <c r="E143" s="16"/>
      <c r="F143" s="17"/>
      <c r="G143" s="50"/>
      <c r="H143" s="7"/>
      <c r="I143" s="50"/>
      <c r="J143" s="7"/>
      <c r="K143" s="76"/>
      <c r="L143" s="7"/>
    </row>
    <row r="144" spans="3:12" x14ac:dyDescent="0.25">
      <c r="C144" s="9" t="s">
        <v>66</v>
      </c>
      <c r="D144" s="16"/>
      <c r="E144" s="16">
        <v>260182.84999999998</v>
      </c>
      <c r="F144" s="17"/>
      <c r="G144" s="50"/>
      <c r="H144" s="7"/>
      <c r="I144" s="50"/>
      <c r="J144" s="7"/>
      <c r="K144" s="76">
        <f>K164</f>
        <v>3.93</v>
      </c>
      <c r="L144" s="7">
        <f>$E144*K144</f>
        <v>1022518.6004999999</v>
      </c>
    </row>
    <row r="145" spans="3:13" x14ac:dyDescent="0.25">
      <c r="C145" s="9" t="s">
        <v>63</v>
      </c>
      <c r="D145" s="16"/>
      <c r="E145" s="16">
        <v>2050.2149999999997</v>
      </c>
      <c r="F145" s="17"/>
      <c r="G145" s="50"/>
      <c r="H145" s="7"/>
      <c r="I145" s="50"/>
      <c r="J145" s="7"/>
      <c r="K145" s="76">
        <f>K165</f>
        <v>3.93</v>
      </c>
      <c r="L145" s="7">
        <f>$E145*K145</f>
        <v>8057.3449499999988</v>
      </c>
    </row>
    <row r="146" spans="3:13" x14ac:dyDescent="0.25">
      <c r="C146" s="9"/>
      <c r="D146" s="16"/>
      <c r="E146" s="16"/>
      <c r="F146" s="17"/>
      <c r="G146" s="50"/>
      <c r="H146" s="7"/>
      <c r="I146" s="50"/>
      <c r="J146" s="7"/>
      <c r="K146" s="76"/>
      <c r="L146" s="7"/>
    </row>
    <row r="147" spans="3:13" x14ac:dyDescent="0.25">
      <c r="C147" s="9" t="s">
        <v>62</v>
      </c>
      <c r="D147" s="16"/>
      <c r="E147" s="16">
        <v>260182.84999999998</v>
      </c>
      <c r="F147" s="17"/>
      <c r="G147" s="50"/>
      <c r="H147" s="7"/>
      <c r="I147" s="50"/>
      <c r="J147" s="7"/>
      <c r="K147" s="76">
        <f>K167</f>
        <v>5.53</v>
      </c>
      <c r="L147" s="7">
        <f>$E147*K147</f>
        <v>1438811.1605</v>
      </c>
    </row>
    <row r="148" spans="3:13" x14ac:dyDescent="0.25">
      <c r="C148" s="9" t="s">
        <v>63</v>
      </c>
      <c r="D148" s="16"/>
      <c r="E148" s="16">
        <v>2050.2150000000001</v>
      </c>
      <c r="F148" s="17"/>
      <c r="G148" s="50"/>
      <c r="H148" s="7"/>
      <c r="I148" s="50"/>
      <c r="J148" s="7"/>
      <c r="K148" s="76">
        <f>K168</f>
        <v>5.53</v>
      </c>
      <c r="L148" s="7">
        <f>$E148*K148</f>
        <v>11337.688950000002</v>
      </c>
    </row>
    <row r="149" spans="3:13" x14ac:dyDescent="0.25">
      <c r="C149" s="9"/>
      <c r="D149" s="16"/>
      <c r="E149" s="16"/>
      <c r="F149" s="17"/>
      <c r="G149" s="84"/>
      <c r="H149" s="23"/>
      <c r="I149" s="84"/>
      <c r="J149" s="23"/>
      <c r="K149" s="76"/>
      <c r="L149" s="23"/>
    </row>
    <row r="150" spans="3:13" ht="15.75" thickBot="1" x14ac:dyDescent="0.3">
      <c r="C150" s="13"/>
      <c r="D150" s="18"/>
      <c r="E150" s="18"/>
      <c r="F150" s="19"/>
      <c r="G150" s="52"/>
      <c r="H150" s="5">
        <f>SUM(H130:H149)</f>
        <v>7430985.4968540007</v>
      </c>
      <c r="I150" s="52"/>
      <c r="J150" s="5">
        <f>SUM(J130:J149)</f>
        <v>7240985.4968540017</v>
      </c>
      <c r="K150" s="52"/>
      <c r="L150" s="5">
        <f>SUM(L130:L149)</f>
        <v>7253217.5923140002</v>
      </c>
      <c r="M150" s="1">
        <f>H150-L150</f>
        <v>177767.90454000048</v>
      </c>
    </row>
    <row r="151" spans="3:13" x14ac:dyDescent="0.25">
      <c r="G151" s="6">
        <v>190000</v>
      </c>
      <c r="H151" s="245">
        <f>G151/(SUM(E134:E138))</f>
        <v>0.72454631150347104</v>
      </c>
      <c r="J151" s="1">
        <f>H150-J150</f>
        <v>189999.99999999907</v>
      </c>
      <c r="L151" s="1"/>
    </row>
    <row r="152" spans="3:13" ht="15.75" thickBot="1" x14ac:dyDescent="0.3"/>
    <row r="153" spans="3:13" ht="15.75" thickBot="1" x14ac:dyDescent="0.3">
      <c r="C153" s="286" t="s">
        <v>111</v>
      </c>
      <c r="D153" s="287"/>
      <c r="E153" s="287"/>
      <c r="F153" s="288"/>
      <c r="G153" s="284" t="s">
        <v>107</v>
      </c>
      <c r="H153" s="285"/>
      <c r="K153" s="284" t="s">
        <v>109</v>
      </c>
      <c r="L153" s="285"/>
    </row>
    <row r="154" spans="3:13" x14ac:dyDescent="0.25">
      <c r="C154" s="9"/>
      <c r="D154" s="32" t="s">
        <v>85</v>
      </c>
      <c r="E154" s="32" t="s">
        <v>86</v>
      </c>
      <c r="F154" s="249" t="s">
        <v>87</v>
      </c>
      <c r="G154" s="282" t="s">
        <v>38</v>
      </c>
      <c r="H154" s="283"/>
      <c r="K154" s="282" t="s">
        <v>38</v>
      </c>
      <c r="L154" s="283"/>
    </row>
    <row r="155" spans="3:13" x14ac:dyDescent="0.25">
      <c r="C155" s="9"/>
      <c r="D155" s="8"/>
      <c r="E155" s="8"/>
      <c r="F155" s="23"/>
      <c r="G155" s="9"/>
      <c r="H155" s="23"/>
      <c r="K155" s="9"/>
      <c r="L155" s="23"/>
    </row>
    <row r="156" spans="3:13" x14ac:dyDescent="0.25">
      <c r="C156" s="9" t="s">
        <v>58</v>
      </c>
      <c r="D156" s="16">
        <v>1176</v>
      </c>
      <c r="E156" s="16"/>
      <c r="F156" s="17"/>
      <c r="G156" s="76">
        <v>200</v>
      </c>
      <c r="H156" s="7">
        <f>$D156*G156</f>
        <v>235200</v>
      </c>
      <c r="K156" s="76">
        <v>200</v>
      </c>
      <c r="L156" s="7">
        <f>$D156*K156</f>
        <v>235200</v>
      </c>
    </row>
    <row r="157" spans="3:13" x14ac:dyDescent="0.25">
      <c r="C157" s="9"/>
      <c r="D157" s="16"/>
      <c r="E157" s="16"/>
      <c r="F157" s="17"/>
      <c r="G157" s="76"/>
      <c r="H157" s="7"/>
      <c r="K157" s="76"/>
      <c r="L157" s="7"/>
    </row>
    <row r="158" spans="3:13" x14ac:dyDescent="0.25">
      <c r="C158" s="9" t="s">
        <v>46</v>
      </c>
      <c r="D158" s="16"/>
      <c r="E158" s="16"/>
      <c r="F158" s="17">
        <v>139498199.24900001</v>
      </c>
      <c r="G158" s="80">
        <v>3.5270000000000003E-2</v>
      </c>
      <c r="H158" s="7">
        <f>$F158*G158</f>
        <v>4920101.4875122309</v>
      </c>
      <c r="K158" s="80">
        <v>3.5270000000000003E-2</v>
      </c>
      <c r="L158" s="7">
        <f>$F158*K158</f>
        <v>4920101.4875122309</v>
      </c>
    </row>
    <row r="159" spans="3:13" x14ac:dyDescent="0.25">
      <c r="C159" s="9"/>
      <c r="D159" s="16"/>
      <c r="E159" s="16"/>
      <c r="F159" s="17"/>
      <c r="G159" s="51"/>
      <c r="H159" s="7"/>
      <c r="K159" s="51"/>
      <c r="L159" s="7"/>
    </row>
    <row r="160" spans="3:13" x14ac:dyDescent="0.25">
      <c r="C160" s="9" t="s">
        <v>61</v>
      </c>
      <c r="D160" s="16"/>
      <c r="E160" s="16">
        <v>446762.15146999998</v>
      </c>
      <c r="F160" s="17"/>
      <c r="G160" s="76">
        <v>5.2</v>
      </c>
      <c r="H160" s="7">
        <f>$E160*G160</f>
        <v>2323163.1876440002</v>
      </c>
      <c r="K160" s="76">
        <f>G160-$K$172</f>
        <v>4.6000000000000005</v>
      </c>
      <c r="L160" s="7">
        <f>$E160*K160</f>
        <v>2055105.8967620002</v>
      </c>
    </row>
    <row r="161" spans="3:15" x14ac:dyDescent="0.25">
      <c r="C161" s="9" t="s">
        <v>69</v>
      </c>
      <c r="D161" s="16"/>
      <c r="E161" s="16">
        <v>19991.603780000001</v>
      </c>
      <c r="F161" s="17"/>
      <c r="G161" s="76">
        <v>5.2</v>
      </c>
      <c r="H161" s="7">
        <f>$E161*G161</f>
        <v>103956.33965600001</v>
      </c>
      <c r="K161" s="76">
        <f>G161-$K$172</f>
        <v>4.6000000000000005</v>
      </c>
      <c r="L161" s="7">
        <f>$E161*K161</f>
        <v>91961.377388000023</v>
      </c>
    </row>
    <row r="162" spans="3:15" x14ac:dyDescent="0.25">
      <c r="C162" s="9" t="s">
        <v>70</v>
      </c>
      <c r="D162" s="16"/>
      <c r="E162" s="16">
        <v>118879.74632999999</v>
      </c>
      <c r="F162" s="17"/>
      <c r="G162" s="76">
        <v>5.2</v>
      </c>
      <c r="H162" s="7"/>
      <c r="K162" s="76"/>
      <c r="L162" s="7"/>
    </row>
    <row r="163" spans="3:15" x14ac:dyDescent="0.25">
      <c r="C163" s="9"/>
      <c r="D163" s="16"/>
      <c r="E163" s="16"/>
      <c r="F163" s="17"/>
      <c r="G163" s="76"/>
      <c r="H163" s="7"/>
      <c r="K163" s="76"/>
      <c r="L163" s="7"/>
    </row>
    <row r="164" spans="3:15" x14ac:dyDescent="0.25">
      <c r="C164" s="9" t="s">
        <v>66</v>
      </c>
      <c r="D164" s="16"/>
      <c r="E164" s="16">
        <v>445242.25147000002</v>
      </c>
      <c r="F164" s="17"/>
      <c r="G164" s="76">
        <v>4.53</v>
      </c>
      <c r="H164" s="7">
        <f>$E164*G164</f>
        <v>2016947.3991591001</v>
      </c>
      <c r="K164" s="76">
        <f>G164-$K$172</f>
        <v>3.93</v>
      </c>
      <c r="L164" s="7">
        <f>$E164*K164</f>
        <v>1749802.0482771001</v>
      </c>
    </row>
    <row r="165" spans="3:15" x14ac:dyDescent="0.25">
      <c r="C165" s="9" t="s">
        <v>63</v>
      </c>
      <c r="D165" s="16"/>
      <c r="E165" s="16">
        <v>3066.5380599999999</v>
      </c>
      <c r="F165" s="17"/>
      <c r="G165" s="76">
        <v>4.53</v>
      </c>
      <c r="H165" s="7">
        <f>$E165*G165</f>
        <v>13891.417411800001</v>
      </c>
      <c r="K165" s="76">
        <f>G165-$K$172</f>
        <v>3.93</v>
      </c>
      <c r="L165" s="7">
        <f>$E165*K165</f>
        <v>12051.494575799999</v>
      </c>
    </row>
    <row r="166" spans="3:15" x14ac:dyDescent="0.25">
      <c r="C166" s="9"/>
      <c r="D166" s="16"/>
      <c r="E166" s="16"/>
      <c r="F166" s="17"/>
      <c r="G166" s="9"/>
      <c r="H166" s="7"/>
      <c r="K166" s="76"/>
      <c r="L166" s="7"/>
    </row>
    <row r="167" spans="3:15" x14ac:dyDescent="0.25">
      <c r="C167" s="9" t="s">
        <v>62</v>
      </c>
      <c r="D167" s="16"/>
      <c r="E167" s="16">
        <v>442735.35146999994</v>
      </c>
      <c r="F167" s="17"/>
      <c r="G167" s="76">
        <v>6.13</v>
      </c>
      <c r="H167" s="7">
        <f>$E167*G167</f>
        <v>2713967.7045110995</v>
      </c>
      <c r="K167" s="76">
        <f>G167-$K$172</f>
        <v>5.53</v>
      </c>
      <c r="L167" s="7">
        <f>$E167*K167</f>
        <v>2448326.4936290998</v>
      </c>
    </row>
    <row r="168" spans="3:15" x14ac:dyDescent="0.25">
      <c r="C168" s="9" t="s">
        <v>63</v>
      </c>
      <c r="D168" s="16"/>
      <c r="E168" s="16">
        <v>3055.0380599999999</v>
      </c>
      <c r="F168" s="17"/>
      <c r="G168" s="76">
        <v>6.13</v>
      </c>
      <c r="H168" s="7">
        <f>$E168*G168</f>
        <v>18727.383307799999</v>
      </c>
      <c r="K168" s="76">
        <f>G168-$K$172</f>
        <v>5.53</v>
      </c>
      <c r="L168" s="7">
        <f>$E168*K168</f>
        <v>16894.360471799999</v>
      </c>
    </row>
    <row r="169" spans="3:15" x14ac:dyDescent="0.25">
      <c r="C169" s="9"/>
      <c r="D169" s="8"/>
      <c r="E169" s="8"/>
      <c r="F169" s="23"/>
      <c r="G169" s="76"/>
      <c r="H169" s="23"/>
      <c r="K169" s="76"/>
      <c r="L169" s="23"/>
    </row>
    <row r="170" spans="3:15" ht="15.75" thickBot="1" x14ac:dyDescent="0.3">
      <c r="C170" s="13"/>
      <c r="D170" s="29"/>
      <c r="E170" s="29"/>
      <c r="F170" s="246"/>
      <c r="G170" s="52"/>
      <c r="H170" s="5">
        <f>SUM(H156:H169)</f>
        <v>12345954.91920203</v>
      </c>
      <c r="K170" s="52"/>
      <c r="L170" s="5">
        <f>SUM(L156:L169)</f>
        <v>11529443.158616032</v>
      </c>
      <c r="M170" s="1">
        <f>H170-L170</f>
        <v>816511.76058599725</v>
      </c>
    </row>
    <row r="172" spans="3:15" x14ac:dyDescent="0.25">
      <c r="K172" s="81">
        <v>0.6</v>
      </c>
      <c r="M172" s="1">
        <f>M150+M170</f>
        <v>994279.66512599774</v>
      </c>
      <c r="O172" s="1"/>
    </row>
  </sheetData>
  <mergeCells count="46">
    <mergeCell ref="J1:L1"/>
    <mergeCell ref="M1:N1"/>
    <mergeCell ref="O1:Q1"/>
    <mergeCell ref="R1:S1"/>
    <mergeCell ref="E2:I2"/>
    <mergeCell ref="J2:L2"/>
    <mergeCell ref="M2:N2"/>
    <mergeCell ref="O2:Q2"/>
    <mergeCell ref="R2:S2"/>
    <mergeCell ref="G15:H15"/>
    <mergeCell ref="J15:K15"/>
    <mergeCell ref="M15:N15"/>
    <mergeCell ref="P15:Q15"/>
    <mergeCell ref="S15:T15"/>
    <mergeCell ref="B98:B99"/>
    <mergeCell ref="Z43:AA43"/>
    <mergeCell ref="AB43:AC43"/>
    <mergeCell ref="G67:H67"/>
    <mergeCell ref="J67:K67"/>
    <mergeCell ref="M67:N67"/>
    <mergeCell ref="P67:Q67"/>
    <mergeCell ref="S67:T67"/>
    <mergeCell ref="Z67:AA67"/>
    <mergeCell ref="AB67:AC67"/>
    <mergeCell ref="G43:H43"/>
    <mergeCell ref="J43:K43"/>
    <mergeCell ref="M43:N43"/>
    <mergeCell ref="P43:Q43"/>
    <mergeCell ref="S43:T43"/>
    <mergeCell ref="G91:H91"/>
    <mergeCell ref="J91:K91"/>
    <mergeCell ref="M91:N91"/>
    <mergeCell ref="P91:Q91"/>
    <mergeCell ref="S91:T91"/>
    <mergeCell ref="C127:F127"/>
    <mergeCell ref="C153:F153"/>
    <mergeCell ref="G154:H154"/>
    <mergeCell ref="K154:L154"/>
    <mergeCell ref="G153:H153"/>
    <mergeCell ref="K153:L153"/>
    <mergeCell ref="G128:H128"/>
    <mergeCell ref="I128:J128"/>
    <mergeCell ref="G127:H127"/>
    <mergeCell ref="I127:J127"/>
    <mergeCell ref="K128:L128"/>
    <mergeCell ref="K127:L127"/>
  </mergeCells>
  <pageMargins left="0.7" right="0.7" top="1" bottom="0.75" header="0.3" footer="0.3"/>
  <pageSetup scale="46" orientation="landscape" r:id="rId1"/>
  <rowBreaks count="1" manualBreakCount="1">
    <brk id="65" max="28" man="1"/>
  </rowBreaks>
  <colBreaks count="1" manualBreakCount="1">
    <brk id="20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Billing Data</vt:lpstr>
      <vt:lpstr>Rate Design </vt:lpstr>
      <vt:lpstr>'Billing Data'!Print_Area</vt:lpstr>
      <vt:lpstr>'Rate Design '!Print_Area</vt:lpstr>
      <vt:lpstr>'Rate Design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Willhite, Ron - KSBA</dc:creator>
  <cp:lastModifiedBy>Willhite, Ron - KSBA</cp:lastModifiedBy>
  <cp:lastPrinted>2017-04-11T17:08:42Z</cp:lastPrinted>
  <dcterms:created xsi:type="dcterms:W3CDTF">2017-01-31T02:49:51Z</dcterms:created>
  <dcterms:modified xsi:type="dcterms:W3CDTF">2017-04-14T14:07:49Z</dcterms:modified>
</cp:coreProperties>
</file>