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4130" firstSheet="2" activeTab="4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Meters" sheetId="6" r:id="rId6"/>
    <sheet name="Services" sheetId="7" r:id="rId7"/>
    <sheet name="Res Unit Costs" sheetId="14" r:id="rId8"/>
    <sheet name="GS Unit Costs" sheetId="27" r:id="rId9"/>
    <sheet name="AES Unit Costs" sheetId="29" r:id="rId10"/>
    <sheet name="PSS Unit Costs" sheetId="17" r:id="rId11"/>
    <sheet name="PSP Unit Costs" sheetId="19" r:id="rId12"/>
    <sheet name="TODS Unit Costs" sheetId="20" r:id="rId13"/>
    <sheet name="TODP Unit Costs" sheetId="21" r:id="rId14"/>
    <sheet name="RTS Unit Costs" sheetId="25" r:id="rId15"/>
    <sheet name="FLS Unit Costs" sheetId="2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9">[1]EGSplit!#REF!</definedName>
    <definedName name="\" localSheetId="15">[1]EGSplit!#REF!</definedName>
    <definedName name="\" localSheetId="8">[1]EGSplit!#REF!</definedName>
    <definedName name="\" localSheetId="11">[1]EGSplit!#REF!</definedName>
    <definedName name="\" localSheetId="10">[1]EGSplit!#REF!</definedName>
    <definedName name="\" localSheetId="14">[1]EGSplit!#REF!</definedName>
    <definedName name="\" localSheetId="13">[1]EGSplit!#REF!</definedName>
    <definedName name="\" localSheetId="12">[1]EGSplit!#REF!</definedName>
    <definedName name="\">[1]EGSplit!#REF!</definedName>
    <definedName name="\\" hidden="1">#REF!</definedName>
    <definedName name="\\\" hidden="1">#REF!</definedName>
    <definedName name="\\\\" localSheetId="9" hidden="1">#REF!</definedName>
    <definedName name="\\\\" localSheetId="15" hidden="1">#REF!</definedName>
    <definedName name="\\\\" localSheetId="8" hidden="1">#REF!</definedName>
    <definedName name="\\\\" localSheetId="11" hidden="1">#REF!</definedName>
    <definedName name="\\\\" localSheetId="10" hidden="1">#REF!</definedName>
    <definedName name="\\\\" localSheetId="14" hidden="1">#REF!</definedName>
    <definedName name="\\\\" localSheetId="13" hidden="1">#REF!</definedName>
    <definedName name="\\\\" localSheetId="12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9">[2]dbase!#REF!</definedName>
    <definedName name="\P" localSheetId="15">[2]dbase!#REF!</definedName>
    <definedName name="\P" localSheetId="8">[2]dbase!#REF!</definedName>
    <definedName name="\P" localSheetId="11">[2]dbase!#REF!</definedName>
    <definedName name="\P" localSheetId="10">[2]dbase!#REF!</definedName>
    <definedName name="\P" localSheetId="14">[2]dbase!#REF!</definedName>
    <definedName name="\P" localSheetId="13">[2]dbase!#REF!</definedName>
    <definedName name="\P" localSheetId="12">[2]dbase!#REF!</definedName>
    <definedName name="\P">[2]dbase!#REF!</definedName>
    <definedName name="\R" localSheetId="9">#REF!</definedName>
    <definedName name="\R" localSheetId="15">#REF!</definedName>
    <definedName name="\R" localSheetId="8">#REF!</definedName>
    <definedName name="\R" localSheetId="11">#REF!</definedName>
    <definedName name="\R" localSheetId="10">#REF!</definedName>
    <definedName name="\R" localSheetId="14">#REF!</definedName>
    <definedName name="\R" localSheetId="13">#REF!</definedName>
    <definedName name="\R" localSheetId="12">#REF!</definedName>
    <definedName name="\R">#REF!</definedName>
    <definedName name="\S" localSheetId="9">[2]dbase!#REF!</definedName>
    <definedName name="\S" localSheetId="15">[2]dbase!#REF!</definedName>
    <definedName name="\S" localSheetId="8">[2]dbase!#REF!</definedName>
    <definedName name="\S" localSheetId="11">[2]dbase!#REF!</definedName>
    <definedName name="\S" localSheetId="10">[2]dbase!#REF!</definedName>
    <definedName name="\S" localSheetId="14">[2]dbase!#REF!</definedName>
    <definedName name="\S" localSheetId="13">[2]dbase!#REF!</definedName>
    <definedName name="\S" localSheetId="12">[2]dbase!#REF!</definedName>
    <definedName name="\S">[2]dbase!#REF!</definedName>
    <definedName name="\T">#REF!</definedName>
    <definedName name="\Y" localSheetId="9">[3]d20!#REF!</definedName>
    <definedName name="\Y" localSheetId="15">[3]d20!#REF!</definedName>
    <definedName name="\Y" localSheetId="8">[3]d20!#REF!</definedName>
    <definedName name="\Y" localSheetId="11">[3]d20!#REF!</definedName>
    <definedName name="\Y" localSheetId="10">[3]d20!#REF!</definedName>
    <definedName name="\Y" localSheetId="14">[3]d20!#REF!</definedName>
    <definedName name="\Y" localSheetId="13">[3]d20!#REF!</definedName>
    <definedName name="\Y" localSheetId="12">[3]d20!#REF!</definedName>
    <definedName name="\Y">[3]d20!#REF!</definedName>
    <definedName name="__123Graph_A" hidden="1">#REF!</definedName>
    <definedName name="__123Graph_B" hidden="1">#REF!</definedName>
    <definedName name="__123Graph_C" localSheetId="9" hidden="1">#REF!</definedName>
    <definedName name="__123Graph_C" localSheetId="15" hidden="1">#REF!</definedName>
    <definedName name="__123Graph_C" localSheetId="8" hidden="1">#REF!</definedName>
    <definedName name="__123Graph_C" localSheetId="11" hidden="1">#REF!</definedName>
    <definedName name="__123Graph_C" localSheetId="10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hidden="1">#REF!</definedName>
    <definedName name="__123Graph_D" hidden="1">#REF!</definedName>
    <definedName name="__123Graph_E" localSheetId="9" hidden="1">#REF!</definedName>
    <definedName name="__123Graph_E" localSheetId="15" hidden="1">#REF!</definedName>
    <definedName name="__123Graph_E" localSheetId="8" hidden="1">#REF!</definedName>
    <definedName name="__123Graph_E" localSheetId="11" hidden="1">#REF!</definedName>
    <definedName name="__123Graph_E" localSheetId="10" hidden="1">#REF!</definedName>
    <definedName name="__123Graph_E" localSheetId="14" hidden="1">#REF!</definedName>
    <definedName name="__123Graph_E" localSheetId="13" hidden="1">#REF!</definedName>
    <definedName name="__123Graph_E" localSheetId="12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9">#REF!</definedName>
    <definedName name="_3NON_UTILITY" localSheetId="15">#REF!</definedName>
    <definedName name="_4NON_UTILITY" localSheetId="8">#REF!</definedName>
    <definedName name="_5NON_UTILITY" localSheetId="11">#REF!</definedName>
    <definedName name="_6NON_UTILITY" localSheetId="10">#REF!</definedName>
    <definedName name="_7NON_UTILITY" localSheetId="14">#REF!</definedName>
    <definedName name="_8NON_UTILITY" localSheetId="13">#REF!</definedName>
    <definedName name="_9NON_UTILITY" localSheetId="12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9">#REF!</definedName>
    <definedName name="_P" localSheetId="15">#REF!</definedName>
    <definedName name="_P" localSheetId="8">#REF!</definedName>
    <definedName name="_P" localSheetId="11">#REF!</definedName>
    <definedName name="_P" localSheetId="10">#REF!</definedName>
    <definedName name="_P" localSheetId="14">#REF!</definedName>
    <definedName name="_P" localSheetId="13">#REF!</definedName>
    <definedName name="_P" localSheetId="12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9">#REF!</definedName>
    <definedName name="Adjust2" localSheetId="15">#REF!</definedName>
    <definedName name="Adjust2" localSheetId="8">#REF!</definedName>
    <definedName name="Adjust2" localSheetId="11">#REF!</definedName>
    <definedName name="Adjust2" localSheetId="10">#REF!</definedName>
    <definedName name="Adjust2" localSheetId="14">#REF!</definedName>
    <definedName name="Adjust2" localSheetId="13">#REF!</definedName>
    <definedName name="Adjust2" localSheetId="12">#REF!</definedName>
    <definedName name="Adjust2">#REF!</definedName>
    <definedName name="ADJUSTA">#REF!</definedName>
    <definedName name="ADJUSTAA">#REF!</definedName>
    <definedName name="ADJUSTB" localSheetId="9">#REF!</definedName>
    <definedName name="ADJUSTB" localSheetId="15">#REF!</definedName>
    <definedName name="ADJUSTB" localSheetId="8">#REF!</definedName>
    <definedName name="ADJUSTB" localSheetId="11">#REF!</definedName>
    <definedName name="ADJUSTB" localSheetId="10">#REF!</definedName>
    <definedName name="ADJUSTB" localSheetId="14">#REF!</definedName>
    <definedName name="ADJUSTB" localSheetId="13">#REF!</definedName>
    <definedName name="ADJUSTB" localSheetId="12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9">#REF!</definedName>
    <definedName name="ADJUSTS" localSheetId="15">#REF!</definedName>
    <definedName name="ADJUSTS" localSheetId="8">#REF!</definedName>
    <definedName name="ADJUSTS" localSheetId="11">#REF!</definedName>
    <definedName name="ADJUSTS" localSheetId="10">#REF!</definedName>
    <definedName name="ADJUSTS" localSheetId="14">#REF!</definedName>
    <definedName name="ADJUSTS" localSheetId="13">#REF!</definedName>
    <definedName name="ADJUSTS" localSheetId="12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9">'[5]LGE Sales'!#REF!</definedName>
    <definedName name="Annual_Sales_KU" localSheetId="15">'[5]LGE Sales'!#REF!</definedName>
    <definedName name="Annual_Sales_KU" localSheetId="8">'[5]LGE Sales'!#REF!</definedName>
    <definedName name="Annual_Sales_KU" localSheetId="11">'[5]LGE Sales'!#REF!</definedName>
    <definedName name="Annual_Sales_KU" localSheetId="10">'[5]LGE Sales'!#REF!</definedName>
    <definedName name="Annual_Sales_KU" localSheetId="14">'[5]LGE Sales'!#REF!</definedName>
    <definedName name="Annual_Sales_KU" localSheetId="13">'[5]LGE Sales'!#REF!</definedName>
    <definedName name="Annual_Sales_KU" localSheetId="12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9">'[5]LGE Coal'!#REF!</definedName>
    <definedName name="Coal_Annual_KU" localSheetId="15">'[5]LGE Coal'!#REF!</definedName>
    <definedName name="Coal_Annual_KU" localSheetId="8">'[5]LGE Coal'!#REF!</definedName>
    <definedName name="Coal_Annual_KU" localSheetId="11">'[5]LGE Coal'!#REF!</definedName>
    <definedName name="Coal_Annual_KU" localSheetId="10">'[5]LGE Coal'!#REF!</definedName>
    <definedName name="Coal_Annual_KU" localSheetId="14">'[5]LGE Coal'!#REF!</definedName>
    <definedName name="Coal_Annual_KU" localSheetId="13">'[5]LGE Coal'!#REF!</definedName>
    <definedName name="Coal_Annual_KU" localSheetId="12">'[5]LGE Coal'!#REF!</definedName>
    <definedName name="Coal_Annual_KU">'[5]LGE Coal'!#REF!</definedName>
    <definedName name="coal_hide_ku_01" localSheetId="9">'[5]LGE Coal'!#REF!</definedName>
    <definedName name="coal_hide_ku_01" localSheetId="15">'[5]LGE Coal'!#REF!</definedName>
    <definedName name="coal_hide_ku_01" localSheetId="8">'[5]LGE Coal'!#REF!</definedName>
    <definedName name="coal_hide_ku_01" localSheetId="11">'[5]LGE Coal'!#REF!</definedName>
    <definedName name="coal_hide_ku_01" localSheetId="10">'[5]LGE Coal'!#REF!</definedName>
    <definedName name="coal_hide_ku_01" localSheetId="14">'[5]LGE Coal'!#REF!</definedName>
    <definedName name="coal_hide_ku_01" localSheetId="13">'[5]LGE Coal'!#REF!</definedName>
    <definedName name="coal_hide_ku_01" localSheetId="12">'[5]LGE Coal'!#REF!</definedName>
    <definedName name="coal_hide_ku_01">'[5]LGE Coal'!#REF!</definedName>
    <definedName name="coal_hide_lge_01" localSheetId="9">'[5]LGE Coal'!#REF!</definedName>
    <definedName name="coal_hide_lge_01" localSheetId="15">'[5]LGE Coal'!#REF!</definedName>
    <definedName name="coal_hide_lge_01" localSheetId="8">'[5]LGE Coal'!#REF!</definedName>
    <definedName name="coal_hide_lge_01" localSheetId="11">'[5]LGE Coal'!#REF!</definedName>
    <definedName name="coal_hide_lge_01" localSheetId="10">'[5]LGE Coal'!#REF!</definedName>
    <definedName name="coal_hide_lge_01" localSheetId="14">'[5]LGE Coal'!#REF!</definedName>
    <definedName name="coal_hide_lge_01" localSheetId="13">'[5]LGE Coal'!#REF!</definedName>
    <definedName name="coal_hide_lge_01" localSheetId="12">'[5]LGE Coal'!#REF!</definedName>
    <definedName name="coal_hide_lge_01">'[5]LGE Coal'!#REF!</definedName>
    <definedName name="coal_ku_01" localSheetId="9">'[5]LGE Coal'!#REF!</definedName>
    <definedName name="coal_ku_01" localSheetId="15">'[5]LGE Coal'!#REF!</definedName>
    <definedName name="coal_ku_01" localSheetId="8">'[5]LGE Coal'!#REF!</definedName>
    <definedName name="coal_ku_01" localSheetId="11">'[5]LGE Coal'!#REF!</definedName>
    <definedName name="coal_ku_01" localSheetId="10">'[5]LGE Coal'!#REF!</definedName>
    <definedName name="coal_ku_01" localSheetId="14">'[5]LGE Coal'!#REF!</definedName>
    <definedName name="coal_ku_01" localSheetId="13">'[5]LGE Coal'!#REF!</definedName>
    <definedName name="coal_ku_01" localSheetId="12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9">'[7]1'!#REF!</definedName>
    <definedName name="data1" localSheetId="15">'[7]1'!#REF!</definedName>
    <definedName name="data1" localSheetId="8">'[7]1'!#REF!</definedName>
    <definedName name="data1" localSheetId="11">'[7]1'!#REF!</definedName>
    <definedName name="data1" localSheetId="10">'[7]1'!#REF!</definedName>
    <definedName name="data1" localSheetId="14">'[7]1'!#REF!</definedName>
    <definedName name="data1" localSheetId="13">'[7]1'!#REF!</definedName>
    <definedName name="data1" localSheetId="12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9">#REF!</definedName>
    <definedName name="ELEC_NET_OP_INC" localSheetId="15">#REF!</definedName>
    <definedName name="ELEC_NET_OP_INC" localSheetId="8">#REF!</definedName>
    <definedName name="ELEC_NET_OP_INC" localSheetId="11">#REF!</definedName>
    <definedName name="ELEC_NET_OP_INC" localSheetId="10">#REF!</definedName>
    <definedName name="ELEC_NET_OP_INC" localSheetId="14">#REF!</definedName>
    <definedName name="ELEC_NET_OP_INC" localSheetId="13">#REF!</definedName>
    <definedName name="ELEC_NET_OP_INC" localSheetId="12">#REF!</definedName>
    <definedName name="ELEC_NET_OP_INC">#REF!</definedName>
    <definedName name="ELIMS">#REF!</definedName>
    <definedName name="EXHIB1A" localSheetId="9">'[8]#REF'!#REF!</definedName>
    <definedName name="EXHIB1A" localSheetId="15">'[8]#REF'!#REF!</definedName>
    <definedName name="EXHIB1A" localSheetId="8">'[8]#REF'!#REF!</definedName>
    <definedName name="EXHIB1A" localSheetId="11">'[8]#REF'!#REF!</definedName>
    <definedName name="EXHIB1A" localSheetId="10">'[8]#REF'!#REF!</definedName>
    <definedName name="EXHIB1A" localSheetId="14">'[8]#REF'!#REF!</definedName>
    <definedName name="EXHIB1A" localSheetId="13">'[8]#REF'!#REF!</definedName>
    <definedName name="EXHIB1A" localSheetId="12">'[8]#REF'!#REF!</definedName>
    <definedName name="EXHIB1A">'[8]#REF'!#REF!</definedName>
    <definedName name="EXHIB1B">#REF!</definedName>
    <definedName name="EXHIB1C" localSheetId="9">#REF!</definedName>
    <definedName name="EXHIB1C" localSheetId="15">#REF!</definedName>
    <definedName name="EXHIB1C" localSheetId="8">#REF!</definedName>
    <definedName name="EXHIB1C" localSheetId="11">#REF!</definedName>
    <definedName name="EXHIB1C" localSheetId="10">#REF!</definedName>
    <definedName name="EXHIB1C" localSheetId="14">#REF!</definedName>
    <definedName name="EXHIB1C" localSheetId="13">#REF!</definedName>
    <definedName name="EXHIB1C" localSheetId="12">#REF!</definedName>
    <definedName name="EXHIB1C">#REF!</definedName>
    <definedName name="EXHIB2B" localSheetId="9">'[9]Ex 2'!#REF!</definedName>
    <definedName name="EXHIB2B" localSheetId="15">'[9]Ex 2'!#REF!</definedName>
    <definedName name="EXHIB2B" localSheetId="8">'[9]Ex 2'!#REF!</definedName>
    <definedName name="EXHIB2B" localSheetId="11">'[9]Ex 2'!#REF!</definedName>
    <definedName name="EXHIB2B" localSheetId="10">'[9]Ex 2'!#REF!</definedName>
    <definedName name="EXHIB2B" localSheetId="14">'[9]Ex 2'!#REF!</definedName>
    <definedName name="EXHIB2B" localSheetId="13">'[9]Ex 2'!#REF!</definedName>
    <definedName name="EXHIB2B" localSheetId="12">'[9]Ex 2'!#REF!</definedName>
    <definedName name="EXHIB2B">'[9]Ex 2'!#REF!</definedName>
    <definedName name="EXHIB3">#REF!</definedName>
    <definedName name="EXHIB6" localSheetId="9">'[9]not used Ex 4'!#REF!</definedName>
    <definedName name="EXHIB6" localSheetId="15">'[9]not used Ex 4'!#REF!</definedName>
    <definedName name="EXHIB6" localSheetId="8">'[9]not used Ex 4'!#REF!</definedName>
    <definedName name="EXHIB6" localSheetId="11">'[9]not used Ex 4'!#REF!</definedName>
    <definedName name="EXHIB6" localSheetId="10">'[9]not used Ex 4'!#REF!</definedName>
    <definedName name="EXHIB6" localSheetId="14">'[9]not used Ex 4'!#REF!</definedName>
    <definedName name="EXHIB6" localSheetId="13">'[9]not used Ex 4'!#REF!</definedName>
    <definedName name="EXHIB6" localSheetId="12">'[9]not used Ex 4'!#REF!</definedName>
    <definedName name="EXHIB6">'[9]not used Ex 4'!#REF!</definedName>
    <definedName name="F">#REF!</definedName>
    <definedName name="Fac_2000" localSheetId="9">'[5]LGE Base Fuel &amp; FAC'!#REF!</definedName>
    <definedName name="Fac_2000" localSheetId="15">'[5]LGE Base Fuel &amp; FAC'!#REF!</definedName>
    <definedName name="Fac_2000" localSheetId="8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 localSheetId="14">'[5]LGE Base Fuel &amp; FAC'!#REF!</definedName>
    <definedName name="Fac_2000" localSheetId="13">'[5]LGE Base Fuel &amp; FAC'!#REF!</definedName>
    <definedName name="Fac_2000" localSheetId="12">'[5]LGE Base Fuel &amp; FAC'!#REF!</definedName>
    <definedName name="Fac_2000">'[5]LGE Base Fuel &amp; FAC'!#REF!</definedName>
    <definedName name="fac_annual_ku" localSheetId="9">'[5]LGE Base Fuel &amp; FAC'!#REF!</definedName>
    <definedName name="fac_annual_ku" localSheetId="15">'[5]LGE Base Fuel &amp; FAC'!#REF!</definedName>
    <definedName name="fac_annual_ku" localSheetId="8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 localSheetId="14">'[5]LGE Base Fuel &amp; FAC'!#REF!</definedName>
    <definedName name="fac_annual_ku" localSheetId="13">'[5]LGE Base Fuel &amp; FAC'!#REF!</definedName>
    <definedName name="fac_annual_ku" localSheetId="12">'[5]LGE Base Fuel &amp; FAC'!#REF!</definedName>
    <definedName name="fac_annual_ku">'[5]LGE Base Fuel &amp; FAC'!#REF!</definedName>
    <definedName name="fac_hide_ku_01" localSheetId="9">'[5]LGE Base Fuel &amp; FAC'!#REF!</definedName>
    <definedName name="fac_hide_ku_01" localSheetId="15">'[5]LGE Base Fuel &amp; FAC'!#REF!</definedName>
    <definedName name="fac_hide_ku_01" localSheetId="8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 localSheetId="14">'[5]LGE Base Fuel &amp; FAC'!#REF!</definedName>
    <definedName name="fac_hide_ku_01" localSheetId="13">'[5]LGE Base Fuel &amp; FAC'!#REF!</definedName>
    <definedName name="fac_hide_ku_01" localSheetId="12">'[5]LGE Base Fuel &amp; FAC'!#REF!</definedName>
    <definedName name="fac_hide_ku_01">'[5]LGE Base Fuel &amp; FAC'!#REF!</definedName>
    <definedName name="fac_hide_lge_01" localSheetId="9">'[5]LGE Base Fuel &amp; FAC'!#REF!</definedName>
    <definedName name="fac_hide_lge_01" localSheetId="15">'[5]LGE Base Fuel &amp; FAC'!#REF!</definedName>
    <definedName name="fac_hide_lge_01" localSheetId="8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 localSheetId="14">'[5]LGE Base Fuel &amp; FAC'!#REF!</definedName>
    <definedName name="fac_hide_lge_01" localSheetId="13">'[5]LGE Base Fuel &amp; FAC'!#REF!</definedName>
    <definedName name="fac_hide_lge_01" localSheetId="12">'[5]LGE Base Fuel &amp; FAC'!#REF!</definedName>
    <definedName name="fac_hide_lge_01">'[5]LGE Base Fuel &amp; FAC'!#REF!</definedName>
    <definedName name="fac_ku_01" localSheetId="9">'[5]LGE Base Fuel &amp; FAC'!#REF!</definedName>
    <definedName name="fac_ku_01" localSheetId="15">'[5]LGE Base Fuel &amp; FAC'!#REF!</definedName>
    <definedName name="fac_ku_01" localSheetId="8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 localSheetId="14">'[5]LGE Base Fuel &amp; FAC'!#REF!</definedName>
    <definedName name="fac_ku_01" localSheetId="13">'[5]LGE Base Fuel &amp; FAC'!#REF!</definedName>
    <definedName name="fac_ku_01" localSheetId="12">'[5]LGE Base Fuel &amp; FAC'!#REF!</definedName>
    <definedName name="fac_ku_01">'[5]LGE Base Fuel &amp; FAC'!#REF!</definedName>
    <definedName name="FOOTER" localSheetId="9">#REF!</definedName>
    <definedName name="FOOTER" localSheetId="15">#REF!</definedName>
    <definedName name="FOOTER" localSheetId="8">#REF!</definedName>
    <definedName name="FOOTER" localSheetId="11">#REF!</definedName>
    <definedName name="FOOTER" localSheetId="10">#REF!</definedName>
    <definedName name="FOOTER" localSheetId="14">#REF!</definedName>
    <definedName name="FOOTER" localSheetId="13">#REF!</definedName>
    <definedName name="FOOTER" localSheetId="1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9">#REF!</definedName>
    <definedName name="gas_data" localSheetId="15">#REF!</definedName>
    <definedName name="gas_data" localSheetId="8">#REF!</definedName>
    <definedName name="gas_data" localSheetId="11">#REF!</definedName>
    <definedName name="gas_data" localSheetId="10">#REF!</definedName>
    <definedName name="gas_data" localSheetId="14">#REF!</definedName>
    <definedName name="gas_data" localSheetId="13">#REF!</definedName>
    <definedName name="gas_data" localSheetId="12">#REF!</definedName>
    <definedName name="gas_data">#REF!</definedName>
    <definedName name="Gas_Monthly_NetRevenue">#REF!</definedName>
    <definedName name="GAS_NET_OP_INC" localSheetId="9">#REF!</definedName>
    <definedName name="GAS_NET_OP_INC" localSheetId="15">#REF!</definedName>
    <definedName name="GAS_NET_OP_INC" localSheetId="8">#REF!</definedName>
    <definedName name="GAS_NET_OP_INC" localSheetId="11">#REF!</definedName>
    <definedName name="GAS_NET_OP_INC" localSheetId="10">#REF!</definedName>
    <definedName name="GAS_NET_OP_INC" localSheetId="14">#REF!</definedName>
    <definedName name="GAS_NET_OP_INC" localSheetId="13">#REF!</definedName>
    <definedName name="GAS_NET_OP_INC" localSheetId="12">#REF!</definedName>
    <definedName name="GAS_NET_OP_INC">#REF!</definedName>
    <definedName name="Gas_Sales_Revenues">#REF!</definedName>
    <definedName name="GenEx_Annual_KU" localSheetId="9">'[5]LGE Cost of Sales'!#REF!</definedName>
    <definedName name="GenEx_Annual_KU" localSheetId="15">'[5]LGE Cost of Sales'!#REF!</definedName>
    <definedName name="GenEx_Annual_KU" localSheetId="8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 localSheetId="14">'[5]LGE Cost of Sales'!#REF!</definedName>
    <definedName name="GenEx_Annual_KU" localSheetId="13">'[5]LGE Cost of Sales'!#REF!</definedName>
    <definedName name="GenEx_Annual_KU" localSheetId="12">'[5]LGE Cost of Sales'!#REF!</definedName>
    <definedName name="GenEx_Annual_KU">'[5]LGE Cost of Sales'!#REF!</definedName>
    <definedName name="genex_hide_ku_01" localSheetId="9">'[5]LGE Cost of Sales'!#REF!</definedName>
    <definedName name="genex_hide_ku_01" localSheetId="15">'[5]LGE Cost of Sales'!#REF!</definedName>
    <definedName name="genex_hide_ku_01" localSheetId="8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 localSheetId="14">'[5]LGE Cost of Sales'!#REF!</definedName>
    <definedName name="genex_hide_ku_01" localSheetId="13">'[5]LGE Cost of Sales'!#REF!</definedName>
    <definedName name="genex_hide_ku_01" localSheetId="12">'[5]LGE Cost of Sales'!#REF!</definedName>
    <definedName name="genex_hide_ku_01">'[5]LGE Cost of Sales'!#REF!</definedName>
    <definedName name="genex_hide_lge_01" localSheetId="9">'[5]LGE Cost of Sales'!#REF!</definedName>
    <definedName name="genex_hide_lge_01" localSheetId="15">'[5]LGE Cost of Sales'!#REF!</definedName>
    <definedName name="genex_hide_lge_01" localSheetId="8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 localSheetId="14">'[5]LGE Cost of Sales'!#REF!</definedName>
    <definedName name="genex_hide_lge_01" localSheetId="13">'[5]LGE Cost of Sales'!#REF!</definedName>
    <definedName name="genex_hide_lge_01" localSheetId="12">'[5]LGE Cost of Sales'!#REF!</definedName>
    <definedName name="genex_hide_lge_01">'[5]LGE Cost of Sales'!#REF!</definedName>
    <definedName name="genex_ku_01" localSheetId="9">'[5]LGE Cost of Sales'!#REF!</definedName>
    <definedName name="genex_ku_01" localSheetId="15">'[5]LGE Cost of Sales'!#REF!</definedName>
    <definedName name="genex_ku_01" localSheetId="8">'[5]LGE Cost of Sales'!#REF!</definedName>
    <definedName name="genex_ku_01" localSheetId="11">'[5]LGE Cost of Sales'!#REF!</definedName>
    <definedName name="genex_ku_01" localSheetId="10">'[5]LGE Cost of Sales'!#REF!</definedName>
    <definedName name="genex_ku_01" localSheetId="14">'[5]LGE Cost of Sales'!#REF!</definedName>
    <definedName name="genex_ku_01" localSheetId="13">'[5]LGE Cost of Sales'!#REF!</definedName>
    <definedName name="genex_ku_01" localSheetId="12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9">#REF!</definedName>
    <definedName name="KUELIMBAL" localSheetId="15">#REF!</definedName>
    <definedName name="KUELIMBAL" localSheetId="8">#REF!</definedName>
    <definedName name="KUELIMBAL" localSheetId="11">#REF!</definedName>
    <definedName name="KUELIMBAL" localSheetId="10">#REF!</definedName>
    <definedName name="KUELIMBAL" localSheetId="14">#REF!</definedName>
    <definedName name="KUELIMBAL" localSheetId="13">#REF!</definedName>
    <definedName name="KUELIMBAL" localSheetId="12">#REF!</definedName>
    <definedName name="KUELIMBAL">#REF!</definedName>
    <definedName name="KUELIMCASH" localSheetId="9">#REF!</definedName>
    <definedName name="KUELIMCASH" localSheetId="15">#REF!</definedName>
    <definedName name="KUELIMCASH" localSheetId="8">#REF!</definedName>
    <definedName name="KUELIMCASH" localSheetId="11">#REF!</definedName>
    <definedName name="KUELIMCASH" localSheetId="10">#REF!</definedName>
    <definedName name="KUELIMCASH" localSheetId="14">#REF!</definedName>
    <definedName name="KUELIMCASH" localSheetId="13">#REF!</definedName>
    <definedName name="KUELIMCASH" localSheetId="12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9">#REF!</definedName>
    <definedName name="LNGCL" localSheetId="15">#REF!</definedName>
    <definedName name="LNGCL" localSheetId="8">#REF!</definedName>
    <definedName name="LNGCL" localSheetId="11">#REF!</definedName>
    <definedName name="LNGCL" localSheetId="10">#REF!</definedName>
    <definedName name="LNGCL" localSheetId="14">#REF!</definedName>
    <definedName name="LNGCL" localSheetId="13">#REF!</definedName>
    <definedName name="LNGCL" localSheetId="1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9">#REF!</definedName>
    <definedName name="NET_OP_INC" localSheetId="15">#REF!</definedName>
    <definedName name="NET_OP_INC" localSheetId="8">#REF!</definedName>
    <definedName name="NET_OP_INC" localSheetId="11">#REF!</definedName>
    <definedName name="NET_OP_INC" localSheetId="10">#REF!</definedName>
    <definedName name="NET_OP_INC" localSheetId="14">#REF!</definedName>
    <definedName name="NET_OP_INC" localSheetId="13">#REF!</definedName>
    <definedName name="NET_OP_INC" localSheetId="1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9">'[5]LGE Gross Margin-Inc.Stmt'!#REF!</definedName>
    <definedName name="netrev_hide_ku_01" localSheetId="15">'[5]LGE Gross Margin-Inc.Stmt'!#REF!</definedName>
    <definedName name="netrev_hide_ku_01" localSheetId="8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 localSheetId="14">'[5]LGE Gross Margin-Inc.Stmt'!#REF!</definedName>
    <definedName name="netrev_hide_ku_01" localSheetId="13">'[5]LGE Gross Margin-Inc.Stmt'!#REF!</definedName>
    <definedName name="netrev_hide_ku_01" localSheetId="12">'[5]LGE Gross Margin-Inc.Stmt'!#REF!</definedName>
    <definedName name="netrev_hide_ku_01">'[5]LGE Gross Margin-Inc.Stmt'!#REF!</definedName>
    <definedName name="netrev_hide_lge_01" localSheetId="9">'[5]LGE Gross Margin-Inc.Stmt'!#REF!</definedName>
    <definedName name="netrev_hide_lge_01" localSheetId="15">'[5]LGE Gross Margin-Inc.Stmt'!#REF!</definedName>
    <definedName name="netrev_hide_lge_01" localSheetId="8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 localSheetId="14">'[5]LGE Gross Margin-Inc.Stmt'!#REF!</definedName>
    <definedName name="netrev_hide_lge_01" localSheetId="13">'[5]LGE Gross Margin-Inc.Stmt'!#REF!</definedName>
    <definedName name="netrev_hide_lge_01" localSheetId="12">'[5]LGE Gross Margin-Inc.Stmt'!#REF!</definedName>
    <definedName name="netrev_hide_lge_01">'[5]LGE Gross Margin-Inc.Stmt'!#REF!</definedName>
    <definedName name="netrev_ku_01" localSheetId="9">'[5]LGE Gross Margin-Inc.Stmt'!#REF!</definedName>
    <definedName name="netrev_ku_01" localSheetId="15">'[5]LGE Gross Margin-Inc.Stmt'!#REF!</definedName>
    <definedName name="netrev_ku_01" localSheetId="8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 localSheetId="14">'[5]LGE Gross Margin-Inc.Stmt'!#REF!</definedName>
    <definedName name="netrev_ku_01" localSheetId="13">'[5]LGE Gross Margin-Inc.Stmt'!#REF!</definedName>
    <definedName name="netrev_ku_01" localSheetId="12">'[5]LGE Gross Margin-Inc.Stmt'!#REF!</definedName>
    <definedName name="netrev_ku_01">'[5]LGE Gross Margin-Inc.Stmt'!#REF!</definedName>
    <definedName name="NetRevenue_Annual_KU" localSheetId="9">'[5]LGE Gross Margin-Inc.Stmt'!#REF!</definedName>
    <definedName name="NetRevenue_Annual_KU" localSheetId="15">'[5]LGE Gross Margin-Inc.Stmt'!#REF!</definedName>
    <definedName name="NetRevenue_Annual_KU" localSheetId="8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 localSheetId="14">'[5]LGE Gross Margin-Inc.Stmt'!#REF!</definedName>
    <definedName name="NetRevenue_Annual_KU" localSheetId="13">'[5]LGE Gross Margin-Inc.Stmt'!#REF!</definedName>
    <definedName name="NetRevenue_Annual_KU" localSheetId="12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9">[3]d20!#REF!</definedName>
    <definedName name="PAGE1B" localSheetId="15">[3]d20!#REF!</definedName>
    <definedName name="PAGE1B" localSheetId="8">[3]d20!#REF!</definedName>
    <definedName name="PAGE1B" localSheetId="11">[3]d20!#REF!</definedName>
    <definedName name="PAGE1B" localSheetId="10">[3]d20!#REF!</definedName>
    <definedName name="PAGE1B" localSheetId="14">[3]d20!#REF!</definedName>
    <definedName name="PAGE1B" localSheetId="13">[3]d20!#REF!</definedName>
    <definedName name="PAGE1B" localSheetId="12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9">'AES Unit Costs'!$A$1:$K$62</definedName>
    <definedName name="_xlnm.Print_Area" localSheetId="2">'Allocation ProForma'!$F$4:$T$917</definedName>
    <definedName name="_xlnm.Print_Area" localSheetId="4">'Billing Det'!$A$1:$H$42</definedName>
    <definedName name="_xlnm.Print_Area" localSheetId="15">'FLS Unit Costs'!$A$1:$K$56</definedName>
    <definedName name="_xlnm.Print_Area" localSheetId="1">'Functional Assignment'!$F$5:$AJ$665</definedName>
    <definedName name="_xlnm.Print_Area" localSheetId="8">'GS Unit Costs'!$A$1:$K$62</definedName>
    <definedName name="_xlnm.Print_Area" localSheetId="0">'Jurisdictional Study'!$B$19:$Q$1432</definedName>
    <definedName name="_xlnm.Print_Area" localSheetId="5">Meters!$A$1:$F$41</definedName>
    <definedName name="_xlnm.Print_Area" localSheetId="11">'PSP Unit Costs'!$A$1:$K$56</definedName>
    <definedName name="_xlnm.Print_Area" localSheetId="10">'PSS Unit Costs'!$A$1:$K$56</definedName>
    <definedName name="_xlnm.Print_Area" localSheetId="7">'Res Unit Costs'!$A$1:$K$56</definedName>
    <definedName name="_xlnm.Print_Area" localSheetId="14">'RTS Unit Costs'!$A$1:$K$56</definedName>
    <definedName name="_xlnm.Print_Area" localSheetId="6">Services!$A$1:$F$41</definedName>
    <definedName name="_xlnm.Print_Area" localSheetId="3">'Summary of Returns'!$A$1:$G$64</definedName>
    <definedName name="_xlnm.Print_Area" localSheetId="13">'TODP Unit Costs'!$A$1:$K$56</definedName>
    <definedName name="_xlnm.Print_Area" localSheetId="12">'TODS Unit Costs'!$A$1:$K$56</definedName>
    <definedName name="_xlnm.Print_Titles" localSheetId="2">'Allocation ProForma'!$A:$E,'Allocation ProForma'!$1:$3</definedName>
    <definedName name="_xlnm.Print_Titles" localSheetId="4">'Billing Det'!$A:$A,'Billing Det'!$77:$78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9">'[5]LGE Require &amp; Source'!#REF!</definedName>
    <definedName name="require_hide_ku_01" localSheetId="15">'[5]LGE Require &amp; Source'!#REF!</definedName>
    <definedName name="require_hide_ku_01" localSheetId="8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 localSheetId="14">'[5]LGE Require &amp; Source'!#REF!</definedName>
    <definedName name="require_hide_ku_01" localSheetId="13">'[5]LGE Require &amp; Source'!#REF!</definedName>
    <definedName name="require_hide_ku_01" localSheetId="12">'[5]LGE Require &amp; Source'!#REF!</definedName>
    <definedName name="require_hide_ku_01">'[5]LGE Require &amp; Source'!#REF!</definedName>
    <definedName name="require_hide_lge_01" localSheetId="9">'[5]LGE Require &amp; Source'!#REF!</definedName>
    <definedName name="require_hide_lge_01" localSheetId="15">'[5]LGE Require &amp; Source'!#REF!</definedName>
    <definedName name="require_hide_lge_01" localSheetId="8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 localSheetId="14">'[5]LGE Require &amp; Source'!#REF!</definedName>
    <definedName name="require_hide_lge_01" localSheetId="13">'[5]LGE Require &amp; Source'!#REF!</definedName>
    <definedName name="require_hide_lge_01" localSheetId="12">'[5]LGE Require &amp; Source'!#REF!</definedName>
    <definedName name="require_hide_lge_01">'[5]LGE Require &amp; Source'!#REF!</definedName>
    <definedName name="require_ku_01" localSheetId="9">'[5]LGE Require &amp; Source'!#REF!</definedName>
    <definedName name="require_ku_01" localSheetId="15">'[5]LGE Require &amp; Source'!#REF!</definedName>
    <definedName name="require_ku_01" localSheetId="8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 localSheetId="14">'[5]LGE Require &amp; Source'!#REF!</definedName>
    <definedName name="require_ku_01" localSheetId="13">'[5]LGE Require &amp; Source'!#REF!</definedName>
    <definedName name="require_ku_01" localSheetId="12">'[5]LGE Require &amp; Source'!#REF!</definedName>
    <definedName name="require_ku_01">'[5]LGE Require &amp; Source'!#REF!</definedName>
    <definedName name="Requirements_Annual_KU" localSheetId="9">'[5]LGE Require &amp; Source'!#REF!</definedName>
    <definedName name="Requirements_Annual_KU" localSheetId="15">'[5]LGE Require &amp; Source'!#REF!</definedName>
    <definedName name="Requirements_Annual_KU" localSheetId="8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 localSheetId="14">'[5]LGE Require &amp; Source'!#REF!</definedName>
    <definedName name="Requirements_Annual_KU" localSheetId="13">'[5]LGE Require &amp; Source'!#REF!</definedName>
    <definedName name="Requirements_Annual_KU" localSheetId="12">'[5]LGE Require &amp; Source'!#REF!</definedName>
    <definedName name="Requirements_Annual_KU">'[5]LGE Require &amp; Source'!#REF!</definedName>
    <definedName name="Requirements_Data" localSheetId="9">'[5]LGE Require &amp; Source'!#REF!</definedName>
    <definedName name="Requirements_Data" localSheetId="15">'[5]LGE Require &amp; Source'!#REF!</definedName>
    <definedName name="Requirements_Data" localSheetId="8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 localSheetId="14">'[5]LGE Require &amp; Source'!#REF!</definedName>
    <definedName name="Requirements_Data" localSheetId="13">'[5]LGE Require &amp; Source'!#REF!</definedName>
    <definedName name="Requirements_Data" localSheetId="12">'[5]LGE Require &amp; Source'!#REF!</definedName>
    <definedName name="Requirements_Data">'[5]LGE Require &amp; Source'!#REF!</definedName>
    <definedName name="Requirements_KU" localSheetId="9">'[5]LGE Require &amp; Source'!#REF!</definedName>
    <definedName name="Requirements_KU" localSheetId="15">'[5]LGE Require &amp; Source'!#REF!</definedName>
    <definedName name="Requirements_KU" localSheetId="8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 localSheetId="14">'[5]LGE Require &amp; Source'!#REF!</definedName>
    <definedName name="Requirements_KU" localSheetId="13">'[5]LGE Require &amp; Source'!#REF!</definedName>
    <definedName name="Requirements_KU" localSheetId="12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9">#REF!</definedName>
    <definedName name="RevCol01B" localSheetId="15">#REF!</definedName>
    <definedName name="RevCol01B" localSheetId="8">#REF!</definedName>
    <definedName name="RevCol01B" localSheetId="11">#REF!</definedName>
    <definedName name="RevCol01B" localSheetId="10">#REF!</definedName>
    <definedName name="RevCol01B" localSheetId="14">#REF!</definedName>
    <definedName name="RevCol01B" localSheetId="13">#REF!</definedName>
    <definedName name="RevCol01B" localSheetId="12">#REF!</definedName>
    <definedName name="RevCol01B">#REF!</definedName>
    <definedName name="RevCol02">#REF!</definedName>
    <definedName name="RevCol02A">#REF!</definedName>
    <definedName name="RevCol02B" localSheetId="9">#REF!</definedName>
    <definedName name="RevCol02B" localSheetId="15">#REF!</definedName>
    <definedName name="RevCol02B" localSheetId="8">#REF!</definedName>
    <definedName name="RevCol02B" localSheetId="11">#REF!</definedName>
    <definedName name="RevCol02B" localSheetId="10">#REF!</definedName>
    <definedName name="RevCol02B" localSheetId="14">#REF!</definedName>
    <definedName name="RevCol02B" localSheetId="13">#REF!</definedName>
    <definedName name="RevCol02B" localSheetId="12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9">#REF!</definedName>
    <definedName name="RevColTmp" localSheetId="15">#REF!</definedName>
    <definedName name="RevColTmp" localSheetId="8">#REF!</definedName>
    <definedName name="RevColTmp" localSheetId="11">#REF!</definedName>
    <definedName name="RevColTmp" localSheetId="10">#REF!</definedName>
    <definedName name="RevColTmp" localSheetId="14">#REF!</definedName>
    <definedName name="RevColTmp" localSheetId="13">#REF!</definedName>
    <definedName name="RevColTmp" localSheetId="12">#REF!</definedName>
    <definedName name="RevColTmp">#REF!</definedName>
    <definedName name="RevColTmpA" localSheetId="9">#REF!</definedName>
    <definedName name="RevColTmpA" localSheetId="15">#REF!</definedName>
    <definedName name="RevColTmpA" localSheetId="8">#REF!</definedName>
    <definedName name="RevColTmpA" localSheetId="11">#REF!</definedName>
    <definedName name="RevColTmpA" localSheetId="10">#REF!</definedName>
    <definedName name="RevColTmpA" localSheetId="14">#REF!</definedName>
    <definedName name="RevColTmpA" localSheetId="13">#REF!</definedName>
    <definedName name="RevColTmpA" localSheetId="12">#REF!</definedName>
    <definedName name="RevColTmpA">#REF!</definedName>
    <definedName name="RevColTmpB" localSheetId="9">#REF!</definedName>
    <definedName name="RevColTmpB" localSheetId="15">#REF!</definedName>
    <definedName name="RevColTmpB" localSheetId="8">#REF!</definedName>
    <definedName name="RevColTmpB" localSheetId="11">#REF!</definedName>
    <definedName name="RevColTmpB" localSheetId="10">#REF!</definedName>
    <definedName name="RevColTmpB" localSheetId="14">#REF!</definedName>
    <definedName name="RevColTmpB" localSheetId="13">#REF!</definedName>
    <definedName name="RevColTmpB" localSheetId="12">#REF!</definedName>
    <definedName name="RevColTmpB">#REF!</definedName>
    <definedName name="revenues_hide_ku_01" localSheetId="9">'[5]KU Other Electric Revenues'!#REF!</definedName>
    <definedName name="revenues_hide_ku_01" localSheetId="15">'[5]KU Other Electric Revenues'!#REF!</definedName>
    <definedName name="revenues_hide_ku_01" localSheetId="8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 localSheetId="14">'[5]KU Other Electric Revenues'!#REF!</definedName>
    <definedName name="revenues_hide_ku_01" localSheetId="13">'[5]KU Other Electric Revenues'!#REF!</definedName>
    <definedName name="revenues_hide_ku_01" localSheetId="12">'[5]KU Other Electric Revenues'!#REF!</definedName>
    <definedName name="revenues_hide_ku_01">'[5]KU Other Electric Revenues'!#REF!</definedName>
    <definedName name="revenues_ku_01" localSheetId="9">'[5]KU Other Electric Revenues'!#REF!</definedName>
    <definedName name="revenues_ku_01" localSheetId="15">'[5]KU Other Electric Revenues'!#REF!</definedName>
    <definedName name="revenues_ku_01" localSheetId="8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 localSheetId="14">'[5]KU Other Electric Revenues'!#REF!</definedName>
    <definedName name="revenues_ku_01" localSheetId="13">'[5]KU Other Electric Revenues'!#REF!</definedName>
    <definedName name="revenues_ku_01" localSheetId="12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9">'[5]LGE Sales'!#REF!</definedName>
    <definedName name="Sales" localSheetId="15">'[5]LGE Sales'!#REF!</definedName>
    <definedName name="Sales" localSheetId="8">'[5]LGE Sales'!#REF!</definedName>
    <definedName name="Sales" localSheetId="11">'[5]LGE Sales'!#REF!</definedName>
    <definedName name="Sales" localSheetId="10">'[5]LGE Sales'!#REF!</definedName>
    <definedName name="Sales" localSheetId="14">'[5]LGE Sales'!#REF!</definedName>
    <definedName name="Sales" localSheetId="13">'[5]LGE Sales'!#REF!</definedName>
    <definedName name="Sales" localSheetId="12">'[5]LGE Sales'!#REF!</definedName>
    <definedName name="Sales">'[5]LGE Sales'!#REF!</definedName>
    <definedName name="sales_hide_ku_01" localSheetId="9">'[5]LGE Sales'!#REF!</definedName>
    <definedName name="sales_hide_ku_01" localSheetId="15">'[5]LGE Sales'!#REF!</definedName>
    <definedName name="sales_hide_ku_01" localSheetId="8">'[5]LGE Sales'!#REF!</definedName>
    <definedName name="sales_hide_ku_01" localSheetId="11">'[5]LGE Sales'!#REF!</definedName>
    <definedName name="sales_hide_ku_01" localSheetId="10">'[5]LGE Sales'!#REF!</definedName>
    <definedName name="sales_hide_ku_01" localSheetId="14">'[5]LGE Sales'!#REF!</definedName>
    <definedName name="sales_hide_ku_01" localSheetId="13">'[5]LGE Sales'!#REF!</definedName>
    <definedName name="sales_hide_ku_01" localSheetId="12">'[5]LGE Sales'!#REF!</definedName>
    <definedName name="sales_hide_ku_01">'[5]LGE Sales'!#REF!</definedName>
    <definedName name="sales_ku_01" localSheetId="9">'[5]LGE Sales'!#REF!</definedName>
    <definedName name="sales_ku_01" localSheetId="15">'[5]LGE Sales'!#REF!</definedName>
    <definedName name="sales_ku_01" localSheetId="8">'[5]LGE Sales'!#REF!</definedName>
    <definedName name="sales_ku_01" localSheetId="11">'[5]LGE Sales'!#REF!</definedName>
    <definedName name="sales_ku_01" localSheetId="10">'[5]LGE Sales'!#REF!</definedName>
    <definedName name="sales_ku_01" localSheetId="14">'[5]LGE Sales'!#REF!</definedName>
    <definedName name="sales_ku_01" localSheetId="13">'[5]LGE Sales'!#REF!</definedName>
    <definedName name="sales_ku_01" localSheetId="12">'[5]LGE Sales'!#REF!</definedName>
    <definedName name="sales_ku_01">'[5]LGE Sales'!#REF!</definedName>
    <definedName name="sales_title_ku" localSheetId="9">'[5]LGE Sales'!#REF!</definedName>
    <definedName name="sales_title_ku" localSheetId="15">'[5]LGE Sales'!#REF!</definedName>
    <definedName name="sales_title_ku" localSheetId="8">'[5]LGE Sales'!#REF!</definedName>
    <definedName name="sales_title_ku" localSheetId="11">'[5]LGE Sales'!#REF!</definedName>
    <definedName name="sales_title_ku" localSheetId="10">'[5]LGE Sales'!#REF!</definedName>
    <definedName name="sales_title_ku" localSheetId="14">'[5]LGE Sales'!#REF!</definedName>
    <definedName name="sales_title_ku" localSheetId="13">'[5]LGE Sales'!#REF!</definedName>
    <definedName name="sales_title_ku" localSheetId="12">'[5]LGE Sales'!#REF!</definedName>
    <definedName name="sales_title_ku">'[5]LGE Sales'!#REF!</definedName>
    <definedName name="SCHEDZ">#REF!</definedName>
    <definedName name="shoot" localSheetId="9">#REF!</definedName>
    <definedName name="shoot" localSheetId="15">#REF!</definedName>
    <definedName name="shoot" localSheetId="8">#REF!</definedName>
    <definedName name="shoot" localSheetId="11">#REF!</definedName>
    <definedName name="shoot" localSheetId="10">#REF!</definedName>
    <definedName name="shoot" localSheetId="14">#REF!</definedName>
    <definedName name="shoot" localSheetId="13">#REF!</definedName>
    <definedName name="shoot" localSheetId="1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9">#REF!</definedName>
    <definedName name="SUPPORT6" localSheetId="15">#REF!</definedName>
    <definedName name="SUPPORT6" localSheetId="8">#REF!</definedName>
    <definedName name="SUPPORT6" localSheetId="11">#REF!</definedName>
    <definedName name="SUPPORT6" localSheetId="10">#REF!</definedName>
    <definedName name="SUPPORT6" localSheetId="14">#REF!</definedName>
    <definedName name="SUPPORT6" localSheetId="13">#REF!</definedName>
    <definedName name="SUPPORT6" localSheetId="12">#REF!</definedName>
    <definedName name="SUPPORT6">#REF!</definedName>
    <definedName name="TAX_RATE" localSheetId="9">'[8]#REF'!#REF!</definedName>
    <definedName name="TAX_RATE" localSheetId="15">'[8]#REF'!#REF!</definedName>
    <definedName name="TAX_RATE" localSheetId="8">'[8]#REF'!#REF!</definedName>
    <definedName name="TAX_RATE" localSheetId="11">'[8]#REF'!#REF!</definedName>
    <definedName name="TAX_RATE" localSheetId="10">'[8]#REF'!#REF!</definedName>
    <definedName name="TAX_RATE" localSheetId="14">'[8]#REF'!#REF!</definedName>
    <definedName name="TAX_RATE" localSheetId="13">'[8]#REF'!#REF!</definedName>
    <definedName name="TAX_RATE" localSheetId="12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9">#REF!</definedName>
    <definedName name="ttt" localSheetId="15">#REF!</definedName>
    <definedName name="ttt" localSheetId="8">#REF!</definedName>
    <definedName name="ttt" localSheetId="11">#REF!</definedName>
    <definedName name="ttt" localSheetId="10">#REF!</definedName>
    <definedName name="ttt" localSheetId="14">#REF!</definedName>
    <definedName name="ttt" localSheetId="13">#REF!</definedName>
    <definedName name="ttt" localSheetId="12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9">'[5]LGE Retail Margin'!#REF!</definedName>
    <definedName name="vol_rev_annual_ku" localSheetId="15">'[5]LGE Retail Margin'!#REF!</definedName>
    <definedName name="vol_rev_annual_ku" localSheetId="8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 localSheetId="14">'[5]LGE Retail Margin'!#REF!</definedName>
    <definedName name="vol_rev_annual_ku" localSheetId="13">'[5]LGE Retail Margin'!#REF!</definedName>
    <definedName name="vol_rev_annual_ku" localSheetId="12">'[5]LGE Retail Margin'!#REF!</definedName>
    <definedName name="vol_rev_annual_ku">'[5]LGE Retail Margin'!#REF!</definedName>
    <definedName name="vol_rev_hide_ku_monthly" localSheetId="9">'[5]LGE Retail Margin'!#REF!</definedName>
    <definedName name="vol_rev_hide_ku_monthly" localSheetId="15">'[5]LGE Retail Margin'!#REF!</definedName>
    <definedName name="vol_rev_hide_ku_monthly" localSheetId="8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 localSheetId="14">'[5]LGE Retail Margin'!#REF!</definedName>
    <definedName name="vol_rev_hide_ku_monthly" localSheetId="13">'[5]LGE Retail Margin'!#REF!</definedName>
    <definedName name="vol_rev_hide_ku_monthly" localSheetId="12">'[5]LGE Retail Margin'!#REF!</definedName>
    <definedName name="vol_rev_hide_ku_monthly">'[5]LGE Retail Margin'!#REF!</definedName>
    <definedName name="vol_rev_hide_lge_01" localSheetId="9">'[5]LGE Retail Margin'!#REF!</definedName>
    <definedName name="vol_rev_hide_lge_01" localSheetId="15">'[5]LGE Retail Margin'!#REF!</definedName>
    <definedName name="vol_rev_hide_lge_01" localSheetId="8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 localSheetId="14">'[5]LGE Retail Margin'!#REF!</definedName>
    <definedName name="vol_rev_hide_lge_01" localSheetId="13">'[5]LGE Retail Margin'!#REF!</definedName>
    <definedName name="vol_rev_hide_lge_01" localSheetId="12">'[5]LGE Retail Margin'!#REF!</definedName>
    <definedName name="vol_rev_hide_lge_01">'[5]LGE Retail Margin'!#REF!</definedName>
    <definedName name="vol_rev_ku_monthly" localSheetId="9">'[5]LGE Retail Margin'!#REF!</definedName>
    <definedName name="vol_rev_ku_monthly" localSheetId="8">'[5]LGE Retail Margin'!#REF!</definedName>
    <definedName name="vol_rev_ku_monthly" localSheetId="11">'[5]LGE Retail Margin'!#REF!</definedName>
    <definedName name="vol_rev_ku_monthly" localSheetId="12">'[5]LGE Retail Margin'!#REF!</definedName>
    <definedName name="vol_rev_ku_monthly">'[5]LGE Retail Margin'!#REF!</definedName>
    <definedName name="volrev_data" localSheetId="12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D24" i="8" l="1"/>
  <c r="D20" i="8"/>
  <c r="N878" i="2" l="1"/>
  <c r="N877" i="2"/>
  <c r="I878" i="2"/>
  <c r="I877" i="2"/>
  <c r="N903" i="2" l="1"/>
  <c r="E24" i="8"/>
  <c r="C20" i="8"/>
  <c r="L903" i="2"/>
  <c r="N876" i="2"/>
  <c r="L876" i="2"/>
  <c r="I24" i="8"/>
  <c r="C24" i="8"/>
  <c r="I20" i="8"/>
  <c r="E20" i="8"/>
  <c r="V801" i="2" l="1"/>
  <c r="F801" i="2"/>
  <c r="I908" i="2" l="1"/>
  <c r="I843" i="2"/>
  <c r="I895" i="2"/>
  <c r="I888" i="2"/>
  <c r="I881" i="2"/>
  <c r="I848" i="2"/>
  <c r="I844" i="2"/>
  <c r="B24" i="8"/>
  <c r="B20" i="8"/>
  <c r="I43" i="8"/>
  <c r="F875" i="2" s="1"/>
  <c r="I875" i="2"/>
  <c r="I874" i="2" s="1"/>
  <c r="I873" i="2"/>
  <c r="I872" i="2"/>
  <c r="D16" i="6"/>
  <c r="E16" i="6" s="1"/>
  <c r="K24" i="8"/>
  <c r="K20" i="8"/>
  <c r="K26" i="8" s="1"/>
  <c r="I851" i="2" s="1"/>
  <c r="J14" i="8"/>
  <c r="F14" i="8"/>
  <c r="D16" i="7" l="1"/>
  <c r="E16" i="7" s="1"/>
  <c r="T878" i="2"/>
  <c r="S878" i="2"/>
  <c r="R878" i="2"/>
  <c r="Q878" i="2"/>
  <c r="P878" i="2"/>
  <c r="O878" i="2"/>
  <c r="M878" i="2"/>
  <c r="L878" i="2"/>
  <c r="J878" i="2"/>
  <c r="H878" i="2"/>
  <c r="G878" i="2"/>
  <c r="T877" i="2"/>
  <c r="S877" i="2"/>
  <c r="R877" i="2"/>
  <c r="Q877" i="2"/>
  <c r="P877" i="2"/>
  <c r="O877" i="2"/>
  <c r="M877" i="2"/>
  <c r="L877" i="2"/>
  <c r="J877" i="2"/>
  <c r="H877" i="2"/>
  <c r="G877" i="2"/>
  <c r="F878" i="2"/>
  <c r="F877" i="2"/>
  <c r="V878" i="2" l="1"/>
  <c r="N481" i="1"/>
  <c r="R481" i="1"/>
  <c r="AE481" i="1"/>
  <c r="AG481" i="1"/>
  <c r="AI481" i="1"/>
  <c r="C8" i="8" l="1"/>
  <c r="B8" i="8" l="1"/>
  <c r="D10" i="6" s="1"/>
  <c r="K54" i="14" l="1"/>
  <c r="F50" i="19" l="1"/>
  <c r="G50" i="19"/>
  <c r="H50" i="19" s="1"/>
  <c r="F33" i="19"/>
  <c r="K33" i="19" s="1"/>
  <c r="L33" i="19" s="1"/>
  <c r="G50" i="17"/>
  <c r="H50" i="17" s="1"/>
  <c r="F50" i="17" l="1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F33" i="21"/>
  <c r="K33" i="21" s="1"/>
  <c r="L33" i="21" s="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4" i="8"/>
  <c r="D16" i="8"/>
  <c r="D8" i="8"/>
  <c r="F677" i="2" l="1"/>
  <c r="F99" i="1"/>
  <c r="G910" i="2" l="1"/>
  <c r="T903" i="2" l="1"/>
  <c r="S903" i="2"/>
  <c r="R903" i="2"/>
  <c r="Q903" i="2"/>
  <c r="P903" i="2"/>
  <c r="O903" i="2"/>
  <c r="M903" i="2"/>
  <c r="J903" i="2"/>
  <c r="H903" i="2"/>
  <c r="G903" i="2"/>
  <c r="F721" i="2" l="1"/>
  <c r="F755" i="2"/>
  <c r="F654" i="2" l="1"/>
  <c r="B34" i="8"/>
  <c r="D34" i="6" s="1"/>
  <c r="B38" i="8"/>
  <c r="D38" i="6" s="1"/>
  <c r="C36" i="8"/>
  <c r="B36" i="8"/>
  <c r="D36" i="6" s="1"/>
  <c r="B30" i="8"/>
  <c r="D30" i="6" s="1"/>
  <c r="B26" i="8"/>
  <c r="D28" i="6" s="1"/>
  <c r="D26" i="6"/>
  <c r="B22" i="8"/>
  <c r="D24" i="6" s="1"/>
  <c r="D22" i="6"/>
  <c r="B18" i="8"/>
  <c r="D20" i="6" s="1"/>
  <c r="B16" i="8"/>
  <c r="D18" i="6" s="1"/>
  <c r="B12" i="8"/>
  <c r="D14" i="6" s="1"/>
  <c r="B10" i="8"/>
  <c r="D12" i="6" s="1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8" i="8"/>
  <c r="F34" i="8"/>
  <c r="F32" i="8"/>
  <c r="F30" i="8"/>
  <c r="F28" i="8"/>
  <c r="F26" i="8"/>
  <c r="F24" i="8"/>
  <c r="F22" i="8"/>
  <c r="F20" i="8"/>
  <c r="F18" i="8"/>
  <c r="F16" i="8"/>
  <c r="F12" i="8"/>
  <c r="F10" i="8"/>
  <c r="F8" i="8"/>
  <c r="L874" i="2" l="1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7" i="7"/>
  <c r="K10" i="7" s="1"/>
  <c r="C36" i="6"/>
  <c r="C38" i="6"/>
  <c r="E10" i="6"/>
  <c r="E12" i="6"/>
  <c r="D18" i="7"/>
  <c r="E18" i="7" s="1"/>
  <c r="L848" i="2"/>
  <c r="I50" i="17" s="1"/>
  <c r="J50" i="17" s="1"/>
  <c r="M848" i="2"/>
  <c r="I50" i="19" s="1"/>
  <c r="J50" i="19" s="1"/>
  <c r="E24" i="6"/>
  <c r="O848" i="2"/>
  <c r="I50" i="21" s="1"/>
  <c r="J50" i="21" s="1"/>
  <c r="B32" i="8"/>
  <c r="D32" i="6" s="1"/>
  <c r="F36" i="8"/>
  <c r="F40" i="8" s="1"/>
  <c r="E40" i="8"/>
  <c r="G40" i="8"/>
  <c r="H40" i="8"/>
  <c r="I40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W804" i="2"/>
  <c r="U817" i="2"/>
  <c r="L843" i="2"/>
  <c r="Q843" i="2"/>
  <c r="R843" i="2"/>
  <c r="K845" i="2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I845" i="2"/>
  <c r="G848" i="2"/>
  <c r="I49" i="14" s="1"/>
  <c r="J49" i="14" s="1"/>
  <c r="I849" i="2"/>
  <c r="I861" i="2" s="1"/>
  <c r="K853" i="2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L888" i="2"/>
  <c r="M888" i="2"/>
  <c r="N888" i="2"/>
  <c r="O888" i="2"/>
  <c r="P888" i="2"/>
  <c r="Q888" i="2"/>
  <c r="R888" i="2"/>
  <c r="S888" i="2"/>
  <c r="T888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4" i="7"/>
  <c r="K60" i="7"/>
  <c r="K56" i="7"/>
  <c r="K50" i="7"/>
  <c r="K46" i="7"/>
  <c r="K42" i="7"/>
  <c r="K34" i="7"/>
  <c r="K30" i="7"/>
  <c r="K26" i="7"/>
  <c r="K22" i="7"/>
  <c r="K14" i="7"/>
  <c r="K67" i="7" s="1"/>
  <c r="K66" i="7"/>
  <c r="K62" i="7"/>
  <c r="K58" i="7"/>
  <c r="K54" i="7"/>
  <c r="K48" i="7"/>
  <c r="K44" i="7"/>
  <c r="K40" i="7"/>
  <c r="K32" i="7"/>
  <c r="K28" i="7"/>
  <c r="K24" i="7"/>
  <c r="K20" i="7"/>
  <c r="W801" i="2"/>
  <c r="J423" i="1"/>
  <c r="J16" i="1"/>
  <c r="H20" i="1"/>
  <c r="J20" i="1"/>
  <c r="AH497" i="1"/>
  <c r="C40" i="8"/>
  <c r="E49" i="14"/>
  <c r="F49" i="14"/>
  <c r="G49" i="14"/>
  <c r="G844" i="2"/>
  <c r="G845" i="2" s="1"/>
  <c r="H49" i="14"/>
  <c r="H423" i="1"/>
  <c r="J908" i="2"/>
  <c r="D36" i="7"/>
  <c r="E36" i="7" s="1"/>
  <c r="S848" i="2"/>
  <c r="S860" i="2" s="1"/>
  <c r="E22" i="6"/>
  <c r="P908" i="2"/>
  <c r="P843" i="2"/>
  <c r="D28" i="7"/>
  <c r="E28" i="7" s="1"/>
  <c r="H403" i="1"/>
  <c r="J177" i="1"/>
  <c r="S843" i="2"/>
  <c r="S908" i="2"/>
  <c r="G481" i="1" l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4" i="6"/>
  <c r="D34" i="7"/>
  <c r="E34" i="7" s="1"/>
  <c r="D32" i="7"/>
  <c r="E32" i="7" s="1"/>
  <c r="E32" i="6"/>
  <c r="S849" i="2"/>
  <c r="S850" i="2" s="1"/>
  <c r="S853" i="2" s="1"/>
  <c r="E36" i="6"/>
  <c r="B40" i="8"/>
  <c r="P848" i="2"/>
  <c r="Q848" i="2"/>
  <c r="E28" i="6"/>
  <c r="R848" i="2"/>
  <c r="R849" i="2" s="1"/>
  <c r="R850" i="2" s="1"/>
  <c r="O849" i="2"/>
  <c r="O860" i="2"/>
  <c r="E26" i="6"/>
  <c r="D26" i="7"/>
  <c r="E26" i="7" s="1"/>
  <c r="D22" i="7"/>
  <c r="E22" i="7" s="1"/>
  <c r="N848" i="2"/>
  <c r="N843" i="2"/>
  <c r="D40" i="8"/>
  <c r="F843" i="2" s="1"/>
  <c r="D24" i="7"/>
  <c r="E24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H1" i="2"/>
  <c r="H724" i="2" s="1"/>
  <c r="K856" i="2"/>
  <c r="K868" i="2" s="1"/>
  <c r="G545" i="2"/>
  <c r="M741" i="2"/>
  <c r="P741" i="2"/>
  <c r="K863" i="2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8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4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4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30" i="7"/>
  <c r="E30" i="7" s="1"/>
  <c r="E30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I50" i="20"/>
  <c r="J50" i="20" s="1"/>
  <c r="Q849" i="2"/>
  <c r="Q861" i="2" s="1"/>
  <c r="I50" i="26"/>
  <c r="J50" i="26" s="1"/>
  <c r="P860" i="2"/>
  <c r="P910" i="2" s="1"/>
  <c r="I50" i="25"/>
  <c r="J50" i="25" s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M861" i="2"/>
  <c r="M850" i="2"/>
  <c r="I862" i="2"/>
  <c r="I853" i="2"/>
  <c r="I856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665" i="2"/>
  <c r="G661" i="2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8" i="7"/>
  <c r="E38" i="7" s="1"/>
  <c r="E38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40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20" i="6"/>
  <c r="D20" i="7"/>
  <c r="E20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Q850" i="2"/>
  <c r="Q854" i="2" s="1"/>
  <c r="Q866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47" i="2"/>
  <c r="I541" i="2"/>
  <c r="I664" i="2"/>
  <c r="I656" i="2"/>
  <c r="I665" i="2"/>
  <c r="I724" i="2"/>
  <c r="I544" i="2"/>
  <c r="I538" i="2"/>
  <c r="I663" i="2"/>
  <c r="I545" i="2"/>
  <c r="I552" i="2"/>
  <c r="I651" i="2"/>
  <c r="I755" i="2" s="1"/>
  <c r="I839" i="2"/>
  <c r="K867" i="2"/>
  <c r="K857" i="2"/>
  <c r="K869" i="2" s="1"/>
  <c r="I866" i="2"/>
  <c r="I855" i="2"/>
  <c r="F855" i="2" s="1"/>
  <c r="F867" i="2" s="1"/>
  <c r="I841" i="2"/>
  <c r="I572" i="2" s="1"/>
  <c r="I840" i="2"/>
  <c r="I863" i="2"/>
  <c r="I868" i="2"/>
  <c r="I836" i="2"/>
  <c r="I546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V419" i="1"/>
  <c r="AH631" i="1"/>
  <c r="AH443" i="1" s="1"/>
  <c r="AH455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J631" i="1"/>
  <c r="J443" i="1" s="1"/>
  <c r="J455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Z105" i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J222" i="1"/>
  <c r="U631" i="1"/>
  <c r="U443" i="1" s="1"/>
  <c r="U455" i="1" s="1"/>
  <c r="M222" i="1"/>
  <c r="Q222" i="1"/>
  <c r="AJ631" i="1"/>
  <c r="AJ443" i="1" s="1"/>
  <c r="AJ455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AA481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40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40" i="6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M481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H469" i="1"/>
  <c r="AL125" i="1"/>
  <c r="Y387" i="1"/>
  <c r="AK380" i="1"/>
  <c r="AL380" i="1" s="1"/>
  <c r="G548" i="2" l="1"/>
  <c r="V910" i="2"/>
  <c r="W910" i="2" s="1"/>
  <c r="X910" i="2" s="1"/>
  <c r="F14" i="6"/>
  <c r="F16" i="6"/>
  <c r="I838" i="2" s="1"/>
  <c r="I560" i="2" s="1"/>
  <c r="F714" i="2"/>
  <c r="F729" i="2" s="1"/>
  <c r="Q853" i="2"/>
  <c r="Q865" i="2" s="1"/>
  <c r="L245" i="1"/>
  <c r="L258" i="1" s="1"/>
  <c r="L481" i="1"/>
  <c r="AJ659" i="1"/>
  <c r="AJ481" i="1"/>
  <c r="AC659" i="1"/>
  <c r="AC481" i="1"/>
  <c r="AC483" i="1" s="1"/>
  <c r="AC485" i="1" s="1"/>
  <c r="AC510" i="1" s="1"/>
  <c r="K659" i="1"/>
  <c r="K481" i="1"/>
  <c r="K483" i="1" s="1"/>
  <c r="J245" i="1"/>
  <c r="J258" i="1" s="1"/>
  <c r="J481" i="1"/>
  <c r="AH659" i="1"/>
  <c r="AH481" i="1"/>
  <c r="O245" i="1"/>
  <c r="O258" i="1" s="1"/>
  <c r="O481" i="1"/>
  <c r="T659" i="1"/>
  <c r="T481" i="1"/>
  <c r="T483" i="1" s="1"/>
  <c r="T485" i="1" s="1"/>
  <c r="T510" i="1" s="1"/>
  <c r="Q659" i="1"/>
  <c r="Q481" i="1"/>
  <c r="I659" i="1"/>
  <c r="I481" i="1"/>
  <c r="AB659" i="1"/>
  <c r="AB481" i="1"/>
  <c r="AB483" i="1" s="1"/>
  <c r="AB485" i="1" s="1"/>
  <c r="AB510" i="1" s="1"/>
  <c r="S245" i="1"/>
  <c r="S258" i="1" s="1"/>
  <c r="S275" i="1" s="1"/>
  <c r="S481" i="1"/>
  <c r="S483" i="1" s="1"/>
  <c r="S485" i="1" s="1"/>
  <c r="S510" i="1" s="1"/>
  <c r="AD245" i="1"/>
  <c r="AD258" i="1" s="1"/>
  <c r="AD481" i="1"/>
  <c r="P245" i="1"/>
  <c r="P258" i="1" s="1"/>
  <c r="P275" i="1" s="1"/>
  <c r="P481" i="1"/>
  <c r="U245" i="1"/>
  <c r="U258" i="1" s="1"/>
  <c r="U481" i="1"/>
  <c r="U483" i="1" s="1"/>
  <c r="U485" i="1" s="1"/>
  <c r="U510" i="1" s="1"/>
  <c r="U314" i="1" s="1"/>
  <c r="AF659" i="1"/>
  <c r="AF481" i="1"/>
  <c r="M483" i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139" i="1"/>
  <c r="V273" i="1"/>
  <c r="Z238" i="1"/>
  <c r="Z234" i="1"/>
  <c r="Z231" i="1"/>
  <c r="Z235" i="1"/>
  <c r="Z230" i="1"/>
  <c r="Z227" i="1"/>
  <c r="Z658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AA658" i="1"/>
  <c r="W105" i="1"/>
  <c r="U228" i="1"/>
  <c r="U235" i="1"/>
  <c r="U236" i="1"/>
  <c r="U234" i="1"/>
  <c r="U238" i="1"/>
  <c r="U231" i="1"/>
  <c r="U237" i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231" i="1"/>
  <c r="H238" i="1"/>
  <c r="G369" i="2"/>
  <c r="V660" i="1"/>
  <c r="H235" i="1"/>
  <c r="H228" i="1"/>
  <c r="S324" i="1"/>
  <c r="Y631" i="1"/>
  <c r="Y443" i="1" s="1"/>
  <c r="Y455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230" i="1"/>
  <c r="S141" i="1"/>
  <c r="AH224" i="1"/>
  <c r="T227" i="1"/>
  <c r="T235" i="1"/>
  <c r="Y658" i="1"/>
  <c r="AA108" i="1"/>
  <c r="X631" i="1"/>
  <c r="X443" i="1" s="1"/>
  <c r="X455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8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20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40" i="7"/>
  <c r="F16" i="7" s="1"/>
  <c r="I837" i="2" s="1"/>
  <c r="I557" i="2" s="1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3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J12" i="1"/>
  <c r="J66" i="1" s="1"/>
  <c r="F353" i="2"/>
  <c r="AK568" i="1"/>
  <c r="AL568" i="1" s="1"/>
  <c r="U571" i="1"/>
  <c r="U323" i="1"/>
  <c r="U530" i="1"/>
  <c r="U529" i="1"/>
  <c r="U662" i="1"/>
  <c r="U324" i="1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8" i="6"/>
  <c r="O838" i="2" s="1"/>
  <c r="F10" i="6"/>
  <c r="F34" i="6"/>
  <c r="R838" i="2" s="1"/>
  <c r="F24" i="6"/>
  <c r="M838" i="2" s="1"/>
  <c r="F18" i="6"/>
  <c r="F36" i="6"/>
  <c r="S838" i="2" s="1"/>
  <c r="F12" i="6"/>
  <c r="F32" i="6"/>
  <c r="Q838" i="2" s="1"/>
  <c r="F26" i="6"/>
  <c r="N838" i="2" s="1"/>
  <c r="F22" i="6"/>
  <c r="L838" i="2" s="1"/>
  <c r="F30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H838" i="2" l="1"/>
  <c r="H388" i="2" s="1"/>
  <c r="I385" i="2"/>
  <c r="I388" i="2"/>
  <c r="Y659" i="1"/>
  <c r="Y481" i="1"/>
  <c r="Y483" i="1" s="1"/>
  <c r="V659" i="1"/>
  <c r="V481" i="1"/>
  <c r="V483" i="1" s="1"/>
  <c r="V485" i="1" s="1"/>
  <c r="V510" i="1" s="1"/>
  <c r="Z659" i="1"/>
  <c r="Z481" i="1"/>
  <c r="Z483" i="1" s="1"/>
  <c r="Z485" i="1" s="1"/>
  <c r="Z510" i="1" s="1"/>
  <c r="U275" i="1"/>
  <c r="H481" i="1"/>
  <c r="W245" i="1"/>
  <c r="W258" i="1" s="1"/>
  <c r="W481" i="1"/>
  <c r="W483" i="1" s="1"/>
  <c r="W485" i="1" s="1"/>
  <c r="W510" i="1" s="1"/>
  <c r="X245" i="1"/>
  <c r="X258" i="1" s="1"/>
  <c r="X275" i="1" s="1"/>
  <c r="X481" i="1"/>
  <c r="X483" i="1" s="1"/>
  <c r="X485" i="1" s="1"/>
  <c r="X510" i="1" s="1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65" i="2"/>
  <c r="V853" i="2"/>
  <c r="W853" i="2" s="1"/>
  <c r="X853" i="2" s="1"/>
  <c r="F22" i="7"/>
  <c r="L837" i="2" s="1"/>
  <c r="F10" i="7"/>
  <c r="F32" i="7"/>
  <c r="Q837" i="2" s="1"/>
  <c r="F26" i="7"/>
  <c r="N837" i="2" s="1"/>
  <c r="F34" i="7"/>
  <c r="R837" i="2" s="1"/>
  <c r="F12" i="7"/>
  <c r="F24" i="7"/>
  <c r="M837" i="2" s="1"/>
  <c r="F36" i="7"/>
  <c r="S837" i="2" s="1"/>
  <c r="F28" i="7"/>
  <c r="O837" i="2" s="1"/>
  <c r="F18" i="7"/>
  <c r="F30" i="7"/>
  <c r="P837" i="2" s="1"/>
  <c r="F38" i="7"/>
  <c r="T837" i="2" s="1"/>
  <c r="F20" i="7"/>
  <c r="G382" i="2"/>
  <c r="G838" i="2"/>
  <c r="F40" i="6"/>
  <c r="F63" i="6" s="1"/>
  <c r="H660" i="1"/>
  <c r="AK660" i="1" s="1"/>
  <c r="AL660" i="1" s="1"/>
  <c r="H263" i="1"/>
  <c r="AK479" i="1"/>
  <c r="AL479" i="1" s="1"/>
  <c r="J865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560" i="2"/>
  <c r="Y180" i="1"/>
  <c r="AK173" i="1"/>
  <c r="AL173" i="1" s="1"/>
  <c r="J560" i="2" l="1"/>
  <c r="J331" i="2"/>
  <c r="AK481" i="1"/>
  <c r="AL481" i="1" s="1"/>
  <c r="H483" i="1"/>
  <c r="AK483" i="1" s="1"/>
  <c r="AL483" i="1" s="1"/>
  <c r="U277" i="1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F296" i="2"/>
  <c r="F40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L51" i="2" l="1"/>
  <c r="H29" i="17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376" i="2"/>
  <c r="M657" i="2"/>
  <c r="M545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23" i="2"/>
  <c r="N42" i="2"/>
  <c r="N381" i="2"/>
  <c r="N656" i="2"/>
  <c r="N37" i="2"/>
  <c r="N544" i="2"/>
  <c r="N833" i="2"/>
  <c r="N70" i="2" s="1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8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H30" i="19" l="1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I211" i="2" s="1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7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29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3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P554" i="2" l="1"/>
  <c r="H28" i="19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J28" i="25" l="1"/>
  <c r="H14" i="17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3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372" i="2"/>
  <c r="S603" i="2"/>
  <c r="S262" i="2"/>
  <c r="S146" i="2"/>
  <c r="S544" i="2"/>
  <c r="S538" i="2"/>
  <c r="S373" i="2"/>
  <c r="S666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7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W815" i="2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W814" i="2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3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W803" i="2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K35" i="25" l="1"/>
  <c r="L35" i="25" s="1"/>
  <c r="K34" i="14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O240" i="2" l="1"/>
  <c r="F28" i="2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817" i="2" s="1"/>
  <c r="K467" i="2"/>
  <c r="K596" i="2"/>
  <c r="K534" i="2"/>
  <c r="K191" i="2"/>
  <c r="K587" i="2"/>
  <c r="K182" i="2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6" i="14"/>
  <c r="W802" i="2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F899" i="2"/>
  <c r="G898" i="2"/>
  <c r="J898" i="2"/>
  <c r="J899" i="2" s="1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G900" i="2" l="1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66" i="2" l="1"/>
  <c r="V66" i="2" s="1"/>
  <c r="W66" i="2" s="1"/>
  <c r="X66" i="2" s="1"/>
  <c r="G237" i="2"/>
  <c r="V237" i="2" s="1"/>
  <c r="W237" i="2" s="1"/>
  <c r="X237" i="2" s="1"/>
  <c r="K29" i="19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E13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G72" i="2" l="1"/>
  <c r="V72" i="2" s="1"/>
  <c r="W72" i="2" s="1"/>
  <c r="X72" i="2" s="1"/>
  <c r="G243" i="2"/>
  <c r="G288" i="2" s="1"/>
  <c r="K30" i="19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8" i="14"/>
  <c r="G745" i="2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29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M738" i="2"/>
  <c r="K753" i="2"/>
  <c r="K758" i="2"/>
  <c r="K658" i="2"/>
  <c r="R675" i="2"/>
  <c r="R738" i="2"/>
  <c r="V420" i="2"/>
  <c r="W420" i="2" s="1"/>
  <c r="X420" i="2" s="1"/>
  <c r="G29" i="14"/>
  <c r="R735" i="2"/>
  <c r="R672" i="2"/>
  <c r="R750" i="2"/>
  <c r="R774" i="2"/>
  <c r="F18" i="23"/>
  <c r="S772" i="2"/>
  <c r="Q736" i="2"/>
  <c r="Q673" i="2"/>
  <c r="D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3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8" i="14"/>
  <c r="R925" i="2"/>
  <c r="G117" i="2" l="1"/>
  <c r="V117" i="2" s="1"/>
  <c r="W117" i="2" s="1"/>
  <c r="X117" i="2" s="1"/>
  <c r="L30" i="19"/>
  <c r="V243" i="2"/>
  <c r="W243" i="2" s="1"/>
  <c r="X243" i="2" s="1"/>
  <c r="L30" i="26"/>
  <c r="I45" i="19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3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29" i="14"/>
  <c r="K29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1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K28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9" i="23" s="1"/>
  <c r="N760" i="2"/>
  <c r="N757" i="2"/>
  <c r="V922" i="2"/>
  <c r="W922" i="2" s="1"/>
  <c r="X922" i="2" s="1"/>
  <c r="J760" i="2"/>
  <c r="J757" i="2"/>
  <c r="S776" i="2"/>
  <c r="F40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658" i="2"/>
  <c r="D44" i="14" s="1"/>
  <c r="D33" i="14"/>
  <c r="G33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3" i="14"/>
  <c r="G36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1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3" i="14" s="1"/>
  <c r="G723" i="2"/>
  <c r="S703" i="2"/>
  <c r="N772" i="2"/>
  <c r="F12" i="23"/>
  <c r="I823" i="2" l="1"/>
  <c r="F52" i="23" s="1"/>
  <c r="F30" i="23"/>
  <c r="G753" i="2"/>
  <c r="V753" i="2" s="1"/>
  <c r="W753" i="2" s="1"/>
  <c r="G758" i="2"/>
  <c r="V758" i="2" s="1"/>
  <c r="W758" i="2" s="1"/>
  <c r="X758" i="2" s="1"/>
  <c r="K22" i="19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3" i="14"/>
  <c r="J36" i="14"/>
  <c r="H36" i="14"/>
  <c r="I36" i="14"/>
  <c r="F36" i="14"/>
  <c r="E36" i="14"/>
  <c r="V516" i="2"/>
  <c r="W516" i="2" s="1"/>
  <c r="X516" i="2" s="1"/>
  <c r="K45" i="27"/>
  <c r="L45" i="27" s="1"/>
  <c r="E31" i="14"/>
  <c r="K31" i="14" s="1"/>
  <c r="L31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3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1" i="23" s="1"/>
  <c r="I714" i="2"/>
  <c r="I729" i="2" s="1"/>
  <c r="C30" i="23" s="1"/>
  <c r="T701" i="2"/>
  <c r="T707" i="2" s="1"/>
  <c r="R823" i="2"/>
  <c r="F61" i="23" s="1"/>
  <c r="J776" i="2"/>
  <c r="J823" i="2" s="1"/>
  <c r="F53" i="23" s="1"/>
  <c r="L776" i="2"/>
  <c r="F32" i="23" s="1"/>
  <c r="V757" i="2"/>
  <c r="W757" i="2" s="1"/>
  <c r="X757" i="2" s="1"/>
  <c r="V760" i="2"/>
  <c r="W760" i="2" s="1"/>
  <c r="X760" i="2" s="1"/>
  <c r="N776" i="2"/>
  <c r="F34" i="23" s="1"/>
  <c r="Q776" i="2"/>
  <c r="F37" i="23" s="1"/>
  <c r="P776" i="2"/>
  <c r="P823" i="2" s="1"/>
  <c r="F58" i="23" s="1"/>
  <c r="H776" i="2"/>
  <c r="H823" i="2" s="1"/>
  <c r="F51" i="23" s="1"/>
  <c r="V914" i="2"/>
  <c r="W914" i="2" s="1"/>
  <c r="X914" i="2" s="1"/>
  <c r="G775" i="2"/>
  <c r="V775" i="2" s="1"/>
  <c r="W775" i="2" s="1"/>
  <c r="M776" i="2"/>
  <c r="M823" i="2" s="1"/>
  <c r="F55" i="23" s="1"/>
  <c r="S823" i="2"/>
  <c r="F62" i="23" s="1"/>
  <c r="F38" i="23"/>
  <c r="O776" i="2"/>
  <c r="F35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F46" i="19" l="1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6" i="14"/>
  <c r="L36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3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6" i="23"/>
  <c r="V723" i="2"/>
  <c r="W723" i="2" s="1"/>
  <c r="X723" i="2" s="1"/>
  <c r="N823" i="2"/>
  <c r="F56" i="23" s="1"/>
  <c r="F33" i="23"/>
  <c r="F29" i="23"/>
  <c r="V721" i="2"/>
  <c r="W721" i="2" s="1"/>
  <c r="X721" i="2" s="1"/>
  <c r="P668" i="2"/>
  <c r="P701" i="2" s="1"/>
  <c r="P707" i="2" s="1"/>
  <c r="I800" i="2"/>
  <c r="I806" i="2" s="1"/>
  <c r="C52" i="23" s="1"/>
  <c r="I783" i="2"/>
  <c r="F60" i="23"/>
  <c r="O823" i="2"/>
  <c r="F57" i="23" s="1"/>
  <c r="F31" i="23"/>
  <c r="T800" i="2"/>
  <c r="T806" i="2" s="1"/>
  <c r="C63" i="23" s="1"/>
  <c r="Q823" i="2"/>
  <c r="F59" i="23" s="1"/>
  <c r="D14" i="14"/>
  <c r="F14" i="14" s="1"/>
  <c r="F15" i="14" s="1"/>
  <c r="L823" i="2"/>
  <c r="F54" i="23" s="1"/>
  <c r="T783" i="2"/>
  <c r="D45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40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9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C8" i="23"/>
  <c r="M783" i="2"/>
  <c r="Q701" i="2"/>
  <c r="Q707" i="2" s="1"/>
  <c r="Q763" i="2" s="1"/>
  <c r="Q714" i="2"/>
  <c r="Q729" i="2" s="1"/>
  <c r="C37" i="23" s="1"/>
  <c r="C10" i="23"/>
  <c r="L714" i="2"/>
  <c r="L729" i="2" s="1"/>
  <c r="L783" i="2" s="1"/>
  <c r="M800" i="2"/>
  <c r="M806" i="2" s="1"/>
  <c r="C48" i="19" s="1"/>
  <c r="H14" i="14"/>
  <c r="H15" i="14" s="1"/>
  <c r="C14" i="23"/>
  <c r="P714" i="2"/>
  <c r="P729" i="2" s="1"/>
  <c r="P800" i="2" s="1"/>
  <c r="P806" i="2" s="1"/>
  <c r="C48" i="25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5" i="14"/>
  <c r="L45" i="14" s="1"/>
  <c r="K44" i="14"/>
  <c r="L44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4" i="23"/>
  <c r="C61" i="23"/>
  <c r="C35" i="23"/>
  <c r="O783" i="2"/>
  <c r="O800" i="2"/>
  <c r="O806" i="2" s="1"/>
  <c r="F825" i="2"/>
  <c r="K21" i="14"/>
  <c r="L21" i="14" s="1"/>
  <c r="G729" i="2"/>
  <c r="F28" i="23"/>
  <c r="F42" i="23" s="1"/>
  <c r="G823" i="2"/>
  <c r="F50" i="23" s="1"/>
  <c r="F64" i="23" s="1"/>
  <c r="V776" i="2"/>
  <c r="G707" i="2"/>
  <c r="J800" i="2"/>
  <c r="J806" i="2" s="1"/>
  <c r="C48" i="29" s="1"/>
  <c r="J783" i="2"/>
  <c r="C31" i="23"/>
  <c r="C62" i="23"/>
  <c r="C38" i="23"/>
  <c r="H800" i="2" l="1"/>
  <c r="H806" i="2" s="1"/>
  <c r="C48" i="27" s="1"/>
  <c r="C29" i="23"/>
  <c r="I770" i="2"/>
  <c r="I778" i="2" s="1"/>
  <c r="D30" i="23"/>
  <c r="E30" i="23" s="1"/>
  <c r="G30" i="23" s="1"/>
  <c r="L15" i="25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5" i="23"/>
  <c r="C56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2" i="23"/>
  <c r="C20" i="23"/>
  <c r="L800" i="2"/>
  <c r="L806" i="2" s="1"/>
  <c r="C48" i="17" s="1"/>
  <c r="C36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2" i="23" s="1"/>
  <c r="E62" i="23" s="1"/>
  <c r="G62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40" i="23"/>
  <c r="E40" i="23" s="1"/>
  <c r="G40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D39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1" i="23"/>
  <c r="E41" i="23" s="1"/>
  <c r="G41" i="23" s="1"/>
  <c r="T770" i="2"/>
  <c r="T778" i="2" s="1"/>
  <c r="T819" i="2"/>
  <c r="C53" i="23"/>
  <c r="G783" i="2"/>
  <c r="G800" i="2"/>
  <c r="C28" i="23"/>
  <c r="V729" i="2"/>
  <c r="C57" i="23"/>
  <c r="C60" i="23"/>
  <c r="C58" i="23"/>
  <c r="V823" i="2"/>
  <c r="W823" i="2" s="1"/>
  <c r="W776" i="2"/>
  <c r="X776" i="2" s="1"/>
  <c r="C51" i="23" l="1"/>
  <c r="I821" i="2"/>
  <c r="I825" i="2" s="1"/>
  <c r="D52" i="23"/>
  <c r="E52" i="23" s="1"/>
  <c r="G52" i="23" s="1"/>
  <c r="J764" i="2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9" i="23"/>
  <c r="C54" i="23"/>
  <c r="V762" i="2"/>
  <c r="W762" i="2" s="1"/>
  <c r="Q764" i="2"/>
  <c r="Q813" i="2" s="1"/>
  <c r="D36" i="26" s="1"/>
  <c r="Q683" i="2"/>
  <c r="D15" i="23"/>
  <c r="E15" i="23" s="1"/>
  <c r="G15" i="23" s="1"/>
  <c r="Q768" i="2"/>
  <c r="D37" i="23" s="1"/>
  <c r="E37" i="23" s="1"/>
  <c r="G37" i="23" s="1"/>
  <c r="K15" i="14"/>
  <c r="L15" i="14" s="1"/>
  <c r="S821" i="2"/>
  <c r="S825" i="2" s="1"/>
  <c r="D61" i="23"/>
  <c r="E61" i="23" s="1"/>
  <c r="G61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3" i="23"/>
  <c r="T821" i="2"/>
  <c r="T825" i="2" s="1"/>
  <c r="D32" i="23"/>
  <c r="E32" i="23" s="1"/>
  <c r="G32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8" i="23"/>
  <c r="E39" i="23"/>
  <c r="H813" i="2"/>
  <c r="D36" i="27" s="1"/>
  <c r="H785" i="2"/>
  <c r="H791" i="2" s="1"/>
  <c r="L813" i="2"/>
  <c r="D36" i="17" s="1"/>
  <c r="L785" i="2"/>
  <c r="L791" i="2" s="1"/>
  <c r="D34" i="23"/>
  <c r="E34" i="23" s="1"/>
  <c r="G34" i="23" s="1"/>
  <c r="N770" i="2"/>
  <c r="N778" i="2" s="1"/>
  <c r="D33" i="23"/>
  <c r="E33" i="23" s="1"/>
  <c r="G33" i="23" s="1"/>
  <c r="M770" i="2"/>
  <c r="M778" i="2" s="1"/>
  <c r="D36" i="23"/>
  <c r="E36" i="23" s="1"/>
  <c r="G36" i="23" s="1"/>
  <c r="P770" i="2"/>
  <c r="P778" i="2" s="1"/>
  <c r="D35" i="23"/>
  <c r="E35" i="23" s="1"/>
  <c r="G35" i="23" s="1"/>
  <c r="O770" i="2"/>
  <c r="O778" i="2" s="1"/>
  <c r="V761" i="2"/>
  <c r="W761" i="2" s="1"/>
  <c r="G764" i="2"/>
  <c r="O813" i="2"/>
  <c r="O785" i="2"/>
  <c r="O791" i="2" s="1"/>
  <c r="C42" i="23"/>
  <c r="V783" i="2"/>
  <c r="W783" i="2" s="1"/>
  <c r="X783" i="2" s="1"/>
  <c r="W729" i="2"/>
  <c r="X729" i="2" s="1"/>
  <c r="V800" i="2"/>
  <c r="G806" i="2"/>
  <c r="C47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1" i="23"/>
  <c r="E31" i="23" s="1"/>
  <c r="G31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8" i="23" s="1"/>
  <c r="E58" i="23" s="1"/>
  <c r="G58" i="23" s="1"/>
  <c r="H819" i="2"/>
  <c r="H821" i="2" s="1"/>
  <c r="H825" i="2" s="1"/>
  <c r="D18" i="27" s="1"/>
  <c r="Q819" i="2"/>
  <c r="D59" i="23" s="1"/>
  <c r="E59" i="23" s="1"/>
  <c r="G59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9" i="23"/>
  <c r="E38" i="23"/>
  <c r="G38" i="23" s="1"/>
  <c r="N819" i="2"/>
  <c r="V764" i="2"/>
  <c r="W764" i="2" s="1"/>
  <c r="X764" i="2" s="1"/>
  <c r="G813" i="2"/>
  <c r="D35" i="14" s="1"/>
  <c r="D38" i="14" s="1"/>
  <c r="G785" i="2"/>
  <c r="V768" i="2"/>
  <c r="D28" i="23"/>
  <c r="G770" i="2"/>
  <c r="G778" i="2" s="1"/>
  <c r="E63" i="23"/>
  <c r="D60" i="23"/>
  <c r="J819" i="2"/>
  <c r="V806" i="2"/>
  <c r="W806" i="2" s="1"/>
  <c r="W800" i="2"/>
  <c r="C50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1" i="23"/>
  <c r="E51" i="23" s="1"/>
  <c r="G51" i="23" s="1"/>
  <c r="P821" i="2"/>
  <c r="P825" i="2" s="1"/>
  <c r="D18" i="25" s="1"/>
  <c r="Q821" i="2"/>
  <c r="Q825" i="2" s="1"/>
  <c r="D18" i="26" s="1"/>
  <c r="D55" i="23"/>
  <c r="E55" i="23" s="1"/>
  <c r="G55" i="23" s="1"/>
  <c r="M821" i="2"/>
  <c r="M825" i="2" s="1"/>
  <c r="D18" i="19" s="1"/>
  <c r="D56" i="23"/>
  <c r="E56" i="23" s="1"/>
  <c r="G56" i="23" s="1"/>
  <c r="N821" i="2"/>
  <c r="N825" i="2" s="1"/>
  <c r="D18" i="20" s="1"/>
  <c r="D53" i="23"/>
  <c r="E53" i="23" s="1"/>
  <c r="G53" i="23" s="1"/>
  <c r="J821" i="2"/>
  <c r="J825" i="2" s="1"/>
  <c r="D18" i="29" s="1"/>
  <c r="D42" i="23"/>
  <c r="E28" i="23"/>
  <c r="D20" i="23"/>
  <c r="E7" i="23"/>
  <c r="G63" i="23"/>
  <c r="E60" i="23"/>
  <c r="G60" i="23" s="1"/>
  <c r="W768" i="2"/>
  <c r="X768" i="2" s="1"/>
  <c r="V770" i="2"/>
  <c r="D54" i="23"/>
  <c r="E54" i="23" s="1"/>
  <c r="G54" i="23" s="1"/>
  <c r="L821" i="2"/>
  <c r="L825" i="2" s="1"/>
  <c r="D18" i="17" s="1"/>
  <c r="D57" i="23"/>
  <c r="E57" i="23" s="1"/>
  <c r="G57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4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5" i="14"/>
  <c r="L35" i="14" s="1"/>
  <c r="G7" i="23"/>
  <c r="E20" i="23"/>
  <c r="G20" i="23" s="1"/>
  <c r="D50" i="23"/>
  <c r="V819" i="2"/>
  <c r="W819" i="2" s="1"/>
  <c r="G821" i="2"/>
  <c r="G28" i="23"/>
  <c r="E42" i="23"/>
  <c r="G42" i="23" s="1"/>
  <c r="V778" i="2"/>
  <c r="W770" i="2"/>
  <c r="X770" i="2" s="1"/>
  <c r="K38" i="14"/>
  <c r="L38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4" i="23"/>
  <c r="E50" i="23"/>
  <c r="G825" i="2"/>
  <c r="D17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7" i="14"/>
  <c r="D19" i="14"/>
  <c r="D23" i="14" s="1"/>
  <c r="D40" i="14" s="1"/>
  <c r="D47" i="14" s="1"/>
  <c r="G50" i="23"/>
  <c r="E64" i="23"/>
  <c r="G64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7" i="14"/>
  <c r="E19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3" i="14"/>
  <c r="G17" i="14"/>
  <c r="F19" i="14"/>
  <c r="F23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7" i="14"/>
  <c r="G19" i="14"/>
  <c r="G23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7" i="14"/>
  <c r="H19" i="14"/>
  <c r="I26" i="19" l="1"/>
  <c r="I41" i="19" s="1"/>
  <c r="I48" i="19" s="1"/>
  <c r="I52" i="19" s="1"/>
  <c r="K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3" i="14"/>
  <c r="J17" i="14"/>
  <c r="J19" i="14" s="1"/>
  <c r="J23" i="14" s="1"/>
  <c r="I19" i="14"/>
  <c r="I23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19" i="14"/>
  <c r="L19" i="14" s="1"/>
  <c r="K23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25" i="14"/>
  <c r="J40" i="14" s="1"/>
  <c r="J47" i="14" s="1"/>
  <c r="I25" i="14"/>
  <c r="I40" i="14" s="1"/>
  <c r="I47" i="14" s="1"/>
  <c r="I51" i="14" s="1"/>
  <c r="F51" i="14" l="1"/>
  <c r="K56" i="14" s="1"/>
  <c r="J51" i="14"/>
  <c r="K52" i="14" s="1"/>
  <c r="K60" i="14" s="1"/>
  <c r="K61" i="14" s="1"/>
  <c r="H51" i="14"/>
  <c r="G51" i="14"/>
  <c r="E52" i="19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25" i="14"/>
  <c r="L25" i="14" s="1"/>
  <c r="E40" i="14"/>
  <c r="K51" i="14" l="1"/>
  <c r="K41" i="25"/>
  <c r="L41" i="25" s="1"/>
  <c r="E48" i="25"/>
  <c r="K40" i="14"/>
  <c r="L40" i="14" s="1"/>
  <c r="E47" i="14"/>
  <c r="E52" i="25" l="1"/>
  <c r="K55" i="25" s="1"/>
  <c r="K48" i="25"/>
  <c r="L48" i="25" s="1"/>
  <c r="E51" i="14"/>
  <c r="K53" i="14" s="1"/>
  <c r="K47" i="14"/>
  <c r="L47" i="14" s="1"/>
  <c r="K63" i="14" l="1"/>
  <c r="L63" i="14" s="1"/>
  <c r="K55" i="14"/>
</calcChain>
</file>

<file path=xl/sharedStrings.xml><?xml version="1.0" encoding="utf-8"?>
<sst xmlns="http://schemas.openxmlformats.org/spreadsheetml/2006/main" count="5931" uniqueCount="2456">
  <si>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</si>
  <si>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</si>
  <si>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</si>
  <si>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</si>
  <si>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</si>
  <si>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</si>
  <si>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</si>
  <si>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</si>
  <si>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</si>
  <si>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</si>
  <si>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</si>
  <si>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</si>
  <si>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</si>
  <si>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</si>
  <si>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</si>
  <si>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</si>
  <si>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</si>
  <si>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</si>
  <si>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</si>
  <si>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</si>
  <si>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</si>
  <si>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</si>
  <si>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</si>
  <si>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</si>
  <si>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</si>
  <si>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</si>
  <si>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</si>
  <si>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</si>
  <si>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</si>
  <si>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</si>
  <si>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</si>
  <si>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</si>
  <si>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</si>
  <si>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</si>
  <si>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</si>
  <si>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</si>
  <si>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</si>
  <si>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</si>
  <si>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</si>
  <si>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</si>
  <si>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</si>
  <si>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</si>
  <si>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</si>
  <si>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</si>
  <si>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</si>
  <si>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</si>
  <si>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</si>
  <si>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</si>
  <si>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</si>
  <si>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</si>
  <si>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</si>
  <si>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</si>
  <si>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</si>
  <si>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</si>
  <si>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</si>
  <si>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</si>
  <si>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</si>
  <si>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</si>
  <si>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</si>
  <si>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</si>
  <si>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</si>
  <si>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</si>
  <si>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</si>
  <si>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</si>
  <si>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</si>
  <si>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</si>
  <si>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</si>
  <si>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</si>
  <si>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</si>
  <si>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</si>
  <si>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</si>
  <si>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</si>
  <si>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</si>
  <si>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</si>
  <si>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</si>
  <si>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</si>
  <si>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</si>
  <si>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</si>
  <si>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</si>
  <si>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</si>
  <si>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</si>
  <si>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</si>
  <si>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</si>
  <si>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</si>
  <si>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</si>
  <si>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</si>
  <si>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</si>
  <si>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</si>
  <si>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</si>
  <si>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</si>
  <si>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</si>
  <si>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</si>
  <si>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</si>
  <si>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</si>
  <si>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</si>
  <si>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</si>
  <si>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</si>
  <si>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</si>
  <si>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</si>
  <si>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</si>
  <si>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</si>
  <si>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</si>
  <si>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</si>
  <si>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</si>
  <si>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</si>
  <si>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</si>
  <si>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</si>
  <si>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</si>
  <si>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</si>
  <si>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</si>
  <si>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</si>
  <si>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</si>
  <si>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</si>
  <si>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</si>
  <si>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</si>
  <si>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</si>
  <si>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</si>
  <si>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</si>
  <si>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</si>
  <si>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</si>
  <si>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</si>
  <si>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</si>
  <si>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</si>
  <si>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</si>
  <si>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</si>
  <si>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</si>
  <si>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</si>
  <si>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</si>
  <si>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</si>
  <si>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</si>
  <si>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</si>
  <si>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</si>
  <si>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</si>
  <si>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</si>
  <si>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</si>
  <si>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</si>
  <si>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</si>
  <si>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</si>
  <si>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</si>
  <si>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</si>
  <si>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</si>
  <si>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</si>
  <si>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</si>
  <si>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</si>
  <si>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</si>
  <si>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</si>
  <si>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</si>
  <si>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</si>
  <si>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</si>
  <si>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</si>
  <si>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</si>
  <si>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</si>
  <si>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</si>
  <si>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</si>
  <si>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</si>
  <si>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</si>
  <si>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</si>
  <si>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</si>
  <si>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</si>
  <si>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</si>
  <si>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</si>
  <si>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</si>
  <si>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</si>
  <si>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</si>
  <si>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</si>
  <si>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</si>
  <si>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</si>
  <si>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</si>
  <si>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</si>
  <si>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</si>
  <si>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</si>
  <si>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</si>
  <si>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</si>
  <si>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</si>
  <si>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</si>
  <si>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</si>
  <si>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</si>
  <si>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</si>
  <si>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</si>
  <si>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</si>
  <si>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</si>
  <si>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</si>
  <si>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</si>
  <si>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</si>
  <si>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</si>
  <si>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</si>
  <si>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</si>
  <si>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</si>
  <si>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</si>
  <si>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</si>
  <si>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</si>
  <si>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</si>
  <si>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</si>
  <si>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</si>
  <si>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</si>
  <si>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</si>
  <si>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</si>
  <si>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</si>
  <si>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</si>
  <si>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</si>
  <si>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</si>
  <si>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</si>
  <si>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</si>
  <si>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</si>
  <si>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</si>
  <si>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</si>
  <si>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</si>
  <si>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</si>
  <si>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</si>
  <si>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</si>
  <si>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</si>
  <si>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</si>
  <si>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</si>
  <si>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</si>
  <si>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</si>
  <si>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</si>
  <si>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</si>
  <si>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</si>
  <si>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</si>
  <si>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</si>
  <si>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</si>
  <si>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</si>
  <si>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</si>
  <si>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</si>
  <si>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</si>
  <si>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</si>
  <si>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</si>
  <si>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</si>
  <si>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</si>
  <si>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</si>
  <si>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</si>
  <si>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</si>
  <si>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</si>
  <si>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</si>
  <si>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</si>
  <si>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</si>
  <si>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</si>
  <si>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</si>
  <si>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</si>
  <si>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</si>
  <si>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</si>
  <si>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</si>
  <si>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</si>
  <si>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</si>
  <si>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</si>
  <si>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</si>
  <si>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</si>
  <si>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</si>
  <si>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</si>
  <si>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</si>
  <si>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</si>
  <si>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</si>
  <si>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</si>
  <si>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</si>
  <si>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</si>
  <si>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</si>
  <si>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</si>
  <si>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</si>
  <si>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</si>
  <si>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</si>
  <si>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</si>
  <si>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</si>
  <si>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</si>
  <si>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</si>
  <si>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</si>
  <si>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</si>
  <si>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</si>
  <si>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</si>
  <si>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</si>
  <si>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</si>
  <si>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</si>
  <si>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</si>
  <si>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</si>
  <si>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</si>
  <si>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</si>
  <si>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</si>
  <si>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</si>
  <si>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</si>
  <si>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</si>
  <si>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</si>
  <si>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</si>
  <si>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</si>
  <si>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</si>
  <si>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</si>
  <si>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</si>
  <si>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</si>
  <si>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</si>
  <si>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</si>
  <si>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</si>
  <si>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</si>
  <si>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</si>
  <si>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</si>
  <si>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</si>
  <si>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</si>
  <si>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</si>
  <si>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</si>
  <si>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</si>
  <si>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</si>
  <si>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</si>
  <si>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</si>
  <si>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</si>
  <si>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</si>
  <si>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</si>
  <si>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</si>
  <si>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</si>
  <si>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</si>
  <si>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</si>
  <si>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</si>
  <si>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</si>
  <si>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</si>
  <si>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</si>
  <si>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</si>
  <si>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</si>
  <si>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</si>
  <si>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</si>
  <si>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</si>
  <si>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</si>
  <si>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</si>
  <si>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</si>
  <si>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</si>
  <si>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</si>
  <si>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</si>
  <si>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</si>
  <si>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</si>
  <si>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</si>
  <si>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</si>
  <si>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</si>
  <si>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</si>
  <si>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</si>
  <si>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</si>
  <si>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</si>
  <si>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</si>
  <si>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</si>
  <si>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</si>
  <si>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</si>
  <si>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</si>
  <si>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</si>
  <si>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</si>
  <si>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</si>
  <si>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</si>
  <si>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</si>
  <si>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</si>
  <si>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</si>
  <si>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</si>
  <si>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</si>
  <si>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</si>
  <si>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</si>
  <si>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</si>
  <si>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</si>
  <si>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</si>
  <si>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</si>
  <si>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</si>
  <si>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</si>
  <si>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</si>
  <si>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</si>
  <si>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</si>
  <si>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</si>
  <si>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</si>
  <si>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</si>
  <si>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</si>
  <si>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</si>
  <si>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</si>
  <si>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</si>
  <si>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</si>
  <si>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</si>
  <si>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</si>
  <si>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</si>
  <si>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</si>
  <si>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</si>
  <si>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</si>
  <si>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</si>
  <si>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</si>
  <si>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</si>
  <si>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</si>
  <si>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</si>
  <si>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</si>
  <si>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</si>
  <si>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</si>
  <si>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</si>
  <si>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</si>
  <si>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</si>
  <si>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</si>
  <si>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</si>
  <si>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</si>
  <si>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</si>
  <si>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</si>
  <si>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</si>
  <si>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</si>
  <si>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</si>
  <si>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</si>
  <si>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</si>
  <si>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</si>
  <si>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</si>
  <si>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</si>
  <si>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</si>
  <si>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</si>
  <si>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</si>
  <si>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</si>
  <si>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</si>
  <si>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</si>
  <si>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</si>
  <si>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</si>
  <si>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</si>
  <si>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</si>
  <si>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</si>
  <si>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</si>
  <si>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</si>
  <si>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</si>
  <si>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</si>
  <si>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</si>
  <si>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</si>
  <si>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</si>
  <si>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</si>
  <si>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</si>
  <si>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</si>
  <si>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</si>
  <si>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</si>
  <si>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</si>
  <si>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</si>
  <si>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</si>
  <si>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</si>
  <si>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</si>
  <si>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</si>
  <si>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</si>
  <si>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</si>
  <si>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</si>
  <si>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</si>
  <si>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</si>
  <si>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</si>
  <si>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</si>
  <si>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</si>
  <si>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</si>
  <si>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</si>
  <si>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</si>
  <si>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</si>
  <si>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</si>
  <si>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</si>
  <si>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</si>
  <si>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</si>
  <si>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</si>
  <si>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</si>
  <si>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</si>
  <si>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</si>
  <si>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</si>
  <si>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</si>
  <si>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</si>
  <si>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</si>
  <si>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</si>
  <si>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</si>
  <si>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</si>
  <si>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</si>
  <si>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</si>
  <si>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</si>
  <si>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</si>
  <si>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</si>
  <si>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</si>
  <si>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</si>
  <si>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</si>
  <si>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</si>
  <si>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</si>
  <si>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</si>
  <si>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</si>
  <si>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</si>
  <si>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</si>
  <si>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</si>
  <si>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</si>
  <si>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</si>
  <si>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</si>
  <si>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</si>
  <si>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</si>
  <si>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</si>
  <si>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</si>
  <si>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</si>
  <si>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</si>
  <si>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</si>
  <si>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</si>
  <si>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</si>
  <si>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</si>
  <si>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</si>
  <si>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</si>
  <si>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</si>
  <si>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</si>
  <si>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</si>
  <si>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</si>
  <si>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</si>
  <si>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</si>
  <si>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</si>
  <si>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</si>
  <si>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</si>
  <si>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</si>
  <si>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</si>
  <si>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</si>
  <si>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</si>
  <si>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</si>
  <si>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</si>
  <si>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</si>
  <si>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</si>
  <si>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</si>
  <si>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</si>
  <si>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</si>
  <si>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</si>
  <si>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</si>
  <si>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</si>
  <si>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</si>
  <si>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</si>
  <si>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</si>
  <si>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</si>
  <si>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</si>
  <si>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</si>
  <si>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</si>
  <si>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</si>
  <si>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</si>
  <si>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</si>
  <si>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</si>
  <si>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</si>
  <si>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</si>
  <si>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</si>
  <si>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</si>
  <si>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</si>
  <si>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</si>
  <si>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</si>
  <si>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</si>
  <si>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</si>
  <si>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</si>
  <si>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</si>
  <si>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</si>
  <si>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</si>
  <si>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</si>
  <si>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</si>
  <si>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</si>
  <si>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</si>
  <si>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</si>
  <si>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</si>
  <si>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</si>
  <si>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</si>
  <si>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</si>
  <si>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</si>
  <si>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</si>
  <si>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</si>
  <si>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</si>
  <si>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</si>
  <si>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</si>
  <si>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</si>
  <si>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</si>
  <si>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</si>
  <si>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</si>
  <si>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</si>
  <si>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</si>
  <si>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</si>
  <si>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</si>
  <si>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</si>
  <si>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</si>
  <si>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</si>
  <si>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</si>
  <si>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</si>
  <si>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</si>
  <si>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</si>
  <si>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</si>
  <si>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</si>
  <si>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</si>
  <si>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</si>
  <si>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</si>
  <si>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</si>
  <si>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</si>
  <si>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</si>
  <si>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</si>
  <si>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</si>
  <si>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</si>
  <si>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</si>
  <si>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</si>
  <si>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</si>
  <si>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</si>
  <si>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</si>
  <si>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</si>
  <si>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</si>
  <si>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</si>
  <si>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</si>
  <si>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</si>
  <si>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</si>
  <si>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</si>
  <si>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</si>
  <si>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</si>
  <si>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</si>
  <si>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</si>
  <si>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</si>
  <si>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</si>
  <si>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</si>
  <si>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</si>
  <si>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</si>
  <si>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</si>
  <si>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</si>
  <si>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</si>
  <si>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</si>
  <si>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</si>
  <si>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</si>
  <si>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</si>
  <si>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</si>
  <si>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</si>
  <si>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</si>
  <si>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</si>
  <si>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</si>
  <si>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</si>
  <si>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</si>
  <si>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</si>
  <si>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</si>
  <si>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</si>
  <si>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</si>
  <si>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</si>
  <si>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</si>
  <si>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</si>
  <si>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</si>
  <si>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</si>
  <si>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</si>
  <si>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</si>
  <si>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</si>
  <si>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</si>
  <si>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</si>
  <si>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</si>
  <si>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</si>
  <si>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</si>
  <si>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</si>
  <si>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</si>
  <si>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</si>
  <si>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</si>
  <si>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</si>
  <si>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</si>
  <si>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</si>
  <si>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</si>
  <si>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</si>
  <si>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</si>
  <si>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</si>
  <si>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</si>
  <si>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</si>
  <si>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</si>
  <si>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</si>
  <si>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</si>
  <si>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</si>
  <si>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</si>
  <si>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</si>
  <si>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</si>
  <si>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</si>
  <si>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</si>
  <si>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</si>
  <si>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</si>
  <si>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</si>
  <si>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</si>
  <si>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</si>
  <si>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</si>
  <si>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</si>
  <si>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</si>
  <si>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</si>
  <si>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</si>
  <si>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</si>
  <si>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</si>
  <si>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</si>
  <si>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</si>
  <si>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</si>
  <si>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</si>
  <si>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</si>
  <si>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</si>
  <si>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</si>
  <si>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</si>
  <si>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</si>
  <si>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</si>
  <si>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</si>
  <si>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</si>
  <si>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</si>
  <si>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</si>
  <si>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</si>
  <si>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</si>
  <si>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</si>
  <si>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</si>
  <si>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</si>
  <si>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</si>
  <si>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</si>
  <si>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</si>
  <si>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</si>
  <si>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</si>
  <si>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</si>
  <si>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</si>
  <si>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</si>
  <si>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</si>
  <si>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</si>
  <si>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</si>
  <si>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</si>
  <si>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</si>
  <si>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</si>
  <si>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</si>
  <si>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</si>
  <si>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</si>
  <si>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</si>
  <si>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</si>
  <si>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</si>
  <si>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</si>
  <si>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</si>
  <si>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</si>
  <si>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</si>
  <si>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</si>
  <si>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</si>
  <si>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</si>
  <si>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</si>
  <si>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</si>
  <si>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</si>
  <si>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</si>
  <si>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</si>
  <si>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</si>
  <si>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</si>
  <si>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</si>
  <si>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</si>
  <si>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</si>
  <si>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</si>
  <si>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</si>
  <si>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</si>
  <si>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</si>
  <si>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</si>
  <si>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</si>
  <si>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</si>
  <si>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</si>
  <si>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</si>
  <si>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</si>
  <si>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</si>
  <si>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</si>
  <si>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</si>
  <si>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</si>
  <si>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</si>
  <si>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</si>
  <si>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</si>
  <si>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</si>
  <si>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</si>
  <si>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</si>
  <si>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</si>
  <si>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</si>
  <si>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</si>
  <si>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</si>
  <si>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</si>
  <si>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</si>
  <si>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</si>
  <si>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</si>
  <si>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</si>
  <si>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</si>
  <si>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</si>
  <si>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</si>
  <si>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</si>
  <si>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</si>
  <si>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</si>
  <si>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</si>
  <si>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</si>
  <si>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</si>
  <si>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</si>
  <si>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</si>
  <si>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</si>
  <si>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</si>
  <si>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</si>
  <si>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</si>
  <si>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</si>
  <si>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</si>
  <si>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</si>
  <si>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</si>
  <si>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</si>
  <si>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</si>
  <si>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</si>
  <si>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</si>
  <si>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</si>
  <si>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</si>
  <si>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</si>
  <si>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</si>
  <si>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</si>
  <si>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</si>
  <si>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</si>
  <si>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</si>
  <si>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</si>
  <si>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</si>
  <si>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</si>
  <si>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</si>
  <si>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</si>
  <si>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</si>
  <si>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</si>
  <si>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</si>
  <si>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</si>
  <si>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</si>
  <si>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</si>
  <si>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</si>
  <si>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</si>
  <si>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</si>
  <si>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</si>
  <si>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</si>
  <si>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</si>
  <si>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</si>
  <si>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</si>
  <si>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</si>
  <si>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</si>
  <si>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</si>
  <si>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</si>
  <si>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</si>
  <si>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</si>
  <si>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</si>
  <si>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</si>
  <si>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</si>
  <si>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</si>
  <si>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</si>
  <si>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</si>
  <si>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</si>
  <si>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</si>
  <si>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</si>
  <si>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</si>
  <si>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</si>
  <si>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</si>
  <si>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</si>
  <si>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</si>
  <si>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</si>
  <si>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</si>
  <si>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</si>
  <si>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</si>
  <si>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</si>
  <si>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</si>
  <si>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</si>
  <si>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</si>
  <si>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</si>
  <si>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</si>
  <si>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</si>
  <si>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</si>
  <si>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</si>
  <si>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</si>
  <si>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</si>
  <si>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</si>
  <si>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</si>
  <si>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</si>
  <si>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</si>
  <si>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</si>
  <si>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</si>
  <si>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</si>
  <si>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</si>
  <si>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</si>
  <si>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</si>
  <si>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</si>
  <si>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</si>
  <si>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</si>
  <si>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</si>
  <si>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</si>
  <si>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</si>
  <si>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</si>
  <si>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</si>
  <si>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</si>
  <si>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</si>
  <si>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</si>
  <si>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</si>
  <si>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</si>
  <si>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</si>
  <si>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</si>
  <si>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</si>
  <si>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</si>
  <si>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</si>
  <si>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</si>
  <si>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</si>
  <si>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</si>
  <si>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</si>
  <si>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</si>
  <si>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</si>
  <si>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</si>
  <si>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</si>
  <si>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</si>
  <si>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</si>
  <si>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</si>
  <si>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</si>
  <si>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</si>
  <si>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</si>
  <si>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</si>
  <si>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</si>
  <si>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</si>
  <si>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</si>
  <si>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</si>
  <si>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</si>
  <si>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</si>
  <si>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</si>
  <si>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</si>
  <si>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</si>
  <si>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</si>
  <si>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</si>
  <si>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</si>
  <si>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</si>
  <si>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</si>
  <si>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</si>
  <si>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</si>
  <si>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</si>
  <si>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</si>
  <si>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</si>
  <si>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</si>
  <si>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</si>
  <si>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</si>
  <si>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</si>
  <si>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</si>
  <si>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</si>
  <si>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</si>
  <si>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</si>
  <si>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</si>
  <si>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</si>
  <si>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</si>
  <si>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</si>
  <si>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</si>
  <si>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</si>
  <si>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</si>
  <si>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</si>
  <si>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</si>
  <si>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</si>
  <si>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</si>
  <si>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</si>
  <si>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</si>
  <si>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</si>
  <si>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</si>
  <si>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</si>
  <si>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</si>
  <si>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</si>
  <si>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</si>
  <si>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</si>
  <si>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</si>
  <si>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</si>
  <si>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</si>
  <si>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</si>
  <si>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</si>
  <si>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</si>
  <si>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</si>
  <si>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</si>
  <si>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</si>
  <si>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</si>
  <si>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</si>
  <si>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</si>
  <si>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</si>
  <si>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</si>
  <si>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</si>
  <si>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</si>
  <si>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</si>
  <si>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</si>
  <si>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</si>
  <si>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</si>
  <si>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</si>
  <si>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</si>
  <si>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</si>
  <si>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</si>
  <si>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</si>
  <si>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</si>
  <si>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</si>
  <si>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</si>
  <si>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</si>
  <si>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</si>
  <si>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</si>
  <si>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</si>
  <si>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</si>
  <si>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</si>
  <si>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</si>
  <si>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</si>
  <si>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</si>
  <si>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</si>
  <si>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</si>
  <si>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</si>
  <si>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</si>
  <si>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</si>
  <si>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</si>
  <si>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</si>
  <si>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</si>
  <si>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</si>
  <si>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</si>
  <si>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</si>
  <si>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</si>
  <si>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</si>
  <si>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</si>
  <si>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</si>
  <si>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</si>
  <si>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</si>
  <si>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</si>
  <si>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</si>
  <si>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</si>
  <si>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</si>
  <si>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</si>
  <si>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</si>
  <si>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</si>
  <si>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</si>
  <si>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</si>
  <si>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</si>
  <si>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</si>
  <si>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</si>
  <si>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</si>
  <si>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</si>
  <si>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</si>
  <si>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</si>
  <si>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</si>
  <si>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</si>
  <si>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</si>
  <si>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</si>
  <si>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</si>
  <si>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</si>
  <si>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</si>
  <si>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</si>
  <si>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</si>
  <si>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</si>
  <si>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</si>
  <si>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</si>
  <si>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</si>
  <si>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</si>
  <si>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</si>
  <si>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</si>
  <si>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</si>
  <si>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</si>
  <si>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</si>
  <si>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</si>
  <si>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</si>
  <si>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</si>
  <si>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</si>
  <si>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</si>
  <si>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</si>
  <si>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</si>
  <si>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</si>
  <si>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</si>
  <si>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</si>
  <si>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</si>
  <si>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</si>
  <si>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</si>
  <si>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</si>
  <si>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</si>
  <si>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</si>
  <si>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</si>
  <si>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</si>
  <si>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</si>
  <si>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</si>
  <si>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</si>
  <si>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</si>
  <si>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</si>
  <si>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</si>
  <si>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</si>
  <si>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</si>
  <si>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</si>
  <si>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</si>
  <si>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</si>
  <si>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</si>
  <si>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</si>
  <si>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</si>
  <si>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</si>
  <si>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</si>
  <si>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</si>
  <si>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</si>
  <si>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</si>
  <si>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</si>
  <si>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</si>
  <si>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</si>
  <si>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</si>
  <si>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</si>
  <si>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</si>
  <si>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</si>
  <si>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</si>
  <si>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</si>
  <si>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</si>
  <si>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</si>
  <si>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</si>
  <si>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</si>
  <si>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</si>
  <si>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</si>
  <si>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</si>
  <si>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</si>
  <si>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</si>
  <si>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</si>
  <si>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</si>
  <si>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</si>
  <si>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</si>
  <si>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</si>
  <si>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</si>
  <si>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</si>
  <si>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</si>
  <si>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</si>
  <si>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</si>
  <si>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</si>
  <si>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</si>
  <si>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</si>
  <si>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</si>
  <si>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</si>
  <si>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</si>
  <si>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</si>
  <si>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</si>
  <si>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</si>
  <si>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</si>
  <si>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</si>
  <si>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</si>
  <si>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</si>
  <si>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</si>
  <si>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</si>
  <si>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</si>
  <si>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</si>
  <si>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</si>
  <si>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</si>
  <si>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</si>
  <si>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</si>
  <si>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</si>
  <si>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</si>
  <si>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</si>
  <si>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</si>
  <si>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</si>
  <si>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</si>
  <si>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</si>
  <si>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</si>
  <si>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</si>
  <si>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</si>
  <si>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</si>
  <si>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</si>
  <si>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</si>
  <si>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</si>
  <si>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</si>
  <si>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</si>
  <si>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</si>
  <si>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</si>
  <si>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</si>
  <si>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</si>
  <si>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</si>
  <si>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</si>
  <si>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</si>
  <si>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</si>
  <si>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</si>
  <si>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</si>
  <si>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</si>
  <si>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</si>
  <si>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</si>
  <si>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</si>
  <si>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</si>
  <si>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</si>
  <si>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</si>
  <si>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</si>
  <si>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</si>
  <si>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</si>
  <si>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</si>
  <si>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</si>
  <si>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</si>
  <si>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</si>
  <si>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</si>
  <si>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</si>
  <si>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</si>
  <si>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</si>
  <si>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</si>
  <si>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</si>
  <si>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</si>
  <si>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</si>
  <si>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</si>
  <si>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</si>
  <si>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</si>
  <si>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</si>
  <si>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</si>
  <si>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</si>
  <si>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</si>
  <si>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</si>
  <si>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</si>
  <si>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</si>
  <si>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</si>
  <si>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</si>
  <si>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</si>
  <si>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</si>
  <si>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</si>
  <si>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</si>
  <si>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</si>
  <si>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</si>
  <si>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</si>
  <si>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</si>
  <si>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</si>
  <si>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</si>
  <si>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</si>
  <si>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</si>
  <si>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</si>
  <si>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</si>
  <si>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</si>
  <si>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</si>
  <si>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</si>
  <si>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</si>
  <si>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</si>
  <si>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</si>
  <si>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</si>
  <si>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</si>
  <si>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</si>
  <si>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</si>
  <si>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</si>
  <si>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</si>
  <si>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</si>
  <si>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</si>
  <si>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</si>
  <si>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</si>
  <si>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</si>
  <si>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</si>
  <si>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</si>
  <si>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</si>
  <si>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</si>
  <si>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</si>
  <si>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</si>
  <si>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</si>
  <si>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</si>
  <si>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</si>
  <si>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</si>
  <si>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</si>
  <si>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</si>
  <si>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</si>
  <si>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</si>
  <si>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</si>
  <si>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</si>
  <si>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</si>
  <si>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</si>
  <si>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</si>
  <si>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</si>
  <si>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</si>
  <si>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</si>
  <si>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</si>
  <si>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</si>
  <si>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</si>
  <si>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</si>
  <si>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</si>
  <si>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</si>
  <si>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</si>
  <si>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</si>
  <si>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</si>
  <si>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</si>
  <si>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</si>
  <si>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</si>
  <si>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</si>
  <si>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</si>
  <si>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</si>
  <si>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</si>
  <si>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</si>
  <si>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</si>
  <si>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</si>
  <si>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</si>
  <si>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</si>
  <si>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</si>
  <si>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</si>
  <si>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</si>
  <si>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</si>
  <si>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</si>
  <si>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</si>
  <si>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</si>
  <si>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</si>
  <si>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</si>
  <si>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</si>
  <si>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</si>
  <si>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</si>
  <si>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</si>
  <si>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</si>
  <si>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</si>
  <si>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</si>
  <si>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</si>
  <si>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</si>
  <si>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</si>
  <si>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</si>
  <si>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</si>
  <si>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</si>
  <si>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</si>
  <si>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</si>
  <si>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</si>
  <si>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</si>
  <si>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</si>
  <si>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</si>
  <si>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</si>
  <si>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</si>
  <si>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</si>
  <si>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</si>
  <si>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</si>
  <si>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</si>
  <si>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</si>
  <si>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</si>
  <si>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</si>
  <si>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</si>
  <si>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</si>
  <si>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</si>
  <si>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</si>
  <si>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</si>
  <si>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</si>
  <si>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</si>
  <si>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</si>
  <si>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</si>
  <si>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</si>
  <si>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</si>
  <si>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</si>
  <si>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</si>
  <si>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</si>
  <si>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</si>
  <si>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</si>
  <si>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</si>
  <si>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</si>
  <si>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</si>
  <si>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</si>
  <si>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</si>
  <si>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</si>
  <si>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</si>
  <si>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</si>
  <si>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</si>
  <si>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</si>
  <si>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</si>
  <si>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</si>
  <si>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</si>
  <si>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</si>
  <si>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</si>
  <si>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</si>
  <si>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</si>
  <si>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</si>
  <si>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</si>
  <si>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</si>
  <si>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</si>
  <si>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</si>
  <si>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</si>
  <si>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</si>
  <si>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</si>
  <si>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</si>
  <si>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</si>
  <si>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</si>
  <si>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</si>
  <si>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</si>
  <si>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</si>
  <si>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</si>
  <si>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</si>
  <si>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</si>
  <si>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</si>
  <si>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</si>
  <si>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</si>
  <si>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</si>
  <si>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</si>
  <si>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</si>
  <si>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</si>
  <si>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</si>
  <si>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</si>
  <si>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</si>
  <si>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</si>
  <si>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</si>
  <si>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</si>
  <si>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</si>
  <si>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</si>
  <si>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</si>
  <si>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</si>
  <si>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</si>
  <si>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</si>
  <si>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</si>
  <si>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</si>
  <si>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</si>
  <si>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</si>
  <si>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</si>
  <si>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</si>
  <si>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</si>
  <si>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</si>
  <si>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</si>
  <si>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</si>
  <si>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</si>
  <si>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</si>
  <si>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</si>
  <si>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</si>
  <si>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</si>
  <si>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</si>
  <si>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</si>
  <si>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</si>
  <si>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</si>
  <si>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</si>
  <si>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</si>
  <si>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</si>
  <si>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</si>
  <si>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</si>
  <si>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</si>
  <si>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</si>
  <si>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</si>
  <si>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</si>
  <si>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</si>
  <si>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</si>
  <si>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</si>
  <si>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</si>
  <si>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</si>
  <si>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</si>
  <si>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</si>
  <si>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</si>
  <si>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</si>
  <si>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</si>
  <si>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</si>
  <si>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</si>
  <si>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</si>
  <si>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</si>
  <si>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</si>
  <si>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</si>
  <si>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</si>
  <si>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</si>
  <si>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</si>
  <si>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</si>
  <si>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</si>
  <si>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</si>
  <si>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</si>
  <si>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</si>
  <si>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</si>
  <si>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</si>
  <si>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</si>
  <si>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</si>
  <si>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</si>
  <si>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</si>
  <si>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</si>
  <si>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</si>
  <si>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</si>
  <si>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</si>
  <si>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</si>
  <si>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</si>
  <si>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</si>
  <si>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</si>
  <si>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</si>
  <si>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</si>
  <si>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</si>
  <si>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</si>
  <si>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</si>
  <si>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</si>
  <si>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</si>
  <si>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</si>
  <si>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</si>
  <si>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</si>
  <si>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</si>
  <si>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</si>
  <si>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</si>
  <si>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</si>
  <si>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</si>
  <si>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</si>
  <si>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</si>
  <si>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</si>
  <si>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</si>
  <si>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</si>
  <si>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</si>
  <si>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</si>
  <si>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</si>
  <si>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</si>
  <si>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</si>
  <si>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</si>
  <si>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</si>
  <si>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</si>
  <si>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</si>
  <si>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</si>
  <si>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</si>
  <si>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</si>
  <si>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</si>
  <si>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</si>
  <si>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</si>
  <si>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</si>
  <si>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</si>
  <si>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</si>
  <si>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</si>
  <si>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</si>
  <si>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</si>
  <si>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</si>
  <si>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</si>
  <si>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</si>
  <si>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</si>
  <si>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</si>
  <si>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</si>
  <si>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</si>
  <si>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</si>
  <si>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</si>
  <si>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</si>
  <si>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</si>
  <si>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</si>
  <si>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</si>
  <si>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</si>
  <si>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</si>
  <si>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</si>
  <si>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</si>
  <si>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</si>
  <si>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</si>
  <si>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</si>
  <si>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</si>
  <si>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</si>
  <si>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</si>
  <si>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</si>
  <si>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</si>
  <si>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</si>
  <si>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</si>
  <si>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</si>
  <si>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</si>
  <si>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</si>
  <si>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</si>
  <si>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</si>
  <si>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</si>
  <si>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</si>
  <si>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</si>
  <si>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</si>
  <si>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</si>
  <si>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</si>
  <si>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</si>
  <si>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</si>
  <si>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</si>
  <si>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</si>
  <si>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</si>
  <si>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</si>
  <si>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</si>
  <si>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</si>
  <si>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</si>
  <si>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</si>
  <si>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</si>
  <si>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</si>
  <si>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</si>
  <si>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</si>
  <si>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</si>
  <si>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</si>
  <si>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</si>
  <si>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</si>
  <si>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</si>
  <si>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</si>
  <si>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</si>
  <si>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</si>
  <si>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</si>
  <si>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</si>
  <si>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</si>
  <si>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</si>
  <si>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</si>
  <si>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</si>
  <si>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</si>
  <si>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</si>
  <si>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</si>
  <si>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</si>
  <si>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</si>
  <si>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</si>
  <si>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</si>
  <si>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</si>
  <si>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</si>
  <si>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</si>
  <si>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</si>
  <si>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</si>
  <si>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</si>
  <si>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</si>
  <si>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</si>
  <si>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</si>
  <si>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</si>
  <si>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</si>
  <si>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</si>
  <si>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</si>
  <si>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</si>
  <si>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</si>
  <si>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</si>
  <si>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</si>
  <si>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</si>
  <si>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</si>
  <si>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</si>
  <si>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</si>
  <si>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</si>
  <si>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</si>
  <si>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</si>
  <si>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</si>
  <si>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</si>
  <si>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</si>
  <si>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</si>
  <si>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</si>
  <si>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</si>
  <si>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</si>
  <si>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</si>
  <si>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</si>
  <si>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</si>
  <si>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</si>
  <si>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</si>
  <si>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</si>
  <si>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</si>
  <si>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</si>
  <si>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</si>
  <si>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</si>
  <si>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</si>
  <si>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</si>
  <si>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</si>
  <si>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</si>
  <si>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</si>
  <si>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</si>
  <si>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</si>
  <si>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</si>
  <si>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</si>
  <si>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</si>
  <si>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</si>
  <si>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</si>
  <si>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</si>
  <si>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</si>
  <si>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</si>
  <si>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</si>
  <si>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</si>
  <si>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</si>
  <si>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</si>
  <si>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</si>
  <si>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</si>
  <si>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</si>
  <si>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</si>
  <si>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</si>
  <si>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</si>
  <si>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</si>
  <si>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</si>
  <si>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</si>
  <si>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</si>
  <si>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</si>
  <si>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</si>
  <si>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</si>
  <si>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</si>
  <si>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</si>
  <si>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</si>
  <si>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</si>
  <si>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</si>
  <si>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</si>
  <si>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</si>
  <si>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</si>
  <si>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</si>
  <si>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</si>
  <si>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</si>
  <si>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</si>
  <si>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</si>
  <si>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</si>
  <si>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</si>
  <si>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</si>
  <si>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</si>
  <si>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</si>
  <si>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</si>
  <si>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</si>
  <si>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</si>
  <si>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</si>
  <si>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</si>
  <si>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</si>
  <si>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</si>
  <si>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</si>
  <si>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</si>
  <si>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</si>
  <si>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</si>
  <si>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</si>
  <si>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</si>
  <si>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</si>
  <si>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</si>
  <si>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</si>
  <si>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</si>
  <si>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</si>
  <si>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</si>
  <si>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</si>
  <si>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</si>
  <si>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</si>
  <si>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</si>
  <si>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</si>
  <si>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</si>
  <si>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</si>
  <si>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</si>
  <si>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</si>
  <si>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</si>
  <si>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</si>
  <si>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</si>
  <si>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</si>
  <si>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</si>
  <si>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</si>
  <si>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</si>
  <si>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</si>
  <si>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</si>
  <si>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</si>
  <si>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</si>
  <si>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</si>
  <si>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</si>
  <si>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</si>
  <si>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</si>
  <si>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</si>
  <si>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</si>
  <si>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</si>
  <si>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</si>
  <si>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</si>
  <si>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</si>
  <si>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</si>
  <si>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</si>
  <si>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</si>
  <si>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</si>
  <si>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</si>
  <si>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</si>
  <si>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</si>
  <si>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</si>
  <si>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</si>
  <si>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</si>
  <si>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</si>
  <si>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</si>
  <si>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</si>
  <si>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</si>
  <si>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</si>
  <si>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</si>
  <si>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</si>
  <si>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</si>
  <si>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</si>
  <si>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</si>
  <si>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</si>
  <si>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</si>
  <si>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</si>
  <si>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</si>
  <si>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</si>
  <si>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</si>
  <si>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</si>
  <si>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</si>
  <si>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</si>
  <si>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</si>
  <si>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</si>
  <si>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</si>
  <si>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</si>
  <si>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</si>
  <si>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</si>
  <si>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</si>
  <si>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</si>
  <si>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</si>
  <si>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</si>
  <si>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</si>
  <si>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</si>
  <si>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</si>
  <si>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</si>
  <si>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</si>
  <si>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</si>
  <si>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</si>
  <si>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</si>
  <si>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</si>
  <si>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</si>
  <si>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</si>
  <si>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</si>
  <si>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</si>
  <si>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</si>
  <si>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</si>
  <si>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</si>
  <si>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</si>
  <si>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</si>
  <si>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</si>
  <si>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</si>
  <si>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</si>
  <si>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</si>
  <si>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</si>
  <si>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</si>
  <si>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</si>
  <si>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</si>
  <si>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</si>
  <si>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</si>
  <si>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</si>
  <si>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</si>
  <si>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</si>
  <si>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</si>
  <si>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</si>
  <si>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</si>
  <si>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</si>
  <si>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</si>
  <si>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</si>
  <si>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</si>
  <si>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</si>
  <si>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</si>
  <si>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</si>
  <si>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</si>
  <si>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</si>
  <si>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</si>
  <si>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</si>
  <si>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</si>
  <si>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</si>
  <si>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</si>
  <si>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</si>
  <si>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</si>
  <si>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</si>
  <si>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</si>
  <si>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</si>
  <si>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</si>
  <si>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</si>
  <si>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</si>
  <si>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</si>
  <si>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</si>
  <si>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</si>
  <si>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</si>
  <si>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</si>
  <si>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</si>
  <si>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</si>
  <si>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</si>
  <si>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</si>
  <si>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</si>
  <si>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</si>
  <si>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</si>
  <si>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</si>
  <si>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</si>
  <si>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</si>
  <si>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</si>
  <si>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</si>
  <si>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</si>
  <si>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</si>
  <si>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</si>
  <si>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</si>
  <si>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</si>
  <si>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</si>
  <si>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</si>
  <si>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</si>
  <si>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</si>
  <si>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</si>
  <si>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</si>
  <si>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</si>
  <si>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</si>
  <si>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</si>
  <si>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</si>
  <si>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</si>
  <si>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</si>
  <si>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</si>
  <si>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</si>
  <si>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</si>
  <si>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</si>
  <si>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</si>
  <si>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</si>
  <si>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</si>
  <si>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</si>
  <si>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</si>
  <si>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</si>
  <si>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</si>
  <si>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</si>
  <si>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</si>
  <si>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</si>
  <si>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</si>
  <si>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</si>
  <si>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</si>
  <si>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</si>
  <si>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</si>
  <si>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</si>
  <si>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</si>
  <si>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</si>
  <si>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</si>
  <si>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</si>
  <si>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</si>
  <si>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</si>
  <si>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</si>
  <si>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</si>
  <si>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</si>
  <si>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</si>
  <si>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</si>
  <si>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</si>
  <si>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</si>
  <si>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</si>
  <si>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</si>
  <si>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</si>
  <si>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</si>
  <si>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</si>
  <si>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</si>
  <si>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</si>
  <si>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</si>
  <si>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</si>
  <si>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</si>
  <si>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</si>
  <si>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</si>
  <si>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</si>
  <si>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</si>
  <si>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</si>
  <si>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</si>
  <si>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</si>
  <si>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</si>
  <si>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</si>
  <si>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</si>
  <si>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</si>
  <si>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</si>
  <si>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</si>
  <si>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</si>
  <si>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</si>
  <si>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</si>
  <si>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</si>
  <si>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</si>
  <si>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</si>
  <si>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</si>
  <si>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</si>
  <si>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</si>
  <si>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</si>
  <si>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</si>
  <si>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</si>
  <si>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</si>
  <si>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</si>
  <si>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</si>
  <si>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</si>
  <si>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</si>
  <si>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</si>
  <si>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</si>
  <si>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</si>
  <si>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</si>
  <si>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</si>
  <si>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</si>
  <si>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</si>
  <si>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</si>
  <si>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</si>
  <si>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</si>
  <si>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</si>
  <si>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</si>
  <si>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</si>
  <si>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</si>
  <si>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</si>
  <si>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</si>
  <si>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</si>
  <si>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</si>
  <si>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</si>
  <si>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</si>
  <si>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</si>
  <si>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</si>
  <si>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</si>
  <si>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</si>
  <si>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</si>
  <si>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</si>
  <si>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</si>
  <si>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</si>
  <si>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</si>
  <si>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</si>
  <si>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</si>
  <si>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</si>
  <si>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</si>
  <si>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</si>
  <si>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</si>
  <si>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</si>
  <si>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</si>
  <si>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</si>
  <si>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</si>
  <si>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</si>
  <si>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</si>
  <si>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</si>
  <si>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</si>
  <si>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</si>
  <si>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</si>
  <si>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</si>
  <si>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</si>
  <si>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</si>
  <si>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</si>
  <si>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</si>
  <si>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</si>
  <si>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</si>
  <si>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</si>
  <si>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</si>
  <si>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</si>
  <si>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</si>
  <si>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</si>
  <si>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</si>
  <si>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</si>
  <si>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</si>
  <si>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</si>
  <si>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</si>
  <si>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</si>
  <si>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</si>
  <si>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</si>
  <si>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</si>
  <si>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</si>
  <si>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</si>
  <si>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</si>
  <si>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</si>
  <si>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</si>
  <si>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</si>
  <si>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</si>
  <si>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</si>
  <si>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</si>
  <si>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</si>
  <si>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</si>
  <si>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</si>
  <si>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</si>
  <si>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</si>
  <si>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</si>
  <si>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</si>
  <si>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</si>
  <si>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</si>
  <si>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</si>
  <si>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</si>
  <si>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</si>
  <si>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</si>
  <si>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</si>
  <si>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</si>
  <si>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</si>
  <si>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</si>
  <si>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</si>
  <si>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</si>
  <si>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</si>
  <si>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</si>
  <si>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</si>
  <si>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</si>
  <si>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</si>
  <si>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</si>
  <si>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</si>
  <si>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</si>
  <si>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</si>
  <si>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</si>
  <si>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</si>
  <si>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</si>
  <si>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</si>
  <si>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</si>
  <si>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</si>
  <si>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</si>
  <si>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</si>
  <si>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</si>
  <si>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</si>
  <si>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</si>
  <si>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</si>
  <si>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</si>
  <si>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</si>
  <si>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</si>
  <si>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</si>
  <si>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</si>
  <si>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</si>
  <si>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</si>
  <si>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</si>
  <si>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</si>
  <si>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</si>
  <si>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</si>
  <si>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</si>
  <si>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</si>
  <si>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</si>
  <si>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</si>
  <si>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</si>
  <si>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</si>
  <si>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</si>
  <si>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</si>
  <si>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</si>
  <si>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</si>
  <si>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</si>
  <si>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</si>
  <si>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</si>
  <si>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</si>
  <si>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</si>
  <si>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</si>
  <si>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</si>
  <si>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</si>
  <si>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</si>
  <si>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</si>
  <si>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</si>
  <si>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</si>
  <si>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</si>
  <si>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</si>
  <si>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</si>
  <si>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</si>
  <si>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</si>
  <si>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</si>
  <si>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</si>
  <si>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</si>
  <si>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</si>
  <si>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</si>
  <si>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</si>
  <si>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</si>
  <si>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</si>
  <si>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</si>
  <si>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</si>
  <si>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</si>
  <si>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</si>
  <si>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</si>
  <si>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</si>
  <si>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</si>
  <si>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</si>
  <si>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</si>
  <si>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</si>
  <si>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</si>
  <si>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</si>
  <si>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</si>
  <si>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</si>
  <si>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</si>
  <si>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</si>
  <si>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</si>
  <si>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</si>
  <si>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</si>
  <si>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</si>
  <si>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</si>
  <si>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</si>
  <si>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</si>
  <si>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</si>
  <si>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</si>
  <si>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</si>
  <si>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</si>
  <si>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</si>
  <si>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</si>
  <si>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</si>
  <si>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</si>
  <si>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</si>
  <si>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</si>
  <si>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</si>
  <si>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</si>
  <si>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</si>
  <si>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</si>
  <si>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</si>
  <si>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</si>
  <si>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</si>
  <si>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</si>
  <si>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</si>
  <si>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</si>
  <si>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</si>
  <si>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</si>
  <si>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</si>
  <si>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</si>
  <si>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</si>
  <si>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</si>
  <si>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</si>
  <si>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</si>
  <si>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</si>
  <si>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</si>
  <si>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</si>
  <si>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</si>
  <si>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</si>
  <si>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</si>
  <si>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</si>
  <si>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</si>
  <si>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</si>
  <si>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</si>
  <si>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</si>
  <si>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</si>
  <si>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</si>
  <si>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</si>
  <si>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</si>
  <si>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</si>
  <si>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</si>
  <si>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</si>
  <si>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</si>
  <si>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</si>
  <si>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</si>
  <si>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</si>
  <si>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</si>
  <si>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</si>
  <si>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</si>
  <si>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</si>
  <si>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</si>
  <si>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</si>
  <si>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</si>
  <si>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</si>
  <si>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</si>
  <si>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</si>
  <si>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</si>
  <si>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</si>
  <si>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</si>
  <si>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</si>
  <si>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</si>
  <si>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</si>
  <si>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</si>
  <si>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</si>
  <si>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</si>
  <si>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</si>
  <si>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</si>
  <si>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</si>
  <si>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</si>
  <si>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</si>
  <si>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</si>
  <si>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</si>
  <si>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</si>
  <si>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</si>
  <si>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</si>
  <si>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</si>
  <si>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</si>
  <si>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</si>
  <si>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</si>
  <si>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</si>
  <si>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</si>
  <si>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</si>
  <si>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</si>
  <si>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</si>
  <si>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</si>
  <si>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</si>
  <si>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</si>
  <si>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</si>
  <si>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</si>
  <si>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</si>
  <si>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</si>
  <si>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</si>
  <si>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</si>
  <si>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</si>
  <si>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</si>
  <si>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</si>
  <si>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</si>
  <si>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</si>
  <si>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</si>
  <si>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</si>
  <si>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</si>
  <si>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</si>
  <si>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</si>
  <si>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</si>
  <si>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</si>
  <si>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</si>
  <si>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</si>
  <si>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</si>
  <si>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</si>
  <si>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</si>
  <si>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</si>
  <si>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</si>
  <si>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</si>
  <si>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</si>
  <si>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</si>
  <si>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</si>
  <si>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</si>
  <si>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</si>
  <si>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</si>
  <si>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</si>
  <si>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</si>
  <si>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</si>
  <si>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</si>
  <si>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</si>
  <si>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</si>
  <si>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</si>
  <si>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</si>
  <si>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</si>
  <si>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</si>
  <si>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</si>
  <si>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</si>
  <si>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</si>
  <si>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</si>
  <si>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</si>
  <si>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</si>
  <si>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</si>
  <si>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</si>
  <si>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</si>
  <si>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</si>
  <si>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</si>
  <si>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</si>
  <si>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</si>
  <si>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</si>
  <si>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</si>
  <si>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</si>
  <si>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</si>
  <si>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</si>
  <si>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</si>
  <si>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</si>
  <si>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</si>
  <si>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</si>
  <si>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</si>
  <si>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</si>
  <si>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</si>
  <si>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</si>
  <si>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</si>
  <si>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</si>
  <si>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</si>
  <si>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</si>
  <si>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</si>
  <si>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</si>
  <si>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</si>
  <si>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</si>
  <si>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</si>
  <si>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</si>
  <si>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</si>
  <si>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</si>
  <si>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</si>
  <si>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</si>
  <si>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</si>
  <si>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</si>
  <si>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</si>
  <si>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</si>
  <si>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</si>
  <si>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</si>
  <si>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</si>
  <si>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</si>
  <si>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</si>
  <si>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</si>
  <si>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</si>
  <si>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</si>
  <si>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</si>
  <si>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</si>
  <si>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</si>
  <si>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</si>
  <si>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</si>
  <si>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</si>
  <si>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</si>
  <si>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</si>
  <si>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</si>
  <si>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</si>
  <si>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</si>
  <si>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</si>
  <si>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</si>
  <si>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</si>
  <si>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</si>
  <si>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</si>
  <si>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</si>
  <si>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</si>
  <si>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</si>
  <si>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</si>
  <si>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</si>
  <si>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</si>
  <si>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</si>
  <si>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</si>
  <si>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</si>
  <si>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</si>
  <si>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</si>
  <si>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</si>
  <si>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</si>
  <si>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</si>
  <si>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</si>
  <si>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</si>
  <si>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</si>
  <si>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</si>
  <si>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</si>
  <si>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</si>
  <si>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</si>
  <si>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</si>
  <si>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</si>
  <si>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</si>
  <si>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</si>
  <si>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</si>
  <si>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</si>
  <si>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</si>
  <si>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</si>
  <si>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</si>
  <si>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</si>
  <si>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</si>
  <si>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</si>
  <si>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</si>
  <si>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</si>
  <si>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</si>
  <si>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</si>
  <si>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</si>
  <si>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</si>
  <si>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</si>
  <si>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</si>
  <si>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</si>
  <si>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</si>
  <si>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</si>
  <si>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</si>
  <si>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</si>
  <si>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</si>
  <si>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</si>
  <si>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</si>
  <si>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</si>
  <si>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</si>
  <si>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</si>
  <si>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</si>
  <si>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</si>
  <si>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</si>
  <si>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</si>
  <si>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</si>
  <si>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</si>
  <si>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</si>
  <si>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</si>
  <si>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</si>
  <si>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</si>
  <si>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</si>
  <si>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</si>
  <si>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</si>
  <si>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</si>
  <si>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</si>
  <si>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</si>
  <si>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</si>
  <si>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</si>
  <si>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</si>
  <si>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</si>
  <si>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</si>
  <si>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</si>
  <si>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</si>
  <si>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</si>
  <si>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</si>
  <si>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</si>
  <si>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</si>
  <si>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</si>
  <si>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</si>
  <si>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</si>
  <si>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</si>
  <si>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</si>
  <si>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</si>
  <si>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</si>
  <si>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</si>
  <si>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</si>
  <si>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</si>
  <si>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</si>
  <si>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</si>
  <si>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</si>
  <si>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</si>
  <si>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</si>
  <si>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</si>
  <si>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</si>
  <si>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</si>
  <si>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</si>
  <si>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</si>
  <si>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</si>
  <si>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</si>
  <si>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</si>
  <si>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</si>
  <si>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</si>
  <si>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</si>
  <si>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</si>
  <si>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</si>
  <si>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</si>
  <si>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</si>
  <si>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</si>
  <si>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</si>
  <si>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</si>
  <si>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</si>
  <si>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</si>
  <si>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</si>
  <si>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</si>
  <si>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</si>
  <si>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</si>
  <si>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</si>
  <si>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</si>
  <si>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</si>
  <si>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</si>
  <si>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</si>
  <si>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</si>
  <si>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</si>
  <si>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</si>
  <si>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</si>
  <si>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</si>
  <si>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</si>
  <si>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</si>
  <si>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</si>
  <si>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</si>
  <si>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</si>
  <si>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</si>
  <si>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</si>
  <si>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</si>
  <si>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</si>
  <si>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</si>
  <si>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</si>
  <si>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</si>
  <si>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</si>
  <si>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</si>
  <si>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</si>
  <si>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</si>
  <si>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</si>
  <si>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</si>
  <si>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</si>
  <si>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</si>
  <si>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</si>
  <si>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</si>
  <si>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</si>
  <si>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</si>
  <si>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</si>
  <si>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</si>
  <si>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</si>
  <si>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</si>
  <si>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</si>
  <si>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</si>
  <si>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</si>
  <si>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</si>
  <si>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</si>
  <si>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</si>
  <si>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</si>
  <si>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</si>
  <si>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</si>
  <si>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</si>
  <si>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</si>
  <si>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</si>
  <si>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</si>
  <si>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</si>
  <si>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</si>
  <si>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</si>
  <si>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</si>
  <si>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</si>
  <si>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</si>
  <si>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</si>
  <si>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</si>
  <si>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</si>
  <si>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</si>
  <si>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</si>
  <si>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</si>
  <si>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</si>
  <si>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</si>
  <si>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</si>
  <si>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</si>
  <si>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</si>
  <si>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</si>
  <si>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</si>
  <si>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</si>
  <si>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</si>
  <si>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</si>
  <si>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</si>
  <si>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</si>
  <si>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</si>
  <si>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</si>
  <si>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</si>
  <si>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</si>
  <si>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</si>
  <si>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</si>
  <si>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</si>
  <si>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</si>
  <si>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</si>
  <si>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</si>
  <si>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</si>
  <si>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</si>
  <si>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</si>
  <si>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</si>
  <si>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</si>
  <si>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</si>
  <si>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</si>
  <si>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</si>
  <si>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</si>
  <si>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</si>
  <si>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</si>
  <si>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</si>
  <si>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</si>
  <si>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</si>
  <si>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</si>
  <si>
    <t>School</t>
  </si>
  <si>
    <t>Wgt 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</si>
</sst>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11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166" fontId="14" fillId="22" borderId="0" xfId="33" applyNumberFormat="1" applyFont="1" applyFill="1" applyAlignment="1">
      <alignment horizontal="right"/>
    </xf>
    <xf numFmtId="166" fontId="14" fillId="22" borderId="0" xfId="33" applyNumberFormat="1" applyFont="1" applyFill="1"/>
    <xf numFmtId="166" fontId="14" fillId="22" borderId="0" xfId="0" applyNumberFormat="1" applyFont="1" applyFill="1"/>
    <xf numFmtId="0" fontId="1" fillId="0" borderId="0" xfId="0" applyFont="1" applyFill="1" applyAlignment="1">
      <alignment horizontal="center" wrapText="1"/>
    </xf>
    <xf numFmtId="164" fontId="2" fillId="21" borderId="0" xfId="36" applyNumberFormat="1" applyFont="1" applyFill="1"/>
    <xf numFmtId="14" fontId="5" fillId="0" borderId="0" xfId="0" applyNumberFormat="1" applyFont="1" applyBorder="1" applyAlignment="1">
      <alignment horizontal="left"/>
    </xf>
    <xf numFmtId="14" fontId="14" fillId="0" borderId="0" xfId="33" applyNumberFormat="1" applyFont="1"/>
    <xf numFmtId="14" fontId="0" fillId="0" borderId="0" xfId="0" applyNumberFormat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13" sqref="A1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topLeftCell="A4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2342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27008133.39684971</v>
      </c>
      <c r="E14" s="300">
        <f>'Allocation ProForma'!J123+'Allocation ProForma'!J124+'Allocation ProForma'!J125</f>
        <v>15177780.831986025</v>
      </c>
      <c r="F14" s="301">
        <f>'Allocation ProForma'!J126</f>
        <v>602132.08770131995</v>
      </c>
      <c r="G14" s="301">
        <f>'Allocation ProForma'!J135</f>
        <v>5796233.447972578</v>
      </c>
      <c r="H14" s="301">
        <f>'Allocation ProForma'!J145+'Allocation ProForma'!J147+'Allocation ProForma'!J152+'Allocation ProForma'!J141</f>
        <v>4540026.4369629938</v>
      </c>
      <c r="I14" s="301">
        <f>'Allocation ProForma'!J146+'Allocation ProForma'!J148+'Allocation ProForma'!J153+'Allocation ProForma'!J157+'Allocation ProForma'!J160+'Allocation ProForma'!J163</f>
        <v>830366.71484748134</v>
      </c>
      <c r="J14" s="301">
        <f>'Allocation ProForma'!J166+'Allocation ProForma'!J169</f>
        <v>61593.877379312005</v>
      </c>
      <c r="K14" s="302">
        <f>SUM(E14:J14)</f>
        <v>27008133.396849714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27008133.39684971</v>
      </c>
      <c r="E16" s="306">
        <f t="shared" ref="E16:K16" si="1">E14+E15</f>
        <v>15177780.831986025</v>
      </c>
      <c r="F16" s="307">
        <f t="shared" si="1"/>
        <v>602132.08770131995</v>
      </c>
      <c r="G16" s="307">
        <f t="shared" si="1"/>
        <v>5796233.447972578</v>
      </c>
      <c r="H16" s="307">
        <f t="shared" si="1"/>
        <v>4540026.4369629938</v>
      </c>
      <c r="I16" s="307">
        <f t="shared" si="1"/>
        <v>830366.71484748134</v>
      </c>
      <c r="J16" s="307">
        <f t="shared" si="1"/>
        <v>61593.877379312005</v>
      </c>
      <c r="K16" s="302">
        <f t="shared" si="1"/>
        <v>27008133.396849714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6.1322261844660587E-2</v>
      </c>
      <c r="E18" s="311">
        <f t="shared" ref="E18:J18" si="2">D18</f>
        <v>6.1322261844660587E-2</v>
      </c>
      <c r="F18" s="312">
        <f t="shared" si="2"/>
        <v>6.1322261844660587E-2</v>
      </c>
      <c r="G18" s="312">
        <f t="shared" si="2"/>
        <v>6.1322261844660587E-2</v>
      </c>
      <c r="H18" s="312">
        <f t="shared" si="2"/>
        <v>6.1322261844660587E-2</v>
      </c>
      <c r="I18" s="312">
        <f t="shared" si="2"/>
        <v>6.1322261844660587E-2</v>
      </c>
      <c r="J18" s="312">
        <f t="shared" si="2"/>
        <v>6.1322261844660587E-2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1656199.8280971404</v>
      </c>
      <c r="E20" s="306">
        <f t="shared" ref="E20:J20" si="3">E18*E16</f>
        <v>930735.85039991746</v>
      </c>
      <c r="F20" s="307">
        <f t="shared" si="3"/>
        <v>36924.101547092476</v>
      </c>
      <c r="G20" s="307">
        <f t="shared" si="3"/>
        <v>355438.14520935429</v>
      </c>
      <c r="H20" s="307">
        <f t="shared" si="3"/>
        <v>278404.68994912616</v>
      </c>
      <c r="I20" s="307">
        <f t="shared" si="3"/>
        <v>50919.965114967861</v>
      </c>
      <c r="J20" s="307">
        <f t="shared" si="3"/>
        <v>3777.0758766820873</v>
      </c>
      <c r="K20" s="302">
        <f>SUM(E20:J20)</f>
        <v>1656199.8280971404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635228.72362278146</v>
      </c>
      <c r="E22" s="306">
        <f t="shared" ref="E22:J22" si="4">(E14/$D$14)*$D$22</f>
        <v>356979.95872803975</v>
      </c>
      <c r="F22" s="307">
        <f t="shared" si="4"/>
        <v>14162.089319636019</v>
      </c>
      <c r="G22" s="307">
        <f t="shared" si="4"/>
        <v>136326.85831612351</v>
      </c>
      <c r="H22" s="307">
        <f t="shared" si="4"/>
        <v>106780.98913352072</v>
      </c>
      <c r="I22" s="307">
        <f t="shared" si="4"/>
        <v>19530.145999387478</v>
      </c>
      <c r="J22" s="307">
        <f t="shared" si="4"/>
        <v>1448.6821260740012</v>
      </c>
      <c r="K22" s="302">
        <f>SUM(E22:J22)</f>
        <v>635228.72362278146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1020971.104474359</v>
      </c>
      <c r="E24" s="306">
        <f t="shared" ref="E24:J24" si="5">E20-E22</f>
        <v>573755.8916718777</v>
      </c>
      <c r="F24" s="307">
        <f t="shared" si="5"/>
        <v>22762.012227456456</v>
      </c>
      <c r="G24" s="307">
        <f t="shared" si="5"/>
        <v>219111.28689323078</v>
      </c>
      <c r="H24" s="307">
        <f t="shared" si="5"/>
        <v>171623.70081560544</v>
      </c>
      <c r="I24" s="307">
        <f t="shared" si="5"/>
        <v>31389.819115580383</v>
      </c>
      <c r="J24" s="307">
        <f t="shared" si="5"/>
        <v>2328.3937506080861</v>
      </c>
      <c r="K24" s="302">
        <f>SUM(E24:J24)</f>
        <v>1020971.1044743588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744920.68166965782</v>
      </c>
      <c r="E26" s="306">
        <f t="shared" ref="E26:J26" si="6">$D$26*(E24/$K$24)</f>
        <v>418623.63005488127</v>
      </c>
      <c r="F26" s="307">
        <f t="shared" si="6"/>
        <v>16607.613663444074</v>
      </c>
      <c r="G26" s="307">
        <f t="shared" si="6"/>
        <v>159867.92229350566</v>
      </c>
      <c r="H26" s="307">
        <f t="shared" si="6"/>
        <v>125220.04162698709</v>
      </c>
      <c r="I26" s="307">
        <f t="shared" si="6"/>
        <v>22902.631965381588</v>
      </c>
      <c r="J26" s="307">
        <f t="shared" si="6"/>
        <v>1698.8420654581873</v>
      </c>
      <c r="K26" s="302">
        <f>SUM(E26:J26)</f>
        <v>744920.68166965782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7648650.5128025142</v>
      </c>
      <c r="E28" s="306">
        <f>'Allocation ProForma'!J180+'Allocation ProForma'!J181+'Allocation ProForma'!J182</f>
        <v>803553.182612743</v>
      </c>
      <c r="F28" s="307">
        <f>'Allocation ProForma'!J183</f>
        <v>5363164.4900922701</v>
      </c>
      <c r="G28" s="307">
        <f>'Allocation ProForma'!J192</f>
        <v>491599.12547417032</v>
      </c>
      <c r="H28" s="307">
        <f>'Allocation ProForma'!J198+'Allocation ProForma'!J202+'Allocation ProForma'!J204+'Allocation ProForma'!J209</f>
        <v>352218.14246106794</v>
      </c>
      <c r="I28" s="307">
        <f>'Allocation ProForma'!J203+'Allocation ProForma'!J205+'Allocation ProForma'!J210+'Allocation ProForma'!J214+'Allocation ProForma'!J217</f>
        <v>126618.88045810084</v>
      </c>
      <c r="J28" s="307">
        <f>'Allocation ProForma'!J223+'Allocation ProForma'!J226</f>
        <v>511496.69170416257</v>
      </c>
      <c r="K28" s="302">
        <f>SUM(E28:J28)</f>
        <v>7648650.5128025142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1674002.4683049966</v>
      </c>
      <c r="E29" s="306">
        <f>'Allocation ProForma'!J300</f>
        <v>1127878.4452586106</v>
      </c>
      <c r="F29" s="307">
        <v>0</v>
      </c>
      <c r="G29" s="307">
        <f>'Allocation ProForma'!J306</f>
        <v>268628.60756614711</v>
      </c>
      <c r="H29" s="307">
        <f>'Allocation ProForma'!J312+'Allocation ProForma'!J316+'Allocation ProForma'!J318+'Allocation ProForma'!J323</f>
        <v>234925.67544573318</v>
      </c>
      <c r="I29" s="307">
        <f>'Allocation ProForma'!J317+'Allocation ProForma'!J319+'Allocation ProForma'!J324+'Allocation ProForma'!J328+'Allocation ProForma'!J331</f>
        <v>42569.740034505696</v>
      </c>
      <c r="J29" s="307">
        <v>0</v>
      </c>
      <c r="K29" s="302">
        <f>SUM(E29:J29)</f>
        <v>1674002.4683049966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279050.47167862562</v>
      </c>
      <c r="E30" s="306">
        <f>'Allocation ProForma'!J414+'Allocation ProForma'!J471+'Allocation ProForma'!J357</f>
        <v>168054.78066476234</v>
      </c>
      <c r="F30" s="307">
        <f>'Allocation ProForma'!J529</f>
        <v>0</v>
      </c>
      <c r="G30" s="307">
        <f>'Allocation ProForma'!J420+'Allocation ProForma'!J477+'Allocation ProForma'!J363</f>
        <v>56709.437439272937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45958.362109723501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8327.8914648668706</v>
      </c>
      <c r="J30" s="307">
        <v>0</v>
      </c>
      <c r="K30" s="302">
        <f>SUM(E30:J30)</f>
        <v>279050.47167862562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15026.047231270495</v>
      </c>
      <c r="E36" s="306">
        <f t="shared" ref="E36:J36" si="9">(E14/($D$14)*$D$36)</f>
        <v>8444.1989491171462</v>
      </c>
      <c r="F36" s="307">
        <f t="shared" si="9"/>
        <v>334.99779700876633</v>
      </c>
      <c r="G36" s="307">
        <f t="shared" si="9"/>
        <v>3224.7499770889272</v>
      </c>
      <c r="H36" s="307">
        <f t="shared" si="9"/>
        <v>2525.8558475936666</v>
      </c>
      <c r="I36" s="307">
        <f t="shared" si="9"/>
        <v>461.97674208868261</v>
      </c>
      <c r="J36" s="307">
        <f t="shared" si="9"/>
        <v>34.267918373306735</v>
      </c>
      <c r="K36" s="302">
        <f t="shared" si="8"/>
        <v>15026.047231270493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0</v>
      </c>
      <c r="E37" s="306">
        <f>-'Allocation ProForma'!J802-'Allocation ProForma'!$J$803*(E14/$D$14)</f>
        <v>0</v>
      </c>
      <c r="F37" s="383">
        <f>-'Allocation ProForma'!$J$803*(F14/$D$14)</f>
        <v>0</v>
      </c>
      <c r="G37" s="383">
        <f>-'Allocation ProForma'!$J$803*(G14/$D$14)</f>
        <v>0</v>
      </c>
      <c r="H37" s="383">
        <f>-'Allocation ProForma'!$J$803*(H14/$D$14)</f>
        <v>0</v>
      </c>
      <c r="I37" s="383">
        <f>-'Allocation ProForma'!$J$803*(I14/$D$14)</f>
        <v>0</v>
      </c>
      <c r="J37" s="383">
        <f>-'Allocation ProForma'!$J$803*(J14/$D$14)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15026.047231270495</v>
      </c>
      <c r="E39" s="306">
        <f t="shared" si="10"/>
        <v>8444.1989491171462</v>
      </c>
      <c r="F39" s="307">
        <f t="shared" si="10"/>
        <v>334.99779700876633</v>
      </c>
      <c r="G39" s="307">
        <f t="shared" si="10"/>
        <v>3224.7499770889272</v>
      </c>
      <c r="H39" s="307">
        <f t="shared" si="10"/>
        <v>2525.8558475936666</v>
      </c>
      <c r="I39" s="307">
        <f t="shared" si="10"/>
        <v>461.97674208868261</v>
      </c>
      <c r="J39" s="307">
        <f t="shared" si="10"/>
        <v>34.267918373306735</v>
      </c>
      <c r="K39" s="302">
        <f t="shared" si="8"/>
        <v>15026.047231270493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12017850.009784205</v>
      </c>
      <c r="E41" s="306">
        <f t="shared" ref="E41:J41" si="11">SUM(E28:E31)+E22+E26+E39+E24</f>
        <v>3457290.0879400321</v>
      </c>
      <c r="F41" s="307">
        <f t="shared" si="11"/>
        <v>5417031.2030998152</v>
      </c>
      <c r="G41" s="307">
        <f t="shared" si="11"/>
        <v>1335467.9879595393</v>
      </c>
      <c r="H41" s="307">
        <f t="shared" si="11"/>
        <v>1039252.7674402315</v>
      </c>
      <c r="I41" s="307">
        <f t="shared" si="11"/>
        <v>251801.08577991155</v>
      </c>
      <c r="J41" s="307">
        <f t="shared" si="11"/>
        <v>517006.87756467611</v>
      </c>
      <c r="K41" s="302">
        <f>SUM(E41:J41)</f>
        <v>12017850.009784205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127645.0326441643</v>
      </c>
      <c r="E43" s="306">
        <f>D43</f>
        <v>127645.0326441643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127645.0326441643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-70540.746440541348</v>
      </c>
      <c r="E44" s="306">
        <v>0</v>
      </c>
      <c r="F44" s="307">
        <f>D44</f>
        <v>-70540.746440541348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-70540.746440541348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-36963.295987829457</v>
      </c>
      <c r="E45" s="306">
        <f t="shared" ref="E45:J45" si="12">(E14/($D$14)*$D$45)</f>
        <v>-20772.290964637439</v>
      </c>
      <c r="F45" s="307">
        <f t="shared" si="12"/>
        <v>-824.07718646967498</v>
      </c>
      <c r="G45" s="307">
        <f t="shared" si="12"/>
        <v>-7932.7175041633218</v>
      </c>
      <c r="H45" s="307">
        <f t="shared" si="12"/>
        <v>-6213.4742344544302</v>
      </c>
      <c r="I45" s="307">
        <f t="shared" si="12"/>
        <v>-1136.4387982076964</v>
      </c>
      <c r="J45" s="307">
        <f t="shared" si="12"/>
        <v>-84.297299896894899</v>
      </c>
      <c r="K45" s="302">
        <f>SUM(E45:J45)</f>
        <v>-36963.295987829457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20140.990215793492</v>
      </c>
      <c r="E46" s="306">
        <f t="shared" ref="E46:J46" si="13">SUM(E43:E45)</f>
        <v>106872.74167952687</v>
      </c>
      <c r="F46" s="307">
        <f t="shared" si="13"/>
        <v>-71364.823627011021</v>
      </c>
      <c r="G46" s="307">
        <f t="shared" si="13"/>
        <v>-7932.7175041633218</v>
      </c>
      <c r="H46" s="307">
        <f t="shared" si="13"/>
        <v>-6213.4742344544302</v>
      </c>
      <c r="I46" s="307">
        <f t="shared" si="13"/>
        <v>-1136.4387982076964</v>
      </c>
      <c r="J46" s="307">
        <f t="shared" si="13"/>
        <v>-84.297299896894899</v>
      </c>
      <c r="K46" s="302">
        <f>SUM(E46:J46)</f>
        <v>20140.990215793503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12037990.999999998</v>
      </c>
      <c r="D48" s="306">
        <f>D41+D46</f>
        <v>12037990.999999998</v>
      </c>
      <c r="E48" s="306">
        <f t="shared" ref="E48:J48" si="14">E41+E46</f>
        <v>3564162.829619559</v>
      </c>
      <c r="F48" s="307">
        <f t="shared" si="14"/>
        <v>5345666.3794728043</v>
      </c>
      <c r="G48" s="307">
        <f t="shared" si="14"/>
        <v>1327535.270455376</v>
      </c>
      <c r="H48" s="307">
        <f t="shared" si="14"/>
        <v>1033039.2932057771</v>
      </c>
      <c r="I48" s="307">
        <f t="shared" si="14"/>
        <v>250664.64698170385</v>
      </c>
      <c r="J48" s="307">
        <f t="shared" si="14"/>
        <v>516922.58026477922</v>
      </c>
      <c r="K48" s="302">
        <f>SUM(E48:J48)</f>
        <v>12037990.999999998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Det'!C16+'Billing Det'!C18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2.3469902276552629E-2</v>
      </c>
      <c r="F52" s="323">
        <f t="shared" si="15"/>
        <v>3.520104819191764E-2</v>
      </c>
      <c r="G52" s="323">
        <f t="shared" si="15"/>
        <v>8.7417788007149704E-3</v>
      </c>
      <c r="H52" s="323">
        <f t="shared" si="15"/>
        <v>6.8025318758982035E-3</v>
      </c>
      <c r="I52" s="324">
        <f>I48/I50</f>
        <v>35.215600868460776</v>
      </c>
      <c r="J52" s="324">
        <f t="shared" si="15"/>
        <v>72.621885398255003</v>
      </c>
      <c r="K52" s="325">
        <f>I52+J52</f>
        <v>107.83748626671579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107.83748626671579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3.9014212953165803E-2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3.520104819191764E-2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-5783.4727535170787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-3.8083989658418415E-5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4.4876128963507386E-2</v>
      </c>
      <c r="L62" s="380">
        <f>K62+K56</f>
        <v>8.0077177155425033E-2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1944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328433972.5847649</v>
      </c>
      <c r="E14" s="300">
        <f>'Allocation ProForma'!L123+'Allocation ProForma'!L124+'Allocation ProForma'!L125</f>
        <v>230095414.46976283</v>
      </c>
      <c r="F14" s="301">
        <f>'Allocation ProForma'!L126</f>
        <v>8221766.7550763367</v>
      </c>
      <c r="G14" s="301">
        <f>'Allocation ProForma'!L135</f>
        <v>48876952.350909404</v>
      </c>
      <c r="H14" s="301">
        <f>'Allocation ProForma'!L145+'Allocation ProForma'!L147+'Allocation ProForma'!L152+'Allocation ProForma'!L141</f>
        <v>34494823.647746533</v>
      </c>
      <c r="I14" s="301">
        <f>'Allocation ProForma'!L146+'Allocation ProForma'!L148+'Allocation ProForma'!L153+'Allocation ProForma'!L157+'Allocation ProForma'!L160+'Allocation ProForma'!L163</f>
        <v>6518011.2819906864</v>
      </c>
      <c r="J14" s="301">
        <f>'Allocation ProForma'!L166+'Allocation ProForma'!L169</f>
        <v>227004.07927906641</v>
      </c>
      <c r="K14" s="302">
        <f>SUM(E14:J14)</f>
        <v>328433972.5847649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328433972.5847649</v>
      </c>
      <c r="E16" s="306">
        <f t="shared" ref="E16:K16" si="1">E14+E15</f>
        <v>230095414.46976283</v>
      </c>
      <c r="F16" s="307">
        <f t="shared" si="1"/>
        <v>8221766.7550763367</v>
      </c>
      <c r="G16" s="307">
        <f t="shared" si="1"/>
        <v>48876952.350909404</v>
      </c>
      <c r="H16" s="307">
        <f t="shared" si="1"/>
        <v>34494823.647746533</v>
      </c>
      <c r="I16" s="307">
        <f t="shared" si="1"/>
        <v>6518011.2819906864</v>
      </c>
      <c r="J16" s="307">
        <f t="shared" si="1"/>
        <v>227004.07927906641</v>
      </c>
      <c r="K16" s="302">
        <f t="shared" si="1"/>
        <v>328433972.5847649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9.335609377841432E-2</v>
      </c>
      <c r="E18" s="311">
        <f t="shared" ref="E18:J18" si="2">D18</f>
        <v>9.335609377841432E-2</v>
      </c>
      <c r="F18" s="312">
        <f t="shared" si="2"/>
        <v>9.335609377841432E-2</v>
      </c>
      <c r="G18" s="312">
        <f t="shared" si="2"/>
        <v>9.335609377841432E-2</v>
      </c>
      <c r="H18" s="312">
        <f t="shared" si="2"/>
        <v>9.335609377841432E-2</v>
      </c>
      <c r="I18" s="312">
        <f t="shared" si="2"/>
        <v>9.335609377841432E-2</v>
      </c>
      <c r="J18" s="312">
        <f t="shared" si="2"/>
        <v>9.335609377841432E-2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30661312.74464047</v>
      </c>
      <c r="E20" s="306">
        <f t="shared" ref="E20:J20" si="3">E18*E16</f>
        <v>21480809.09122229</v>
      </c>
      <c r="F20" s="307">
        <f t="shared" si="3"/>
        <v>767552.02821115567</v>
      </c>
      <c r="G20" s="307">
        <f t="shared" si="3"/>
        <v>4562961.3472745866</v>
      </c>
      <c r="H20" s="307">
        <f t="shared" si="3"/>
        <v>3220301.9913288895</v>
      </c>
      <c r="I20" s="307">
        <f t="shared" si="3"/>
        <v>608496.07249028503</v>
      </c>
      <c r="J20" s="307">
        <f t="shared" si="3"/>
        <v>21192.214113259124</v>
      </c>
      <c r="K20" s="302">
        <f>SUM(E20:J20)</f>
        <v>30661312.744640466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7831681.5759416865</v>
      </c>
      <c r="E22" s="306">
        <f t="shared" ref="E22:J22" si="4">(E14/$D$14)*$D$22</f>
        <v>5486746.7090251269</v>
      </c>
      <c r="F22" s="307">
        <f t="shared" si="4"/>
        <v>196052.37153352902</v>
      </c>
      <c r="G22" s="307">
        <f t="shared" si="4"/>
        <v>1165496.7487140924</v>
      </c>
      <c r="H22" s="307">
        <f t="shared" si="4"/>
        <v>822547.29223448713</v>
      </c>
      <c r="I22" s="307">
        <f t="shared" si="4"/>
        <v>155425.42224608597</v>
      </c>
      <c r="J22" s="307">
        <f t="shared" si="4"/>
        <v>5413.0321883636298</v>
      </c>
      <c r="K22" s="302">
        <f>SUM(E22:J22)</f>
        <v>7831681.5759416847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22829631.168698784</v>
      </c>
      <c r="E24" s="306">
        <f t="shared" ref="E24:J24" si="5">E20-E22</f>
        <v>15994062.382197164</v>
      </c>
      <c r="F24" s="307">
        <f t="shared" si="5"/>
        <v>571499.65667762666</v>
      </c>
      <c r="G24" s="307">
        <f t="shared" si="5"/>
        <v>3397464.5985604944</v>
      </c>
      <c r="H24" s="307">
        <f t="shared" si="5"/>
        <v>2397754.6990944026</v>
      </c>
      <c r="I24" s="307">
        <f t="shared" si="5"/>
        <v>453070.65024419909</v>
      </c>
      <c r="J24" s="307">
        <f t="shared" si="5"/>
        <v>15779.181924895494</v>
      </c>
      <c r="K24" s="302">
        <f>SUM(E24:J24)</f>
        <v>22829631.16869878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16438031.956413982</v>
      </c>
      <c r="E26" s="306">
        <f t="shared" ref="E26:J26" si="6">$D$26*(E24/$K$24)</f>
        <v>11516213.582631472</v>
      </c>
      <c r="F26" s="307">
        <f t="shared" si="6"/>
        <v>411497.21386768663</v>
      </c>
      <c r="G26" s="307">
        <f t="shared" si="6"/>
        <v>2446278.3138824468</v>
      </c>
      <c r="H26" s="307">
        <f t="shared" si="6"/>
        <v>1726456.6420764511</v>
      </c>
      <c r="I26" s="307">
        <f t="shared" si="6"/>
        <v>326224.71086780581</v>
      </c>
      <c r="J26" s="307">
        <f t="shared" si="6"/>
        <v>11361.493088120083</v>
      </c>
      <c r="K26" s="302">
        <f>SUM(E26:J26)</f>
        <v>16438031.956413984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95071942.19302471</v>
      </c>
      <c r="E28" s="306">
        <f>'Allocation ProForma'!L180+'Allocation ProForma'!L181+'Allocation ProForma'!L182</f>
        <v>12181879.857701344</v>
      </c>
      <c r="F28" s="307">
        <f>'Allocation ProForma'!L183</f>
        <v>73230921.266762272</v>
      </c>
      <c r="G28" s="307">
        <f>'Allocation ProForma'!L192</f>
        <v>4145427.7587722577</v>
      </c>
      <c r="H28" s="307">
        <f>'Allocation ProForma'!L198+'Allocation ProForma'!L202+'Allocation ProForma'!L204+'Allocation ProForma'!L209</f>
        <v>2338580.5371621964</v>
      </c>
      <c r="I28" s="307">
        <f>'Allocation ProForma'!L203+'Allocation ProForma'!L205+'Allocation ProForma'!L210+'Allocation ProForma'!L214+'Allocation ProForma'!L217</f>
        <v>1290013.0091874269</v>
      </c>
      <c r="J28" s="307">
        <f>'Allocation ProForma'!L223+'Allocation ProForma'!L226</f>
        <v>1885119.7634392024</v>
      </c>
      <c r="K28" s="302">
        <f>SUM(E28:J28)</f>
        <v>95071942.19302471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21482536.76264691</v>
      </c>
      <c r="E29" s="306">
        <f>'Allocation ProForma'!L300</f>
        <v>17098656.332312673</v>
      </c>
      <c r="F29" s="307">
        <v>0</v>
      </c>
      <c r="G29" s="307">
        <f>'Allocation ProForma'!L306</f>
        <v>2265220.6419833335</v>
      </c>
      <c r="H29" s="307">
        <f>'Allocation ProForma'!L312+'Allocation ProForma'!L316+'Allocation ProForma'!L318+'Allocation ProForma'!L323</f>
        <v>1786509.0039492063</v>
      </c>
      <c r="I29" s="307">
        <f>'Allocation ProForma'!L317+'Allocation ProForma'!L319+'Allocation ProForma'!L324+'Allocation ProForma'!L328+'Allocation ProForma'!L331</f>
        <v>332150.78440169722</v>
      </c>
      <c r="J29" s="307">
        <v>0</v>
      </c>
      <c r="K29" s="302">
        <f>SUM(E29:J29)</f>
        <v>21482536.76264691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3440389.8257930605</v>
      </c>
      <c r="E30" s="306">
        <f>'Allocation ProForma'!L414+'Allocation ProForma'!L471+'Allocation ProForma'!L357</f>
        <v>2547713.3211195376</v>
      </c>
      <c r="F30" s="307">
        <f>'Allocation ProForma'!L529</f>
        <v>0</v>
      </c>
      <c r="G30" s="307">
        <f>'Allocation ProForma'!L420+'Allocation ProForma'!L477+'Allocation ProForma'!L363</f>
        <v>478204.42300089612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349493.63265636313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64978.449016263759</v>
      </c>
      <c r="J30" s="307">
        <v>0</v>
      </c>
      <c r="K30" s="302">
        <f>SUM(E30:J30)</f>
        <v>3440389.8257930609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31533.389547422295</v>
      </c>
      <c r="E36" s="306">
        <f t="shared" ref="E36:J36" si="9">(E14/($D$14)*$D$36)</f>
        <v>22091.771689903406</v>
      </c>
      <c r="F36" s="307">
        <f t="shared" si="9"/>
        <v>789.38293689748048</v>
      </c>
      <c r="G36" s="307">
        <f t="shared" si="9"/>
        <v>4692.7422466147109</v>
      </c>
      <c r="H36" s="307">
        <f t="shared" si="9"/>
        <v>3311.8946340829389</v>
      </c>
      <c r="I36" s="307">
        <f t="shared" si="9"/>
        <v>625.80307150308442</v>
      </c>
      <c r="J36" s="307">
        <f t="shared" si="9"/>
        <v>21.79496842067179</v>
      </c>
      <c r="K36" s="302">
        <f t="shared" si="8"/>
        <v>31533.389547422292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0</v>
      </c>
      <c r="E37" s="306">
        <f>-'Allocation ProForma'!L802-'Allocation ProForma'!$L$803*(E14/$D$14)</f>
        <v>0</v>
      </c>
      <c r="F37" s="383">
        <f>-'Allocation ProForma'!$L$803*(F14/$D$14)</f>
        <v>0</v>
      </c>
      <c r="G37" s="383">
        <f>-'Allocation ProForma'!$L$803*(G14/$D$14)</f>
        <v>0</v>
      </c>
      <c r="H37" s="383">
        <f>-'Allocation ProForma'!$L$803*(H14/$D$14)</f>
        <v>0</v>
      </c>
      <c r="I37" s="383">
        <f>-'Allocation ProForma'!$L$803*(I14/$D$14)</f>
        <v>0</v>
      </c>
      <c r="J37" s="383">
        <f>-'Allocation ProForma'!$L$803*(J14/$D$14)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31533.389547422295</v>
      </c>
      <c r="E39" s="306">
        <f t="shared" si="10"/>
        <v>22091.771689903406</v>
      </c>
      <c r="F39" s="307">
        <f t="shared" si="10"/>
        <v>789.38293689748048</v>
      </c>
      <c r="G39" s="307">
        <f t="shared" si="10"/>
        <v>4692.7422466147109</v>
      </c>
      <c r="H39" s="307">
        <f t="shared" si="10"/>
        <v>3311.8946340829389</v>
      </c>
      <c r="I39" s="307">
        <f t="shared" si="10"/>
        <v>625.80307150308442</v>
      </c>
      <c r="J39" s="307">
        <f t="shared" si="10"/>
        <v>21.79496842067179</v>
      </c>
      <c r="K39" s="302">
        <f t="shared" si="8"/>
        <v>31533.389547422292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167125746.87206653</v>
      </c>
      <c r="E41" s="306">
        <f t="shared" ref="E41:J41" si="11">SUM(E28:E31)+E22+E26+E39+E24</f>
        <v>64847363.956677236</v>
      </c>
      <c r="F41" s="307">
        <f t="shared" si="11"/>
        <v>74410759.891778007</v>
      </c>
      <c r="G41" s="307">
        <f t="shared" si="11"/>
        <v>13902785.227160137</v>
      </c>
      <c r="H41" s="307">
        <f t="shared" si="11"/>
        <v>9424653.7018071897</v>
      </c>
      <c r="I41" s="307">
        <f t="shared" si="11"/>
        <v>2622488.8290349818</v>
      </c>
      <c r="J41" s="307">
        <f t="shared" si="11"/>
        <v>1917695.2656090022</v>
      </c>
      <c r="K41" s="302">
        <f>SUM(E41:J41)</f>
        <v>167125746.87206656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1935100.8567319147</v>
      </c>
      <c r="E43" s="306">
        <f>D43</f>
        <v>1935100.8567319147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1935100.8567319147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-963193.25245924934</v>
      </c>
      <c r="E44" s="306">
        <v>0</v>
      </c>
      <c r="F44" s="307">
        <f>D44</f>
        <v>-963193.25245924934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-963193.25245924934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-397747.4763392504</v>
      </c>
      <c r="E45" s="306">
        <f t="shared" ref="E45:J45" si="12">(E14/($D$14)*$D$45)</f>
        <v>-278655.30993131903</v>
      </c>
      <c r="F45" s="307">
        <f t="shared" si="12"/>
        <v>-9956.9083921047932</v>
      </c>
      <c r="G45" s="307">
        <f t="shared" si="12"/>
        <v>-59192.063158784818</v>
      </c>
      <c r="H45" s="307">
        <f t="shared" si="12"/>
        <v>-41774.695061783394</v>
      </c>
      <c r="I45" s="307">
        <f t="shared" si="12"/>
        <v>-7893.5882234090695</v>
      </c>
      <c r="J45" s="307">
        <f t="shared" si="12"/>
        <v>-274.91157184922741</v>
      </c>
      <c r="K45" s="302">
        <f>SUM(E45:J45)</f>
        <v>-397747.4763392504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574160.12793341489</v>
      </c>
      <c r="E46" s="306">
        <f t="shared" ref="E46:J46" si="13">SUM(E43:E45)</f>
        <v>1656445.5468005957</v>
      </c>
      <c r="F46" s="307">
        <f t="shared" si="13"/>
        <v>-973150.16085135413</v>
      </c>
      <c r="G46" s="307">
        <f t="shared" si="13"/>
        <v>-59192.063158784818</v>
      </c>
      <c r="H46" s="307">
        <f t="shared" si="13"/>
        <v>-41774.695061783394</v>
      </c>
      <c r="I46" s="307">
        <f t="shared" si="13"/>
        <v>-7893.5882234090695</v>
      </c>
      <c r="J46" s="307">
        <f t="shared" si="13"/>
        <v>-274.91157184922741</v>
      </c>
      <c r="K46" s="302">
        <f>SUM(E46:J46)</f>
        <v>574160.127933415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167699907</v>
      </c>
      <c r="D48" s="306">
        <f>D41+D46</f>
        <v>167699906.99999994</v>
      </c>
      <c r="E48" s="306">
        <f t="shared" ref="E48:J48" si="14">E41+E46</f>
        <v>66503809.503477834</v>
      </c>
      <c r="F48" s="307">
        <f t="shared" si="14"/>
        <v>73437609.730926648</v>
      </c>
      <c r="G48" s="307">
        <f t="shared" si="14"/>
        <v>13843593.164001353</v>
      </c>
      <c r="H48" s="307">
        <f t="shared" si="14"/>
        <v>9382879.0067454055</v>
      </c>
      <c r="I48" s="307">
        <f t="shared" si="14"/>
        <v>2614595.2408115729</v>
      </c>
      <c r="J48" s="307">
        <f t="shared" si="14"/>
        <v>1917420.3540371531</v>
      </c>
      <c r="K48" s="302">
        <f>SUM(E48:J48)</f>
        <v>167699906.99999997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Det'!C20</f>
        <v>2073574464.2992401</v>
      </c>
      <c r="G50" s="318">
        <f>E50</f>
        <v>6098096</v>
      </c>
      <c r="H50" s="318">
        <f>G50</f>
        <v>6098096</v>
      </c>
      <c r="I50" s="318">
        <f>'Allocation ProForma'!L848</f>
        <v>52450</v>
      </c>
      <c r="J50" s="318">
        <f>I50</f>
        <v>52450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10.90566785165039</v>
      </c>
      <c r="F52" s="323">
        <f t="shared" si="15"/>
        <v>3.5415950087784635E-2</v>
      </c>
      <c r="G52" s="324">
        <f t="shared" si="15"/>
        <v>2.2701500868470017</v>
      </c>
      <c r="H52" s="324">
        <f t="shared" si="15"/>
        <v>1.5386571491733494</v>
      </c>
      <c r="I52" s="324">
        <f>I48/I50</f>
        <v>49.849289624624838</v>
      </c>
      <c r="J52" s="324">
        <f t="shared" si="15"/>
        <v>36.55710875189996</v>
      </c>
      <c r="K52" s="325">
        <f>I52+J52</f>
        <v>86.406398376524805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86.406398376524805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14.714475087670742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3.5415950087784635E-2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2335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25045605.561649796</v>
      </c>
      <c r="E14" s="300">
        <f>'Allocation ProForma'!M123+'Allocation ProForma'!M124+'Allocation ProForma'!M125</f>
        <v>17532290.081392325</v>
      </c>
      <c r="F14" s="301">
        <f>'Allocation ProForma'!M126</f>
        <v>656812.91705090401</v>
      </c>
      <c r="G14" s="301">
        <f>'Allocation ProForma'!M135</f>
        <v>3998118.4772511898</v>
      </c>
      <c r="H14" s="301">
        <f>'Allocation ProForma'!M145+'Allocation ProForma'!M147+'Allocation ProForma'!M152+'Allocation ProForma'!M141</f>
        <v>2103342.357652247</v>
      </c>
      <c r="I14" s="301">
        <f>'Allocation ProForma'!M146+'Allocation ProForma'!M148+'Allocation ProForma'!M153+'Allocation ProForma'!M157+'Allocation ProForma'!M160+'Allocation ProForma'!M163</f>
        <v>746057.12392992363</v>
      </c>
      <c r="J14" s="301">
        <f>'Allocation ProForma'!M166+'Allocation ProForma'!M169</f>
        <v>8984.6043732048711</v>
      </c>
      <c r="K14" s="302">
        <f>SUM(E14:J14)</f>
        <v>25045605.561649799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25045605.561649796</v>
      </c>
      <c r="E16" s="306">
        <f t="shared" ref="E16:K16" si="1">E14+E15</f>
        <v>17532290.081392325</v>
      </c>
      <c r="F16" s="307">
        <f t="shared" si="1"/>
        <v>656812.91705090401</v>
      </c>
      <c r="G16" s="307">
        <f t="shared" si="1"/>
        <v>3998118.4772511898</v>
      </c>
      <c r="H16" s="307">
        <f t="shared" si="1"/>
        <v>2103342.357652247</v>
      </c>
      <c r="I16" s="307">
        <f t="shared" si="1"/>
        <v>746057.12392992363</v>
      </c>
      <c r="J16" s="307">
        <f t="shared" si="1"/>
        <v>8984.6043732048711</v>
      </c>
      <c r="K16" s="302">
        <f t="shared" si="1"/>
        <v>25045605.561649799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0.11168983665327537</v>
      </c>
      <c r="E18" s="311">
        <f t="shared" ref="E18:J18" si="2">D18</f>
        <v>0.11168983665327537</v>
      </c>
      <c r="F18" s="312">
        <f t="shared" si="2"/>
        <v>0.11168983665327537</v>
      </c>
      <c r="G18" s="312">
        <f t="shared" si="2"/>
        <v>0.11168983665327537</v>
      </c>
      <c r="H18" s="312">
        <f t="shared" si="2"/>
        <v>0.11168983665327537</v>
      </c>
      <c r="I18" s="312">
        <f t="shared" si="2"/>
        <v>0.11168983665327537</v>
      </c>
      <c r="J18" s="312">
        <f t="shared" si="2"/>
        <v>0.11168983665327537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2797339.5940630306</v>
      </c>
      <c r="E20" s="306">
        <f t="shared" ref="E20:J20" si="3">E18*E16</f>
        <v>1958178.6153485486</v>
      </c>
      <c r="F20" s="307">
        <f t="shared" si="3"/>
        <v>73359.32741717677</v>
      </c>
      <c r="G20" s="307">
        <f t="shared" si="3"/>
        <v>446549.1996446274</v>
      </c>
      <c r="H20" s="307">
        <f t="shared" si="3"/>
        <v>234921.96435209454</v>
      </c>
      <c r="I20" s="307">
        <f t="shared" si="3"/>
        <v>83326.998305745583</v>
      </c>
      <c r="J20" s="307">
        <f t="shared" si="3"/>
        <v>1003.4889948375555</v>
      </c>
      <c r="K20" s="302">
        <f>SUM(E20:J20)</f>
        <v>2797339.5940630306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595996.25175771455</v>
      </c>
      <c r="E22" s="306">
        <f t="shared" ref="E22:J22" si="4">(E14/$D$14)*$D$22</f>
        <v>417206.09020684729</v>
      </c>
      <c r="F22" s="307">
        <f t="shared" si="4"/>
        <v>15629.809217621627</v>
      </c>
      <c r="G22" s="307">
        <f t="shared" si="4"/>
        <v>95140.98673555917</v>
      </c>
      <c r="H22" s="307">
        <f t="shared" si="4"/>
        <v>50052.060359981086</v>
      </c>
      <c r="I22" s="307">
        <f t="shared" si="4"/>
        <v>17753.503638188158</v>
      </c>
      <c r="J22" s="307">
        <f t="shared" si="4"/>
        <v>213.80159951713878</v>
      </c>
      <c r="K22" s="302">
        <f>SUM(E22:J22)</f>
        <v>595996.25175771432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2201343.3423053161</v>
      </c>
      <c r="E24" s="306">
        <f t="shared" ref="E24:J24" si="5">E20-E22</f>
        <v>1540972.5251417013</v>
      </c>
      <c r="F24" s="307">
        <f t="shared" si="5"/>
        <v>57729.518199555139</v>
      </c>
      <c r="G24" s="307">
        <f t="shared" si="5"/>
        <v>351408.21290906821</v>
      </c>
      <c r="H24" s="307">
        <f t="shared" si="5"/>
        <v>184869.90399211345</v>
      </c>
      <c r="I24" s="307">
        <f t="shared" si="5"/>
        <v>65573.494667557417</v>
      </c>
      <c r="J24" s="307">
        <f t="shared" si="5"/>
        <v>789.68739532041673</v>
      </c>
      <c r="K24" s="302">
        <f>SUM(E24:J24)</f>
        <v>2201343.3423053161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1584695.2470071388</v>
      </c>
      <c r="E26" s="306">
        <f t="shared" ref="E26:J26" si="6">$D$26*(E24/$K$24)</f>
        <v>1109309.8425088623</v>
      </c>
      <c r="F26" s="307">
        <f t="shared" si="6"/>
        <v>41558.121054865769</v>
      </c>
      <c r="G26" s="307">
        <f t="shared" si="6"/>
        <v>252970.49944653164</v>
      </c>
      <c r="H26" s="307">
        <f t="shared" si="6"/>
        <v>133083.49158481054</v>
      </c>
      <c r="I26" s="307">
        <f t="shared" si="6"/>
        <v>47204.815047390191</v>
      </c>
      <c r="J26" s="307">
        <f t="shared" si="6"/>
        <v>568.4773646782387</v>
      </c>
      <c r="K26" s="302">
        <f>SUM(E26:J26)</f>
        <v>1584695.2470071388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7627304.0729848789</v>
      </c>
      <c r="E28" s="306">
        <f>'Allocation ProForma'!M180+'Allocation ProForma'!M181+'Allocation ProForma'!M182</f>
        <v>928207.33474441571</v>
      </c>
      <c r="F28" s="307">
        <f>'Allocation ProForma'!M183</f>
        <v>5850204.2746286383</v>
      </c>
      <c r="G28" s="307">
        <f>'Allocation ProForma'!M192</f>
        <v>339094.61456323753</v>
      </c>
      <c r="H28" s="307">
        <f>'Allocation ProForma'!M198+'Allocation ProForma'!M202+'Allocation ProForma'!M204+'Allocation ProForma'!M209</f>
        <v>180207.37550542879</v>
      </c>
      <c r="I28" s="307">
        <f>'Allocation ProForma'!M203+'Allocation ProForma'!M205+'Allocation ProForma'!M210+'Allocation ProForma'!M214+'Allocation ProForma'!M217</f>
        <v>254979.23605174205</v>
      </c>
      <c r="J28" s="307">
        <f>'Allocation ProForma'!M223+'Allocation ProForma'!M226</f>
        <v>74611.237491416628</v>
      </c>
      <c r="K28" s="302">
        <f>SUM(E28:J28)</f>
        <v>7627304.0729848789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1634201.5994602446</v>
      </c>
      <c r="E29" s="306">
        <f>'Allocation ProForma'!M300</f>
        <v>1302844.7503439311</v>
      </c>
      <c r="F29" s="307">
        <v>0</v>
      </c>
      <c r="G29" s="307">
        <f>'Allocation ProForma'!M306</f>
        <v>185294.29655807622</v>
      </c>
      <c r="H29" s="307">
        <f>'Allocation ProForma'!M312+'Allocation ProForma'!M316+'Allocation ProForma'!M318+'Allocation ProForma'!M323</f>
        <v>108740.98705731312</v>
      </c>
      <c r="I29" s="307">
        <f>'Allocation ProForma'!M317+'Allocation ProForma'!M319+'Allocation ProForma'!M324+'Allocation ProForma'!M328+'Allocation ProForma'!M331</f>
        <v>37321.565500924073</v>
      </c>
      <c r="J29" s="307">
        <v>0</v>
      </c>
      <c r="K29" s="302">
        <f>SUM(E29:J29)</f>
        <v>1634201.5994602446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261815.98688293091</v>
      </c>
      <c r="E30" s="306">
        <f>'Allocation ProForma'!M414+'Allocation ProForma'!M471+'Allocation ProForma'!M357</f>
        <v>194124.89854709798</v>
      </c>
      <c r="F30" s="307">
        <f>'Allocation ProForma'!M529</f>
        <v>0</v>
      </c>
      <c r="G30" s="307">
        <f>'Allocation ProForma'!M420+'Allocation ProForma'!M477+'Allocation ProForma'!M363</f>
        <v>39116.963058101835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21272.930895555372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7301.1943821757541</v>
      </c>
      <c r="J30" s="307">
        <v>0</v>
      </c>
      <c r="K30" s="302">
        <f>SUM(E30:J30)</f>
        <v>261815.98688293091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2568.8360236107728</v>
      </c>
      <c r="E36" s="306">
        <f t="shared" ref="E36:J36" si="9">(E14/($D$14)*$D$36)</f>
        <v>1798.2227751137573</v>
      </c>
      <c r="F36" s="307">
        <f t="shared" si="9"/>
        <v>67.366895080259937</v>
      </c>
      <c r="G36" s="307">
        <f t="shared" si="9"/>
        <v>410.07236761538172</v>
      </c>
      <c r="H36" s="307">
        <f t="shared" si="9"/>
        <v>215.73212135053652</v>
      </c>
      <c r="I36" s="307">
        <f t="shared" si="9"/>
        <v>76.520346489733328</v>
      </c>
      <c r="J36" s="307">
        <f t="shared" si="9"/>
        <v>0.92151796110372208</v>
      </c>
      <c r="K36" s="302">
        <f t="shared" si="8"/>
        <v>2568.8360236107724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0</v>
      </c>
      <c r="E37" s="306">
        <f>-'Allocation ProForma'!M802-'Allocation ProForma'!$M$803*(E14/$D$14)</f>
        <v>0</v>
      </c>
      <c r="F37" s="383">
        <f>-'Allocation ProForma'!$M$803*(F14/$D$14)</f>
        <v>0</v>
      </c>
      <c r="G37" s="383">
        <f>-'Allocation ProForma'!$M$803*(G14/$D$14)</f>
        <v>0</v>
      </c>
      <c r="H37" s="383">
        <f>-'Allocation ProForma'!$M$803*(H14/$D$14)</f>
        <v>0</v>
      </c>
      <c r="I37" s="383">
        <f>-'Allocation ProForma'!$M$803*(I14/$D$14)</f>
        <v>0</v>
      </c>
      <c r="J37" s="383">
        <f>-'Allocation ProForma'!$M$803*(J14/$D$14)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2568.8360236107728</v>
      </c>
      <c r="E39" s="306">
        <f t="shared" si="10"/>
        <v>1798.2227751137573</v>
      </c>
      <c r="F39" s="307">
        <f t="shared" si="10"/>
        <v>67.366895080259937</v>
      </c>
      <c r="G39" s="307">
        <f t="shared" si="10"/>
        <v>410.07236761538172</v>
      </c>
      <c r="H39" s="307">
        <f t="shared" si="10"/>
        <v>215.73212135053652</v>
      </c>
      <c r="I39" s="307">
        <f t="shared" si="10"/>
        <v>76.520346489733328</v>
      </c>
      <c r="J39" s="307">
        <f t="shared" si="10"/>
        <v>0.92151796110372208</v>
      </c>
      <c r="K39" s="302">
        <f t="shared" si="8"/>
        <v>2568.8360236107724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13907925.336421834</v>
      </c>
      <c r="E41" s="306">
        <f t="shared" ref="E41:J41" si="11">SUM(E28:E31)+E22+E26+E39+E24</f>
        <v>5494463.6642679702</v>
      </c>
      <c r="F41" s="307">
        <f t="shared" si="11"/>
        <v>5965189.0899957614</v>
      </c>
      <c r="G41" s="307">
        <f t="shared" si="11"/>
        <v>1263435.64563819</v>
      </c>
      <c r="H41" s="307">
        <f t="shared" si="11"/>
        <v>678442.48151655286</v>
      </c>
      <c r="I41" s="307">
        <f t="shared" si="11"/>
        <v>430210.32963446737</v>
      </c>
      <c r="J41" s="307">
        <f t="shared" si="11"/>
        <v>76184.125368893539</v>
      </c>
      <c r="K41" s="302">
        <f>SUM(E41:J41)</f>
        <v>13907925.336421836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147446.43927457801</v>
      </c>
      <c r="E43" s="306">
        <f>D43</f>
        <v>147446.43927457801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147446.43927457801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-76946.693901392908</v>
      </c>
      <c r="E44" s="306">
        <v>0</v>
      </c>
      <c r="F44" s="307">
        <f>D44</f>
        <v>-76946.693901392908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-76946.693901392908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-27774.081795018014</v>
      </c>
      <c r="E45" s="306">
        <f t="shared" ref="E45:J45" si="12">(E14/($D$14)*$D$45)</f>
        <v>-19442.2633374131</v>
      </c>
      <c r="F45" s="307">
        <f t="shared" si="12"/>
        <v>-728.36632507417539</v>
      </c>
      <c r="G45" s="307">
        <f t="shared" si="12"/>
        <v>-4433.6747754017069</v>
      </c>
      <c r="H45" s="307">
        <f t="shared" si="12"/>
        <v>-2332.4811428720523</v>
      </c>
      <c r="I45" s="307">
        <f t="shared" si="12"/>
        <v>-827.33282422661694</v>
      </c>
      <c r="J45" s="307">
        <f t="shared" si="12"/>
        <v>-9.9633900303599248</v>
      </c>
      <c r="K45" s="302">
        <f>SUM(E45:J45)</f>
        <v>-27774.081795018014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42725.663578167085</v>
      </c>
      <c r="E46" s="306">
        <f t="shared" ref="E46:J46" si="13">SUM(E43:E45)</f>
        <v>128004.17593716491</v>
      </c>
      <c r="F46" s="307">
        <f t="shared" si="13"/>
        <v>-77675.060226467089</v>
      </c>
      <c r="G46" s="307">
        <f t="shared" si="13"/>
        <v>-4433.6747754017069</v>
      </c>
      <c r="H46" s="307">
        <f t="shared" si="13"/>
        <v>-2332.4811428720523</v>
      </c>
      <c r="I46" s="307">
        <f t="shared" si="13"/>
        <v>-827.33282422661694</v>
      </c>
      <c r="J46" s="307">
        <f t="shared" si="13"/>
        <v>-9.9633900303599248</v>
      </c>
      <c r="K46" s="302">
        <f>SUM(E46:J46)</f>
        <v>42725.663578167092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13950651.000000002</v>
      </c>
      <c r="D48" s="306">
        <f>D41+D46</f>
        <v>13950651.000000002</v>
      </c>
      <c r="E48" s="306">
        <f t="shared" ref="E48:J48" si="14">E41+E46</f>
        <v>5622467.8402051348</v>
      </c>
      <c r="F48" s="307">
        <f t="shared" si="14"/>
        <v>5887514.029769294</v>
      </c>
      <c r="G48" s="307">
        <f t="shared" si="14"/>
        <v>1259001.9708627884</v>
      </c>
      <c r="H48" s="307">
        <f t="shared" si="14"/>
        <v>676110.00037368084</v>
      </c>
      <c r="I48" s="307">
        <f t="shared" si="14"/>
        <v>429382.99681024073</v>
      </c>
      <c r="J48" s="307">
        <f t="shared" si="14"/>
        <v>76174.16197886318</v>
      </c>
      <c r="K48" s="302">
        <f>SUM(E48:J48)</f>
        <v>13950651.000000002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Det'!C22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11.55132297089016</v>
      </c>
      <c r="F52" s="323">
        <f t="shared" si="15"/>
        <v>3.4670272806041715E-2</v>
      </c>
      <c r="G52" s="324">
        <f t="shared" si="15"/>
        <v>2.5866112176628668</v>
      </c>
      <c r="H52" s="324">
        <f t="shared" si="15"/>
        <v>1.3890635215941243</v>
      </c>
      <c r="I52" s="324">
        <f>I48/I50</f>
        <v>207.43139942523706</v>
      </c>
      <c r="J52" s="324">
        <f t="shared" si="15"/>
        <v>36.799112067083662</v>
      </c>
      <c r="K52" s="325">
        <f>I52+J52</f>
        <v>244.23051149232072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244.23051149232072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15.526997710147151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3.4670272806041715E-2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2443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219810873.03510782</v>
      </c>
      <c r="E14" s="300">
        <f>'Allocation ProForma'!N123+'Allocation ProForma'!N124+'Allocation ProForma'!N125</f>
        <v>159263710.98818192</v>
      </c>
      <c r="F14" s="301">
        <f>'Allocation ProForma'!N126</f>
        <v>6072956.2205806039</v>
      </c>
      <c r="G14" s="301">
        <f>'Allocation ProForma'!N135</f>
        <v>31636957.110987555</v>
      </c>
      <c r="H14" s="301">
        <f>'Allocation ProForma'!N145+'Allocation ProForma'!N147+'Allocation ProForma'!N152+'Allocation ProForma'!N141</f>
        <v>21796674.102125369</v>
      </c>
      <c r="I14" s="301">
        <f>'Allocation ProForma'!N146+'Allocation ProForma'!N148+'Allocation ProForma'!N153+'Allocation ProForma'!N157+'Allocation ProForma'!N160+'Allocation ProForma'!N163</f>
        <v>905545.87698769243</v>
      </c>
      <c r="J14" s="301">
        <f>'Allocation ProForma'!N166+'Allocation ProForma'!N169</f>
        <v>135028.73624469747</v>
      </c>
      <c r="K14" s="302">
        <f>SUM(E14:J14)</f>
        <v>219810873.03510785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219810873.03510782</v>
      </c>
      <c r="E16" s="306">
        <f t="shared" ref="E16:K16" si="1">E14+E15</f>
        <v>159263710.98818192</v>
      </c>
      <c r="F16" s="307">
        <f t="shared" si="1"/>
        <v>6072956.2205806039</v>
      </c>
      <c r="G16" s="307">
        <f t="shared" si="1"/>
        <v>31636957.110987555</v>
      </c>
      <c r="H16" s="307">
        <f t="shared" si="1"/>
        <v>21796674.102125369</v>
      </c>
      <c r="I16" s="307">
        <f t="shared" si="1"/>
        <v>905545.87698769243</v>
      </c>
      <c r="J16" s="307">
        <f t="shared" si="1"/>
        <v>135028.73624469747</v>
      </c>
      <c r="K16" s="302">
        <f t="shared" si="1"/>
        <v>219810873.03510785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6.354071556265857E-2</v>
      </c>
      <c r="E18" s="311">
        <f t="shared" ref="E18:J18" si="2">D18</f>
        <v>6.354071556265857E-2</v>
      </c>
      <c r="F18" s="312">
        <f t="shared" si="2"/>
        <v>6.354071556265857E-2</v>
      </c>
      <c r="G18" s="312">
        <f t="shared" si="2"/>
        <v>6.354071556265857E-2</v>
      </c>
      <c r="H18" s="312">
        <f t="shared" si="2"/>
        <v>6.354071556265857E-2</v>
      </c>
      <c r="I18" s="312">
        <f t="shared" si="2"/>
        <v>6.354071556265857E-2</v>
      </c>
      <c r="J18" s="312">
        <f t="shared" si="2"/>
        <v>6.354071556265857E-2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13966940.161103442</v>
      </c>
      <c r="E20" s="306">
        <f t="shared" ref="E20:J20" si="3">E18*E16</f>
        <v>10119730.159353528</v>
      </c>
      <c r="F20" s="307">
        <f t="shared" si="3"/>
        <v>385879.98383639014</v>
      </c>
      <c r="G20" s="307">
        <f t="shared" si="3"/>
        <v>2010234.8930572886</v>
      </c>
      <c r="H20" s="307">
        <f t="shared" si="3"/>
        <v>1384976.2693351144</v>
      </c>
      <c r="I20" s="307">
        <f t="shared" si="3"/>
        <v>57539.032998613169</v>
      </c>
      <c r="J20" s="307">
        <f t="shared" si="3"/>
        <v>8579.8225225095684</v>
      </c>
      <c r="K20" s="302">
        <f>SUM(E20:J20)</f>
        <v>13966940.161103446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5242030.6545326393</v>
      </c>
      <c r="E22" s="306">
        <f t="shared" ref="E22:J22" si="4">(E14/$D$14)*$D$22</f>
        <v>3798107.1801727167</v>
      </c>
      <c r="F22" s="307">
        <f t="shared" si="4"/>
        <v>144827.33375447552</v>
      </c>
      <c r="G22" s="307">
        <f t="shared" si="4"/>
        <v>754475.4119849347</v>
      </c>
      <c r="H22" s="307">
        <f t="shared" si="4"/>
        <v>519805.19540518656</v>
      </c>
      <c r="I22" s="307">
        <f t="shared" si="4"/>
        <v>21595.379612986475</v>
      </c>
      <c r="J22" s="307">
        <f t="shared" si="4"/>
        <v>3220.1536023400172</v>
      </c>
      <c r="K22" s="302">
        <f>SUM(E22:J22)</f>
        <v>5242030.6545326402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8724909.506570803</v>
      </c>
      <c r="E24" s="306">
        <f t="shared" ref="E24:J24" si="5">E20-E22</f>
        <v>6321622.979180811</v>
      </c>
      <c r="F24" s="307">
        <f t="shared" si="5"/>
        <v>241052.65008191462</v>
      </c>
      <c r="G24" s="307">
        <f t="shared" si="5"/>
        <v>1255759.4810723539</v>
      </c>
      <c r="H24" s="307">
        <f t="shared" si="5"/>
        <v>865171.07392992778</v>
      </c>
      <c r="I24" s="307">
        <f t="shared" si="5"/>
        <v>35943.653385626691</v>
      </c>
      <c r="J24" s="307">
        <f t="shared" si="5"/>
        <v>5359.6689201695517</v>
      </c>
      <c r="K24" s="302">
        <f>SUM(E24:J24)</f>
        <v>8724909.506570803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6292062.8259227509</v>
      </c>
      <c r="E26" s="306">
        <f t="shared" ref="E26:J26" si="6">$D$26*(E24/$K$24)</f>
        <v>4558906.7619379815</v>
      </c>
      <c r="F26" s="307">
        <f t="shared" si="6"/>
        <v>173837.72491030724</v>
      </c>
      <c r="G26" s="307">
        <f t="shared" si="6"/>
        <v>905604.52726814558</v>
      </c>
      <c r="H26" s="307">
        <f t="shared" si="6"/>
        <v>623927.47434669186</v>
      </c>
      <c r="I26" s="307">
        <f t="shared" si="6"/>
        <v>25921.154268159607</v>
      </c>
      <c r="J26" s="307">
        <f t="shared" si="6"/>
        <v>3865.1831914651962</v>
      </c>
      <c r="K26" s="302">
        <f>SUM(E26:J26)</f>
        <v>6292062.8259227509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68032729.816723764</v>
      </c>
      <c r="E28" s="306">
        <f>'Allocation ProForma'!N180+'Allocation ProForma'!N181+'Allocation ProForma'!N182</f>
        <v>8431855.9647117928</v>
      </c>
      <c r="F28" s="307">
        <f>'Allocation ProForma'!N183</f>
        <v>54091558.675177142</v>
      </c>
      <c r="G28" s="307">
        <f>'Allocation ProForma'!N192</f>
        <v>2683242.5898693544</v>
      </c>
      <c r="H28" s="307">
        <f>'Allocation ProForma'!N198+'Allocation ProForma'!N202+'Allocation ProForma'!N204+'Allocation ProForma'!N209</f>
        <v>1505513.7133799214</v>
      </c>
      <c r="I28" s="307">
        <f>'Allocation ProForma'!N203+'Allocation ProForma'!N205+'Allocation ProForma'!N210+'Allocation ProForma'!N214+'Allocation ProForma'!N217</f>
        <v>199233.91706715035</v>
      </c>
      <c r="J28" s="307">
        <f>'Allocation ProForma'!N223+'Allocation ProForma'!N226</f>
        <v>1121324.9565184</v>
      </c>
      <c r="K28" s="302">
        <f>SUM(E28:J28)</f>
        <v>68032729.816723764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14476032.479302654</v>
      </c>
      <c r="E29" s="306">
        <f>'Allocation ProForma'!N300</f>
        <v>11835070.536590599</v>
      </c>
      <c r="F29" s="307">
        <v>0</v>
      </c>
      <c r="G29" s="307">
        <f>'Allocation ProForma'!N306</f>
        <v>1466226.6129614161</v>
      </c>
      <c r="H29" s="307">
        <f>'Allocation ProForma'!N312+'Allocation ProForma'!N316+'Allocation ProForma'!N318+'Allocation ProForma'!N323</f>
        <v>1128721.4230847573</v>
      </c>
      <c r="I29" s="307">
        <f>'Allocation ProForma'!N317+'Allocation ProForma'!N319+'Allocation ProForma'!N324+'Allocation ProForma'!N328+'Allocation ProForma'!N331</f>
        <v>46013.906665881979</v>
      </c>
      <c r="J29" s="307">
        <v>0</v>
      </c>
      <c r="K29" s="302">
        <f>SUM(E29:J29)</f>
        <v>14476032.479302654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2302778.6249316363</v>
      </c>
      <c r="E30" s="306">
        <f>'Allocation ProForma'!N414+'Allocation ProForma'!N471+'Allocation ProForma'!N357</f>
        <v>1763434.8732701254</v>
      </c>
      <c r="F30" s="307">
        <f>'Allocation ProForma'!N529</f>
        <v>0</v>
      </c>
      <c r="G30" s="307">
        <f>'Allocation ProForma'!N420+'Allocation ProForma'!N477+'Allocation ProForma'!N363</f>
        <v>309531.01805829781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220811.06198677039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9001.6716164432837</v>
      </c>
      <c r="J30" s="307">
        <v>0</v>
      </c>
      <c r="K30" s="302">
        <f>SUM(E30:J30)</f>
        <v>2302778.6249316372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25766.003469010015</v>
      </c>
      <c r="E36" s="306">
        <f t="shared" ref="E36:J36" si="9">(E14/($D$14)*$D$36)</f>
        <v>18668.727680061056</v>
      </c>
      <c r="F36" s="307">
        <f t="shared" si="9"/>
        <v>711.86565471505924</v>
      </c>
      <c r="G36" s="307">
        <f t="shared" si="9"/>
        <v>3708.4514310646991</v>
      </c>
      <c r="H36" s="307">
        <f t="shared" si="9"/>
        <v>2554.9836219364047</v>
      </c>
      <c r="I36" s="307">
        <f t="shared" si="9"/>
        <v>106.14715225704965</v>
      </c>
      <c r="J36" s="307">
        <f t="shared" si="9"/>
        <v>15.827928975748298</v>
      </c>
      <c r="K36" s="302">
        <f t="shared" si="8"/>
        <v>25766.003469010018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0</v>
      </c>
      <c r="E37" s="306">
        <f>-'Allocation ProForma'!N802-'Allocation ProForma'!$N$803*(E14/$D$14)</f>
        <v>0</v>
      </c>
      <c r="F37" s="383">
        <f>-'Allocation ProForma'!$N$803*(F14/$D$14)</f>
        <v>0</v>
      </c>
      <c r="G37" s="383">
        <f>-'Allocation ProForma'!$N$803*(G14/$D$14)</f>
        <v>0</v>
      </c>
      <c r="H37" s="383">
        <f>-'Allocation ProForma'!$N$803*(H14/$D$14)</f>
        <v>0</v>
      </c>
      <c r="I37" s="383">
        <f>-'Allocation ProForma'!$N$803*(I14/$D$14)</f>
        <v>0</v>
      </c>
      <c r="J37" s="383">
        <f>-'Allocation ProForma'!$N$803*(J14/$D$14)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25766.003469010015</v>
      </c>
      <c r="E39" s="306">
        <f t="shared" si="10"/>
        <v>18668.727680061056</v>
      </c>
      <c r="F39" s="307">
        <f t="shared" si="10"/>
        <v>711.86565471505924</v>
      </c>
      <c r="G39" s="307">
        <f t="shared" si="10"/>
        <v>3708.4514310646991</v>
      </c>
      <c r="H39" s="307">
        <f t="shared" si="10"/>
        <v>2554.9836219364047</v>
      </c>
      <c r="I39" s="307">
        <f t="shared" si="10"/>
        <v>106.14715225704965</v>
      </c>
      <c r="J39" s="307">
        <f t="shared" si="10"/>
        <v>15.827928975748298</v>
      </c>
      <c r="K39" s="302">
        <f t="shared" si="8"/>
        <v>25766.003469010018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105096309.91145326</v>
      </c>
      <c r="E41" s="306">
        <f t="shared" ref="E41:J41" si="11">SUM(E28:E31)+E22+E26+E39+E24</f>
        <v>36727667.023544081</v>
      </c>
      <c r="F41" s="307">
        <f t="shared" si="11"/>
        <v>54651988.24957855</v>
      </c>
      <c r="G41" s="307">
        <f t="shared" si="11"/>
        <v>7378548.0926455669</v>
      </c>
      <c r="H41" s="307">
        <f t="shared" si="11"/>
        <v>4866504.9257551916</v>
      </c>
      <c r="I41" s="307">
        <f t="shared" si="11"/>
        <v>337815.82976850541</v>
      </c>
      <c r="J41" s="307">
        <f t="shared" si="11"/>
        <v>1133785.7901613505</v>
      </c>
      <c r="K41" s="302">
        <f>SUM(E41:J41)</f>
        <v>105096309.91145326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1339406.716512531</v>
      </c>
      <c r="E43" s="306">
        <f>D43</f>
        <v>1339406.716512531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1339406.716512531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-711456.62828881259</v>
      </c>
      <c r="E44" s="306">
        <v>0</v>
      </c>
      <c r="F44" s="307">
        <f>D44</f>
        <v>-711456.62828881259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-711456.62828881259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-242304.99967699393</v>
      </c>
      <c r="E45" s="306">
        <f t="shared" ref="E45:J45" si="12">(E14/($D$14)*$D$45)</f>
        <v>-175561.80413961908</v>
      </c>
      <c r="F45" s="307">
        <f t="shared" si="12"/>
        <v>-6694.4261434745076</v>
      </c>
      <c r="G45" s="307">
        <f t="shared" si="12"/>
        <v>-34874.493589471087</v>
      </c>
      <c r="H45" s="307">
        <f t="shared" si="12"/>
        <v>-24027.215025125195</v>
      </c>
      <c r="I45" s="307">
        <f t="shared" si="12"/>
        <v>-998.21401189722258</v>
      </c>
      <c r="J45" s="307">
        <f t="shared" si="12"/>
        <v>-148.84676740686359</v>
      </c>
      <c r="K45" s="302">
        <f>SUM(E45:J45)</f>
        <v>-242304.99967699393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385645.08854672452</v>
      </c>
      <c r="E46" s="306">
        <f t="shared" ref="E46:J46" si="13">SUM(E43:E45)</f>
        <v>1163844.912372912</v>
      </c>
      <c r="F46" s="307">
        <f t="shared" si="13"/>
        <v>-718151.05443228711</v>
      </c>
      <c r="G46" s="307">
        <f t="shared" si="13"/>
        <v>-34874.493589471087</v>
      </c>
      <c r="H46" s="307">
        <f t="shared" si="13"/>
        <v>-24027.215025125195</v>
      </c>
      <c r="I46" s="307">
        <f t="shared" si="13"/>
        <v>-998.21401189722258</v>
      </c>
      <c r="J46" s="307">
        <f t="shared" si="13"/>
        <v>-148.84676740686359</v>
      </c>
      <c r="K46" s="302">
        <f>SUM(E46:J46)</f>
        <v>385645.08854672458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105481955</v>
      </c>
      <c r="D48" s="306">
        <f>D41+D46</f>
        <v>105481954.99999999</v>
      </c>
      <c r="E48" s="306">
        <f t="shared" ref="E48:J48" si="14">E41+E46</f>
        <v>37891511.93591699</v>
      </c>
      <c r="F48" s="307">
        <f t="shared" si="14"/>
        <v>53933837.195146263</v>
      </c>
      <c r="G48" s="307">
        <f t="shared" si="14"/>
        <v>7343673.5990560958</v>
      </c>
      <c r="H48" s="307">
        <f t="shared" si="14"/>
        <v>4842477.7107300665</v>
      </c>
      <c r="I48" s="307">
        <f t="shared" si="14"/>
        <v>336817.6157566082</v>
      </c>
      <c r="J48" s="307">
        <f t="shared" si="14"/>
        <v>1133636.9433939436</v>
      </c>
      <c r="K48" s="302">
        <f>SUM(E48:J48)</f>
        <v>105481954.99999996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Det'!C24</f>
        <v>1531632715.563</v>
      </c>
      <c r="G50" s="318">
        <v>5210823</v>
      </c>
      <c r="H50" s="318">
        <f>G50</f>
        <v>5210823</v>
      </c>
      <c r="I50" s="318">
        <f>'Allocation ProForma'!N848</f>
        <v>6243</v>
      </c>
      <c r="J50" s="318">
        <f>I50</f>
        <v>6243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9.6936112047219716</v>
      </c>
      <c r="F52" s="323">
        <f t="shared" si="15"/>
        <v>3.5213296665135008E-2</v>
      </c>
      <c r="G52" s="324">
        <f t="shared" si="15"/>
        <v>1.4093116574975</v>
      </c>
      <c r="H52" s="324">
        <f t="shared" si="15"/>
        <v>0.92931149469672381</v>
      </c>
      <c r="I52" s="324">
        <f>I48/I50</f>
        <v>53.95124391424126</v>
      </c>
      <c r="J52" s="324">
        <f t="shared" si="15"/>
        <v>181.58528646387052</v>
      </c>
      <c r="K52" s="325">
        <f>I52+J52</f>
        <v>235.53653037811176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235.53653037811176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12.032234356916195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3.5213296665135008E-2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2447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545071081.68977427</v>
      </c>
      <c r="E14" s="300">
        <f>'Allocation ProForma'!O123+'Allocation ProForma'!O124+'Allocation ProForma'!O125</f>
        <v>400378226.12815493</v>
      </c>
      <c r="F14" s="301">
        <f>'Allocation ProForma'!O126</f>
        <v>15927713.238484414</v>
      </c>
      <c r="G14" s="301">
        <f>'Allocation ProForma'!O135</f>
        <v>83273937.906369269</v>
      </c>
      <c r="H14" s="301">
        <f>'Allocation ProForma'!O145+'Allocation ProForma'!O147+'Allocation ProForma'!O152+'Allocation ProForma'!O141</f>
        <v>43809007.132623091</v>
      </c>
      <c r="I14" s="301">
        <f>'Allocation ProForma'!O146+'Allocation ProForma'!O148+'Allocation ProForma'!O153+'Allocation ProForma'!O157+'Allocation ProForma'!O160+'Allocation ProForma'!O163</f>
        <v>1610268.5150275636</v>
      </c>
      <c r="J14" s="301">
        <f>'Allocation ProForma'!O166+'Allocation ProForma'!O169</f>
        <v>71928.769114963856</v>
      </c>
      <c r="K14" s="302">
        <f>SUM(E14:J14)</f>
        <v>545071081.68977427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545071081.68977427</v>
      </c>
      <c r="E16" s="306">
        <f t="shared" ref="E16:K16" si="1">E14+E15</f>
        <v>400378226.12815493</v>
      </c>
      <c r="F16" s="307">
        <f t="shared" si="1"/>
        <v>15927713.238484414</v>
      </c>
      <c r="G16" s="307">
        <f t="shared" si="1"/>
        <v>83273937.906369269</v>
      </c>
      <c r="H16" s="307">
        <f t="shared" si="1"/>
        <v>43809007.132623091</v>
      </c>
      <c r="I16" s="307">
        <f t="shared" si="1"/>
        <v>1610268.5150275636</v>
      </c>
      <c r="J16" s="307">
        <f t="shared" si="1"/>
        <v>71928.769114963856</v>
      </c>
      <c r="K16" s="302">
        <f t="shared" si="1"/>
        <v>545071081.68977427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4.6101430801337794E-2</v>
      </c>
      <c r="E18" s="311">
        <f t="shared" ref="E18:J18" si="2">D18</f>
        <v>4.6101430801337794E-2</v>
      </c>
      <c r="F18" s="312">
        <f t="shared" si="2"/>
        <v>4.6101430801337794E-2</v>
      </c>
      <c r="G18" s="312">
        <f t="shared" si="2"/>
        <v>4.6101430801337794E-2</v>
      </c>
      <c r="H18" s="312">
        <f t="shared" si="2"/>
        <v>4.6101430801337794E-2</v>
      </c>
      <c r="I18" s="312">
        <f t="shared" si="2"/>
        <v>4.6101430801337794E-2</v>
      </c>
      <c r="J18" s="312">
        <f t="shared" si="2"/>
        <v>4.6101430801337794E-2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25128556.75433147</v>
      </c>
      <c r="E20" s="306">
        <f t="shared" ref="E20:J20" si="3">E18*E16</f>
        <v>18458009.08620951</v>
      </c>
      <c r="F20" s="307">
        <f t="shared" si="3"/>
        <v>734290.36968754116</v>
      </c>
      <c r="G20" s="307">
        <f t="shared" si="3"/>
        <v>3839047.6859453833</v>
      </c>
      <c r="H20" s="307">
        <f t="shared" si="3"/>
        <v>2019657.9107999373</v>
      </c>
      <c r="I20" s="307">
        <f t="shared" si="3"/>
        <v>74235.682517116191</v>
      </c>
      <c r="J20" s="307">
        <f t="shared" si="3"/>
        <v>3316.0191719789091</v>
      </c>
      <c r="K20" s="302">
        <f>SUM(E20:J20)</f>
        <v>25128556.75433147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12990733.826095901</v>
      </c>
      <c r="E22" s="306">
        <f t="shared" ref="E22:J22" si="4">(E14/$D$14)*$D$22</f>
        <v>9542254.4694006518</v>
      </c>
      <c r="F22" s="307">
        <f t="shared" si="4"/>
        <v>379606.7890780138</v>
      </c>
      <c r="G22" s="307">
        <f t="shared" si="4"/>
        <v>1984676.1245135707</v>
      </c>
      <c r="H22" s="307">
        <f t="shared" si="4"/>
        <v>1044104.4663039957</v>
      </c>
      <c r="I22" s="307">
        <f t="shared" si="4"/>
        <v>38377.691222246001</v>
      </c>
      <c r="J22" s="307">
        <f t="shared" si="4"/>
        <v>1714.2855774231271</v>
      </c>
      <c r="K22" s="302">
        <f>SUM(E22:J22)</f>
        <v>12990733.826095901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12137822.928235568</v>
      </c>
      <c r="E24" s="306">
        <f t="shared" ref="E24:J24" si="5">E20-E22</f>
        <v>8915754.6168088578</v>
      </c>
      <c r="F24" s="307">
        <f t="shared" si="5"/>
        <v>354683.58060952736</v>
      </c>
      <c r="G24" s="307">
        <f t="shared" si="5"/>
        <v>1854371.5614318126</v>
      </c>
      <c r="H24" s="307">
        <f t="shared" si="5"/>
        <v>975553.44449594163</v>
      </c>
      <c r="I24" s="307">
        <f t="shared" si="5"/>
        <v>35857.991294870189</v>
      </c>
      <c r="J24" s="307">
        <f t="shared" si="5"/>
        <v>1601.733594555782</v>
      </c>
      <c r="K24" s="302">
        <f>SUM(E24:J24)</f>
        <v>12137822.928235564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8762901.0316944253</v>
      </c>
      <c r="E26" s="306">
        <f t="shared" ref="E26:J26" si="6">$D$26*(E24/$K$24)</f>
        <v>6436728.8756720945</v>
      </c>
      <c r="F26" s="307">
        <f t="shared" si="6"/>
        <v>256063.80426082789</v>
      </c>
      <c r="G26" s="307">
        <f t="shared" si="6"/>
        <v>1338763.5134316296</v>
      </c>
      <c r="H26" s="307">
        <f t="shared" si="6"/>
        <v>704300.79065993021</v>
      </c>
      <c r="I26" s="307">
        <f t="shared" si="6"/>
        <v>25887.676131883134</v>
      </c>
      <c r="J26" s="307">
        <f t="shared" si="6"/>
        <v>1156.3715380607241</v>
      </c>
      <c r="K26" s="302">
        <f>SUM(E26:J26)</f>
        <v>8762901.0316944271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175040338.85430616</v>
      </c>
      <c r="E28" s="306">
        <f>'Allocation ProForma'!O180+'Allocation ProForma'!O181+'Allocation ProForma'!O182</f>
        <v>21197117.115837637</v>
      </c>
      <c r="F28" s="307">
        <f>'Allocation ProForma'!O183</f>
        <v>141867453.65974441</v>
      </c>
      <c r="G28" s="307">
        <f>'Allocation ProForma'!O192</f>
        <v>7062758.1544150347</v>
      </c>
      <c r="H28" s="307">
        <f>'Allocation ProForma'!O198+'Allocation ProForma'!O202+'Allocation ProForma'!O204+'Allocation ProForma'!O209</f>
        <v>3753409.9810934709</v>
      </c>
      <c r="I28" s="307">
        <f>'Allocation ProForma'!O203+'Allocation ProForma'!O205+'Allocation ProForma'!O210+'Allocation ProForma'!O214+'Allocation ProForma'!O217</f>
        <v>562278.76445484068</v>
      </c>
      <c r="J28" s="307">
        <f>'Allocation ProForma'!O223+'Allocation ProForma'!O226</f>
        <v>597321.17876076314</v>
      </c>
      <c r="K28" s="302">
        <f>SUM(E28:J28)</f>
        <v>175040338.85430616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35957290.852767274</v>
      </c>
      <c r="E29" s="306">
        <f>'Allocation ProForma'!O300</f>
        <v>29752568.982229434</v>
      </c>
      <c r="F29" s="307">
        <v>0</v>
      </c>
      <c r="G29" s="307">
        <f>'Allocation ProForma'!O306</f>
        <v>3859361.8057537572</v>
      </c>
      <c r="H29" s="307">
        <f>'Allocation ProForma'!O312+'Allocation ProForma'!O316+'Allocation ProForma'!O318+'Allocation ProForma'!O323</f>
        <v>2264887.9105538023</v>
      </c>
      <c r="I29" s="307">
        <f>'Allocation ProForma'!O317+'Allocation ProForma'!O319+'Allocation ProForma'!O324+'Allocation ProForma'!O328+'Allocation ProForma'!O331</f>
        <v>80472.154230282293</v>
      </c>
      <c r="J29" s="307">
        <v>0</v>
      </c>
      <c r="K29" s="302">
        <f>SUM(E29:J29)</f>
        <v>35957290.852767281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5706716.7569963625</v>
      </c>
      <c r="E30" s="306">
        <f>'Allocation ProForma'!O414+'Allocation ProForma'!O471+'Allocation ProForma'!O357</f>
        <v>4433156.3171023428</v>
      </c>
      <c r="F30" s="307">
        <f>'Allocation ProForma'!O529</f>
        <v>0</v>
      </c>
      <c r="G30" s="307">
        <f>'Allocation ProForma'!O420+'Allocation ProForma'!O477+'Allocation ProForma'!O363</f>
        <v>814739.12574638752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443078.59723579313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15742.716911839367</v>
      </c>
      <c r="J30" s="307">
        <v>0</v>
      </c>
      <c r="K30" s="302">
        <f>SUM(E30:J30)</f>
        <v>5706716.7569963634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49166.549846362293</v>
      </c>
      <c r="E36" s="306">
        <f t="shared" ref="E36:J36" si="9">(E14/($D$14)*$D$36)</f>
        <v>36114.952111019957</v>
      </c>
      <c r="F36" s="307">
        <f t="shared" si="9"/>
        <v>1436.7129961303174</v>
      </c>
      <c r="G36" s="307">
        <f t="shared" si="9"/>
        <v>7511.4831010364232</v>
      </c>
      <c r="H36" s="307">
        <f t="shared" si="9"/>
        <v>3951.6639301948185</v>
      </c>
      <c r="I36" s="307">
        <f t="shared" si="9"/>
        <v>145.24958279696563</v>
      </c>
      <c r="J36" s="307">
        <f t="shared" si="9"/>
        <v>6.4881251838106841</v>
      </c>
      <c r="K36" s="302">
        <f t="shared" si="8"/>
        <v>49166.549846362286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0</v>
      </c>
      <c r="E37" s="306">
        <f>-'Allocation ProForma'!O802-'Allocation ProForma'!$O$803*(E14/$D$14)</f>
        <v>0</v>
      </c>
      <c r="F37" s="383">
        <f>-'Allocation ProForma'!$O$803*(F14/$D$14)</f>
        <v>0</v>
      </c>
      <c r="G37" s="383">
        <f>-'Allocation ProForma'!$O$803*(G14/$D$14)</f>
        <v>0</v>
      </c>
      <c r="H37" s="383">
        <f>-'Allocation ProForma'!$O$803*(H14/$D$14)</f>
        <v>0</v>
      </c>
      <c r="I37" s="383">
        <f>-'Allocation ProForma'!$O$803*(I14/$D$14)</f>
        <v>0</v>
      </c>
      <c r="J37" s="383">
        <f>-'Allocation ProForma'!$O$803*(J14/$D$14)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49166.549846362293</v>
      </c>
      <c r="E39" s="306">
        <f t="shared" si="10"/>
        <v>36114.952111019957</v>
      </c>
      <c r="F39" s="307">
        <f t="shared" si="10"/>
        <v>1436.7129961303174</v>
      </c>
      <c r="G39" s="307">
        <f t="shared" si="10"/>
        <v>7511.4831010364232</v>
      </c>
      <c r="H39" s="307">
        <f t="shared" si="10"/>
        <v>3951.6639301948185</v>
      </c>
      <c r="I39" s="307">
        <f t="shared" si="10"/>
        <v>145.24958279696563</v>
      </c>
      <c r="J39" s="307">
        <f t="shared" si="10"/>
        <v>6.4881251838106841</v>
      </c>
      <c r="K39" s="302">
        <f t="shared" si="8"/>
        <v>49166.549846362286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250644970.79994205</v>
      </c>
      <c r="E41" s="306">
        <f t="shared" ref="E41:J41" si="11">SUM(E28:E31)+E22+E26+E39+E24</f>
        <v>80313695.329162046</v>
      </c>
      <c r="F41" s="307">
        <f t="shared" si="11"/>
        <v>142859244.54668891</v>
      </c>
      <c r="G41" s="307">
        <f t="shared" si="11"/>
        <v>16922181.76839323</v>
      </c>
      <c r="H41" s="307">
        <f t="shared" si="11"/>
        <v>9189286.8542731293</v>
      </c>
      <c r="I41" s="307">
        <f t="shared" si="11"/>
        <v>758762.2438287586</v>
      </c>
      <c r="J41" s="307">
        <f t="shared" si="11"/>
        <v>601800.05759598664</v>
      </c>
      <c r="K41" s="302">
        <f>SUM(E41:J41)</f>
        <v>250644970.79994211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3367178.1342657343</v>
      </c>
      <c r="E43" s="306">
        <f>D43</f>
        <v>3367178.1342657343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3367178.1342657343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-1865957.3271087771</v>
      </c>
      <c r="E44" s="306">
        <v>0</v>
      </c>
      <c r="F44" s="307">
        <f>D44</f>
        <v>-1865957.3271087771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-1865957.3271087771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-584294.60709901282</v>
      </c>
      <c r="E45" s="306">
        <f t="shared" ref="E45:J45" si="12">(E14/($D$14)*$D$45)</f>
        <v>-429189.59780679701</v>
      </c>
      <c r="F45" s="307">
        <f t="shared" si="12"/>
        <v>-17073.877630445917</v>
      </c>
      <c r="G45" s="307">
        <f t="shared" si="12"/>
        <v>-89266.362617788531</v>
      </c>
      <c r="H45" s="307">
        <f t="shared" si="12"/>
        <v>-46961.52019402587</v>
      </c>
      <c r="I45" s="307">
        <f t="shared" si="12"/>
        <v>-1726.1440588540254</v>
      </c>
      <c r="J45" s="307">
        <f t="shared" si="12"/>
        <v>-77.104791101471974</v>
      </c>
      <c r="K45" s="302">
        <f>SUM(E45:J45)</f>
        <v>-584294.6070990127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916926.2000579444</v>
      </c>
      <c r="E46" s="306">
        <f t="shared" ref="E46:J46" si="13">SUM(E43:E45)</f>
        <v>2937988.5364589375</v>
      </c>
      <c r="F46" s="307">
        <f t="shared" si="13"/>
        <v>-1883031.204739223</v>
      </c>
      <c r="G46" s="307">
        <f t="shared" si="13"/>
        <v>-89266.362617788531</v>
      </c>
      <c r="H46" s="307">
        <f t="shared" si="13"/>
        <v>-46961.52019402587</v>
      </c>
      <c r="I46" s="307">
        <f t="shared" si="13"/>
        <v>-1726.1440588540254</v>
      </c>
      <c r="J46" s="307">
        <f t="shared" si="13"/>
        <v>-77.104791101471974</v>
      </c>
      <c r="K46" s="302">
        <f>SUM(E46:J46)</f>
        <v>916926.20005794475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251561897.00000003</v>
      </c>
      <c r="D48" s="306">
        <f>D41+D46</f>
        <v>251561897</v>
      </c>
      <c r="E48" s="306">
        <f t="shared" ref="E48:J48" si="14">E41+E46</f>
        <v>83251683.865620986</v>
      </c>
      <c r="F48" s="307">
        <f t="shared" si="14"/>
        <v>140976213.3419497</v>
      </c>
      <c r="G48" s="307">
        <f t="shared" si="14"/>
        <v>16832915.405775443</v>
      </c>
      <c r="H48" s="307">
        <f t="shared" si="14"/>
        <v>9142325.3340791035</v>
      </c>
      <c r="I48" s="307">
        <f t="shared" si="14"/>
        <v>757036.09976990463</v>
      </c>
      <c r="J48" s="307">
        <f t="shared" si="14"/>
        <v>601722.95280488522</v>
      </c>
      <c r="K48" s="302">
        <f>SUM(E48:J48)</f>
        <v>251561897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Det'!C26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9.2815556604605796</v>
      </c>
      <c r="F52" s="323">
        <f t="shared" si="15"/>
        <v>3.4234138401028492E-2</v>
      </c>
      <c r="G52" s="385">
        <f t="shared" si="15"/>
        <v>1.5429967236729907</v>
      </c>
      <c r="H52" s="385">
        <f t="shared" si="15"/>
        <v>0.83803534308718808</v>
      </c>
      <c r="I52" s="324">
        <f>I48/I50</f>
        <v>228.16036762203274</v>
      </c>
      <c r="J52" s="324">
        <f t="shared" si="15"/>
        <v>181.35110090563148</v>
      </c>
      <c r="K52" s="325">
        <f>I52+J52</f>
        <v>409.51146852766419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409.51146852766419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11.662587727220759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3.4234138401028492E-2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2448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178124330.85424313</v>
      </c>
      <c r="E14" s="300">
        <f>'Allocation ProForma'!P123+'Allocation ProForma'!P124+'Allocation ProForma'!P125</f>
        <v>138865089.29906428</v>
      </c>
      <c r="F14" s="301">
        <f>'Allocation ProForma'!P126</f>
        <v>5672395.0788841015</v>
      </c>
      <c r="G14" s="301">
        <f>'Allocation ProForma'!P135</f>
        <v>32565742.143474925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1014872.2373008315</v>
      </c>
      <c r="J14" s="301">
        <f>'Allocation ProForma'!P166+'Allocation ProForma'!P169</f>
        <v>6232.0955189860379</v>
      </c>
      <c r="K14" s="302">
        <f>SUM(E14:J14)</f>
        <v>178124330.85424313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178124330.85424313</v>
      </c>
      <c r="E16" s="306">
        <f t="shared" ref="E16:K16" si="1">E14+E15</f>
        <v>138865089.29906428</v>
      </c>
      <c r="F16" s="307">
        <f t="shared" si="1"/>
        <v>5672395.0788841015</v>
      </c>
      <c r="G16" s="307">
        <f t="shared" si="1"/>
        <v>32565742.143474925</v>
      </c>
      <c r="H16" s="307">
        <f t="shared" si="1"/>
        <v>0</v>
      </c>
      <c r="I16" s="307">
        <f t="shared" si="1"/>
        <v>1014872.2373008315</v>
      </c>
      <c r="J16" s="307">
        <f t="shared" si="1"/>
        <v>6232.0955189860379</v>
      </c>
      <c r="K16" s="302">
        <f t="shared" si="1"/>
        <v>178124330.85424313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4.7689890419091767E-2</v>
      </c>
      <c r="E18" s="311">
        <f t="shared" ref="E18:J18" si="2">D18</f>
        <v>4.7689890419091767E-2</v>
      </c>
      <c r="F18" s="312">
        <f t="shared" si="2"/>
        <v>4.7689890419091767E-2</v>
      </c>
      <c r="G18" s="312">
        <f t="shared" si="2"/>
        <v>4.7689890419091767E-2</v>
      </c>
      <c r="H18" s="312">
        <f t="shared" si="2"/>
        <v>4.7689890419091767E-2</v>
      </c>
      <c r="I18" s="312">
        <f t="shared" si="2"/>
        <v>4.7689890419091767E-2</v>
      </c>
      <c r="J18" s="312">
        <f t="shared" si="2"/>
        <v>4.7689890419091767E-2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8494729.819412902</v>
      </c>
      <c r="E20" s="306">
        <f t="shared" ref="E20:J20" si="3">E18*E16</f>
        <v>6622460.8917097682</v>
      </c>
      <c r="F20" s="307">
        <f t="shared" si="3"/>
        <v>270515.8997257782</v>
      </c>
      <c r="G20" s="307">
        <f t="shared" si="3"/>
        <v>1553056.6742387179</v>
      </c>
      <c r="H20" s="307">
        <f t="shared" si="3"/>
        <v>0</v>
      </c>
      <c r="I20" s="307">
        <f t="shared" si="3"/>
        <v>48399.145786255147</v>
      </c>
      <c r="J20" s="307">
        <f t="shared" si="3"/>
        <v>297.20795238175697</v>
      </c>
      <c r="K20" s="302">
        <f>SUM(E20:J20)</f>
        <v>8494729.819412902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4247941.2626277944</v>
      </c>
      <c r="E22" s="306">
        <f t="shared" ref="E22:J22" si="4">(E14/$D$14)*$D$22</f>
        <v>3311679.7685246523</v>
      </c>
      <c r="F22" s="307">
        <f t="shared" si="4"/>
        <v>135276.30390502952</v>
      </c>
      <c r="G22" s="307">
        <f t="shared" si="4"/>
        <v>776633.7093642964</v>
      </c>
      <c r="H22" s="307">
        <f t="shared" si="4"/>
        <v>0</v>
      </c>
      <c r="I22" s="307">
        <f t="shared" si="4"/>
        <v>24202.856692572343</v>
      </c>
      <c r="J22" s="307">
        <f t="shared" si="4"/>
        <v>148.62414124323959</v>
      </c>
      <c r="K22" s="302">
        <f>SUM(E22:J22)</f>
        <v>4247941.2626277935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4246788.5567851076</v>
      </c>
      <c r="E24" s="306">
        <f t="shared" ref="E24:J24" si="5">E20-E22</f>
        <v>3310781.1231851159</v>
      </c>
      <c r="F24" s="307">
        <f t="shared" si="5"/>
        <v>135239.59582074868</v>
      </c>
      <c r="G24" s="307">
        <f t="shared" si="5"/>
        <v>776422.96487442148</v>
      </c>
      <c r="H24" s="307">
        <f t="shared" si="5"/>
        <v>0</v>
      </c>
      <c r="I24" s="307">
        <f t="shared" si="5"/>
        <v>24196.289093682804</v>
      </c>
      <c r="J24" s="307">
        <f t="shared" si="5"/>
        <v>148.58381113851738</v>
      </c>
      <c r="K24" s="302">
        <f>SUM(E24:J24)</f>
        <v>4246788.5567851076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3062945.0374438888</v>
      </c>
      <c r="E26" s="306">
        <f t="shared" ref="E26:J26" si="6">$D$26*(E24/$K$24)</f>
        <v>2387860.9626374878</v>
      </c>
      <c r="F26" s="307">
        <f t="shared" si="6"/>
        <v>97539.927723328859</v>
      </c>
      <c r="G26" s="307">
        <f t="shared" si="6"/>
        <v>559985.70105874876</v>
      </c>
      <c r="H26" s="307">
        <f t="shared" si="6"/>
        <v>0</v>
      </c>
      <c r="I26" s="307">
        <f t="shared" si="6"/>
        <v>17451.281742210736</v>
      </c>
      <c r="J26" s="307">
        <f t="shared" si="6"/>
        <v>107.16428211244487</v>
      </c>
      <c r="K26" s="302">
        <f>SUM(E26:J26)</f>
        <v>3062945.0374438888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61065442.523790225</v>
      </c>
      <c r="E28" s="306">
        <f>'Allocation ProForma'!P180+'Allocation ProForma'!P181+'Allocation ProForma'!P182</f>
        <v>7351897.2038987363</v>
      </c>
      <c r="F28" s="307">
        <f>'Allocation ProForma'!P183</f>
        <v>50523777.892294951</v>
      </c>
      <c r="G28" s="307">
        <f>'Allocation ProForma'!P192</f>
        <v>2762016.1440787688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375997.82398614852</v>
      </c>
      <c r="J28" s="307">
        <f>'Allocation ProForma'!P223+'Allocation ProForma'!P226</f>
        <v>51753.459531618471</v>
      </c>
      <c r="K28" s="302">
        <f>SUM(E28:J28)</f>
        <v>61065442.523790225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11879066.597491371</v>
      </c>
      <c r="E29" s="306">
        <f>'Allocation ProForma'!P300</f>
        <v>10319225.369841669</v>
      </c>
      <c r="F29" s="307">
        <v>0</v>
      </c>
      <c r="G29" s="307">
        <f>'Allocation ProForma'!P306</f>
        <v>1509271.5027583637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50569.724891339334</v>
      </c>
      <c r="J29" s="307">
        <v>0</v>
      </c>
      <c r="K29" s="302">
        <f>SUM(E29:J29)</f>
        <v>11879066.597491371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1866083.7725330945</v>
      </c>
      <c r="E30" s="306">
        <f>'Allocation ProForma'!P414+'Allocation ProForma'!P471+'Allocation ProForma'!P357</f>
        <v>1537572.7441633658</v>
      </c>
      <c r="F30" s="307">
        <f>'Allocation ProForma'!P529</f>
        <v>0</v>
      </c>
      <c r="G30" s="307">
        <f>'Allocation ProForma'!P420+'Allocation ProForma'!P477+'Allocation ProForma'!P363</f>
        <v>318618.10489963251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9892.9234700960878</v>
      </c>
      <c r="J30" s="307">
        <v>0</v>
      </c>
      <c r="K30" s="302">
        <f>SUM(E30:J30)</f>
        <v>1866083.7725330945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12996.964957104799</v>
      </c>
      <c r="E36" s="306">
        <f t="shared" ref="E36:J36" si="9">(E14/($D$14)*$D$36)</f>
        <v>10132.387252935323</v>
      </c>
      <c r="F36" s="307">
        <f t="shared" si="9"/>
        <v>413.89022886175911</v>
      </c>
      <c r="G36" s="307">
        <f t="shared" si="9"/>
        <v>2376.1818916653187</v>
      </c>
      <c r="H36" s="307">
        <f t="shared" si="9"/>
        <v>0</v>
      </c>
      <c r="I36" s="307">
        <f t="shared" si="9"/>
        <v>74.050854483943979</v>
      </c>
      <c r="J36" s="307">
        <f t="shared" si="9"/>
        <v>0.45472915845433426</v>
      </c>
      <c r="K36" s="302">
        <f t="shared" si="8"/>
        <v>12996.964957104799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0</v>
      </c>
      <c r="E37" s="306">
        <f>-'Allocation ProForma'!P802-'Allocation ProForma'!$P$803*(E14/$D$14)</f>
        <v>0</v>
      </c>
      <c r="F37" s="383">
        <f>-'Allocation ProForma'!$P$803*(F14/$D$14)</f>
        <v>0</v>
      </c>
      <c r="G37" s="383">
        <f>-'Allocation ProForma'!$P$803*(G14/$D$14)</f>
        <v>0</v>
      </c>
      <c r="H37" s="383">
        <f>-'Allocation ProForma'!$P$803*(H14/$D$14)</f>
        <v>0</v>
      </c>
      <c r="I37" s="383">
        <f>-'Allocation ProForma'!$P$803*(I14/$D$14)</f>
        <v>0</v>
      </c>
      <c r="J37" s="383">
        <f>-'Allocation ProForma'!$P$803*(J14/$D$14)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12996.964957104799</v>
      </c>
      <c r="E39" s="306">
        <f t="shared" si="10"/>
        <v>10132.387252935323</v>
      </c>
      <c r="F39" s="307">
        <f t="shared" si="10"/>
        <v>413.89022886175911</v>
      </c>
      <c r="G39" s="307">
        <f t="shared" si="10"/>
        <v>2376.1818916653187</v>
      </c>
      <c r="H39" s="307">
        <f t="shared" si="10"/>
        <v>0</v>
      </c>
      <c r="I39" s="307">
        <f t="shared" si="10"/>
        <v>74.050854483943979</v>
      </c>
      <c r="J39" s="307">
        <f t="shared" si="10"/>
        <v>0.45472915845433426</v>
      </c>
      <c r="K39" s="302">
        <f t="shared" si="8"/>
        <v>12996.964957104799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86381264.715628579</v>
      </c>
      <c r="E41" s="306">
        <f t="shared" ref="E41:J41" si="11">SUM(E28:E31)+E22+E26+E39+E24</f>
        <v>28229149.559503958</v>
      </c>
      <c r="F41" s="307">
        <f t="shared" si="11"/>
        <v>50892247.609972917</v>
      </c>
      <c r="G41" s="307">
        <f t="shared" si="11"/>
        <v>6705324.308925896</v>
      </c>
      <c r="H41" s="307">
        <f t="shared" si="11"/>
        <v>0</v>
      </c>
      <c r="I41" s="307">
        <f t="shared" si="11"/>
        <v>502384.9507305338</v>
      </c>
      <c r="J41" s="307">
        <f t="shared" si="11"/>
        <v>52158.286495271132</v>
      </c>
      <c r="K41" s="302">
        <f>SUM(E41:J41)</f>
        <v>86381264.715628564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1167854.4480862995</v>
      </c>
      <c r="E43" s="306">
        <f>D43</f>
        <v>1167854.4480862995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1167854.4480862995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-664530.24368404015</v>
      </c>
      <c r="E44" s="306">
        <v>0</v>
      </c>
      <c r="F44" s="307">
        <f>D44</f>
        <v>-664530.24368404015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-664530.24368404015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-173128.92003086</v>
      </c>
      <c r="E45" s="306">
        <f t="shared" ref="E45:J45" si="12">(E14/($D$14)*$D$45)</f>
        <v>-134970.68494258</v>
      </c>
      <c r="F45" s="307">
        <f t="shared" si="12"/>
        <v>-5513.3154987073221</v>
      </c>
      <c r="G45" s="307">
        <f t="shared" si="12"/>
        <v>-31652.451634565517</v>
      </c>
      <c r="H45" s="307">
        <f t="shared" si="12"/>
        <v>0</v>
      </c>
      <c r="I45" s="307">
        <f t="shared" si="12"/>
        <v>-986.41063559683903</v>
      </c>
      <c r="J45" s="307">
        <f t="shared" si="12"/>
        <v>-6.0573194103062242</v>
      </c>
      <c r="K45" s="302">
        <f>SUM(E45:J45)</f>
        <v>-173128.92003086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330195.28437139932</v>
      </c>
      <c r="E46" s="306">
        <f t="shared" ref="E46:J46" si="13">SUM(E43:E45)</f>
        <v>1032883.7631437194</v>
      </c>
      <c r="F46" s="307">
        <f t="shared" si="13"/>
        <v>-670043.5591827475</v>
      </c>
      <c r="G46" s="307">
        <f t="shared" si="13"/>
        <v>-31652.451634565517</v>
      </c>
      <c r="H46" s="307">
        <f t="shared" si="13"/>
        <v>0</v>
      </c>
      <c r="I46" s="307">
        <f t="shared" si="13"/>
        <v>-986.41063559683903</v>
      </c>
      <c r="J46" s="307">
        <f t="shared" si="13"/>
        <v>-6.0573194103062242</v>
      </c>
      <c r="K46" s="302">
        <f>SUM(E46:J46)</f>
        <v>330195.2843713992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86711460</v>
      </c>
      <c r="D48" s="306">
        <f>D41+D46</f>
        <v>86711459.999999985</v>
      </c>
      <c r="E48" s="306">
        <f t="shared" ref="E48:J48" si="14">E41+E46</f>
        <v>29262033.322647676</v>
      </c>
      <c r="F48" s="307">
        <f t="shared" si="14"/>
        <v>50222204.050790168</v>
      </c>
      <c r="G48" s="307">
        <f t="shared" si="14"/>
        <v>6673671.8572913306</v>
      </c>
      <c r="H48" s="307">
        <f t="shared" si="14"/>
        <v>0</v>
      </c>
      <c r="I48" s="307">
        <f t="shared" si="14"/>
        <v>501398.54009493697</v>
      </c>
      <c r="J48" s="307">
        <f t="shared" si="14"/>
        <v>52152.229175860826</v>
      </c>
      <c r="K48" s="302">
        <f>SUM(E48:J48)</f>
        <v>86711459.999999985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Det'!C30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9.0477525882620764</v>
      </c>
      <c r="F52" s="323">
        <f t="shared" si="15"/>
        <v>3.3532566755014946E-2</v>
      </c>
      <c r="G52" s="324">
        <f t="shared" si="15"/>
        <v>1.8488489856847978</v>
      </c>
      <c r="H52" s="324">
        <f t="shared" si="15"/>
        <v>0</v>
      </c>
      <c r="I52" s="324">
        <f>I48/I50</f>
        <v>1392.7737224859361</v>
      </c>
      <c r="J52" s="324">
        <f t="shared" si="15"/>
        <v>144.86730326628006</v>
      </c>
      <c r="K52" s="325">
        <f>I52+J52</f>
        <v>1537.6410257522161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1537.6410257522161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10.896601573946874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3.3532566755014946E-2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2449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63312694.161657609</v>
      </c>
      <c r="E14" s="300">
        <f>'Allocation ProForma'!Q123+'Allocation ProForma'!Q124+'Allocation ProForma'!Q125</f>
        <v>42498638.208370619</v>
      </c>
      <c r="F14" s="301">
        <f>'Allocation ProForma'!Q126</f>
        <v>2094102.3950426062</v>
      </c>
      <c r="G14" s="301">
        <f>'Allocation ProForma'!Q135</f>
        <v>18676480.367085103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42953.849866034718</v>
      </c>
      <c r="J14" s="301">
        <f>'Allocation ProForma'!Q166+'Allocation ProForma'!Q169</f>
        <v>519.34129324883634</v>
      </c>
      <c r="K14" s="302">
        <f>SUM(E14:J14)</f>
        <v>63312694.161657602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63312694.161657609</v>
      </c>
      <c r="E16" s="306">
        <f t="shared" ref="E16:K16" si="1">E14+E15</f>
        <v>42498638.208370619</v>
      </c>
      <c r="F16" s="307">
        <f t="shared" si="1"/>
        <v>2094102.3950426062</v>
      </c>
      <c r="G16" s="307">
        <f t="shared" si="1"/>
        <v>18676480.367085103</v>
      </c>
      <c r="H16" s="307">
        <f t="shared" si="1"/>
        <v>0</v>
      </c>
      <c r="I16" s="307">
        <f t="shared" si="1"/>
        <v>42953.849866034718</v>
      </c>
      <c r="J16" s="307">
        <f t="shared" si="1"/>
        <v>519.34129324883634</v>
      </c>
      <c r="K16" s="302">
        <f t="shared" si="1"/>
        <v>63312694.161657602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3.4079469104821805E-2</v>
      </c>
      <c r="E18" s="311">
        <f t="shared" ref="E18:J18" si="2">D18</f>
        <v>3.4079469104821805E-2</v>
      </c>
      <c r="F18" s="312">
        <f t="shared" si="2"/>
        <v>3.4079469104821805E-2</v>
      </c>
      <c r="G18" s="312">
        <f t="shared" si="2"/>
        <v>3.4079469104821805E-2</v>
      </c>
      <c r="H18" s="312">
        <f t="shared" si="2"/>
        <v>3.4079469104821805E-2</v>
      </c>
      <c r="I18" s="312">
        <f t="shared" si="2"/>
        <v>3.4079469104821805E-2</v>
      </c>
      <c r="J18" s="312">
        <f t="shared" si="2"/>
        <v>3.4079469104821805E-2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2157663.0046252422</v>
      </c>
      <c r="E20" s="306">
        <f t="shared" ref="E20:J20" si="3">E18*E16</f>
        <v>1448331.027819166</v>
      </c>
      <c r="F20" s="307">
        <f t="shared" si="3"/>
        <v>71365.897874187838</v>
      </c>
      <c r="G20" s="307">
        <f t="shared" si="3"/>
        <v>636484.53565688781</v>
      </c>
      <c r="H20" s="307">
        <f t="shared" si="3"/>
        <v>0</v>
      </c>
      <c r="I20" s="307">
        <f t="shared" si="3"/>
        <v>1463.8443994426843</v>
      </c>
      <c r="J20" s="307">
        <f t="shared" si="3"/>
        <v>17.69887555813192</v>
      </c>
      <c r="K20" s="302">
        <f>SUM(E20:J20)</f>
        <v>2157663.0046252427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1488099.6581594911</v>
      </c>
      <c r="E22" s="306">
        <f t="shared" ref="E22:J22" si="4">(E14/$D$14)*$D$22</f>
        <v>998886.71343921276</v>
      </c>
      <c r="F22" s="307">
        <f t="shared" si="4"/>
        <v>49219.719670389197</v>
      </c>
      <c r="G22" s="307">
        <f t="shared" si="4"/>
        <v>438971.43247322121</v>
      </c>
      <c r="H22" s="307">
        <f t="shared" si="4"/>
        <v>0</v>
      </c>
      <c r="I22" s="307">
        <f t="shared" si="4"/>
        <v>1009.5859945412069</v>
      </c>
      <c r="J22" s="307">
        <f t="shared" si="4"/>
        <v>12.206582126775627</v>
      </c>
      <c r="K22" s="302">
        <f>SUM(E22:J22)</f>
        <v>1488099.6581594911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669563.34646575106</v>
      </c>
      <c r="E24" s="306">
        <f t="shared" ref="E24:J24" si="5">E20-E22</f>
        <v>449444.3143799532</v>
      </c>
      <c r="F24" s="307">
        <f t="shared" si="5"/>
        <v>22146.178203798641</v>
      </c>
      <c r="G24" s="307">
        <f t="shared" si="5"/>
        <v>197513.10318366659</v>
      </c>
      <c r="H24" s="307">
        <f t="shared" si="5"/>
        <v>0</v>
      </c>
      <c r="I24" s="307">
        <f t="shared" si="5"/>
        <v>454.25840490147743</v>
      </c>
      <c r="J24" s="307">
        <f t="shared" si="5"/>
        <v>5.492293431356293</v>
      </c>
      <c r="K24" s="302">
        <f>SUM(E24:J24)</f>
        <v>669563.34646575118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485512.19548789592</v>
      </c>
      <c r="E26" s="306">
        <f t="shared" ref="E26:J26" si="6">$D$26*(E24/$K$24)</f>
        <v>325900.00180860388</v>
      </c>
      <c r="F26" s="307">
        <f t="shared" si="6"/>
        <v>16058.584535947943</v>
      </c>
      <c r="G26" s="307">
        <f t="shared" si="6"/>
        <v>143220.23580069793</v>
      </c>
      <c r="H26" s="307">
        <f t="shared" si="6"/>
        <v>0</v>
      </c>
      <c r="I26" s="307">
        <f t="shared" si="6"/>
        <v>329.39078377974971</v>
      </c>
      <c r="J26" s="307">
        <f t="shared" si="6"/>
        <v>3.9825588664566203</v>
      </c>
      <c r="K26" s="302">
        <f>SUM(E26:J26)</f>
        <v>485512.19548789592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22506318.80624507</v>
      </c>
      <c r="E28" s="306">
        <f>'Allocation ProForma'!Q180+'Allocation ProForma'!Q181+'Allocation ProForma'!Q182</f>
        <v>2249994.0121071832</v>
      </c>
      <c r="F28" s="307">
        <f>'Allocation ProForma'!Q183</f>
        <v>18652079.557136446</v>
      </c>
      <c r="G28" s="307">
        <f>'Allocation ProForma'!Q192</f>
        <v>1584018.5696119647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15913.879095176562</v>
      </c>
      <c r="J28" s="307">
        <f>'Allocation ProForma'!Q223+'Allocation ProForma'!Q226</f>
        <v>4312.7882943015384</v>
      </c>
      <c r="K28" s="302">
        <f>SUM(E28:J28)</f>
        <v>22506318.80624507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4025831.7532980423</v>
      </c>
      <c r="E29" s="306">
        <f>'Allocation ProForma'!Q300</f>
        <v>3158122.9508235781</v>
      </c>
      <c r="F29" s="307">
        <v>0</v>
      </c>
      <c r="G29" s="307">
        <f>'Allocation ProForma'!Q306</f>
        <v>865568.4696415097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2140.332832954804</v>
      </c>
      <c r="J29" s="307">
        <v>0</v>
      </c>
      <c r="K29" s="302">
        <f>SUM(E29:J29)</f>
        <v>4025831.7532980423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653709.27993614913</v>
      </c>
      <c r="E30" s="306">
        <f>'Allocation ProForma'!Q414+'Allocation ProForma'!Q471+'Allocation ProForma'!Q357</f>
        <v>470562.81822223833</v>
      </c>
      <c r="F30" s="307">
        <f>'Allocation ProForma'!Q529</f>
        <v>0</v>
      </c>
      <c r="G30" s="307">
        <f>'Allocation ProForma'!Q420+'Allocation ProForma'!Q477+'Allocation ProForma'!Q363</f>
        <v>182727.74974815553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418.71196575526864</v>
      </c>
      <c r="J30" s="307">
        <v>0</v>
      </c>
      <c r="K30" s="302">
        <f>SUM(E30:J30)</f>
        <v>653709.27993614925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5661.9010282679192</v>
      </c>
      <c r="E36" s="306">
        <f t="shared" ref="E36:J36" si="9">(E14/($D$14)*$D$36)</f>
        <v>3800.5503723719603</v>
      </c>
      <c r="F36" s="307">
        <f t="shared" si="9"/>
        <v>187.27050966298074</v>
      </c>
      <c r="G36" s="307">
        <f t="shared" si="9"/>
        <v>1670.1924439485301</v>
      </c>
      <c r="H36" s="307">
        <f t="shared" si="9"/>
        <v>0</v>
      </c>
      <c r="I36" s="307">
        <f t="shared" si="9"/>
        <v>3.8412588493485846</v>
      </c>
      <c r="J36" s="307">
        <f t="shared" si="9"/>
        <v>4.6443435099439025E-2</v>
      </c>
      <c r="K36" s="302">
        <f t="shared" si="8"/>
        <v>5661.9010282679192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0</v>
      </c>
      <c r="E37" s="306">
        <f>-'Allocation ProForma'!Q802-'Allocation ProForma'!$Q$803*(E14/$D$14)</f>
        <v>0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5661.9010282679192</v>
      </c>
      <c r="E39" s="306">
        <f t="shared" si="10"/>
        <v>3800.5503723719603</v>
      </c>
      <c r="F39" s="307">
        <f t="shared" si="10"/>
        <v>187.27050966298074</v>
      </c>
      <c r="G39" s="307">
        <f t="shared" si="10"/>
        <v>1670.1924439485301</v>
      </c>
      <c r="H39" s="307">
        <f t="shared" si="10"/>
        <v>0</v>
      </c>
      <c r="I39" s="307">
        <f t="shared" si="10"/>
        <v>3.8412588493485846</v>
      </c>
      <c r="J39" s="307">
        <f t="shared" si="10"/>
        <v>4.6443435099439025E-2</v>
      </c>
      <c r="K39" s="302">
        <f t="shared" si="8"/>
        <v>5661.9010282679192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29834696.940620665</v>
      </c>
      <c r="E41" s="306">
        <f t="shared" ref="E41:J41" si="11">SUM(E28:E31)+E22+E26+E39+E24</f>
        <v>7656711.3611531425</v>
      </c>
      <c r="F41" s="307">
        <f t="shared" si="11"/>
        <v>18739691.310056247</v>
      </c>
      <c r="G41" s="307">
        <f t="shared" si="11"/>
        <v>3413689.7529031644</v>
      </c>
      <c r="H41" s="307">
        <f t="shared" si="11"/>
        <v>0</v>
      </c>
      <c r="I41" s="307">
        <f t="shared" si="11"/>
        <v>20270.000335958415</v>
      </c>
      <c r="J41" s="307">
        <f t="shared" si="11"/>
        <v>4334.5161721612258</v>
      </c>
      <c r="K41" s="302">
        <f>SUM(E41:J41)</f>
        <v>29834696.940620668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357413.25569860422</v>
      </c>
      <c r="E43" s="306">
        <f>D43</f>
        <v>357413.25569860422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357413.25569860422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-245327.47728685281</v>
      </c>
      <c r="E44" s="306">
        <v>0</v>
      </c>
      <c r="F44" s="307">
        <f>D44</f>
        <v>-245327.47728685281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-245327.47728685281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-54675.719032413566</v>
      </c>
      <c r="E45" s="306">
        <f t="shared" ref="E45:J45" si="12">(E14/($D$14)*$D$45)</f>
        <v>-36701.069709781426</v>
      </c>
      <c r="F45" s="307">
        <f t="shared" si="12"/>
        <v>-1808.429663158978</v>
      </c>
      <c r="G45" s="307">
        <f t="shared" si="12"/>
        <v>-16128.676983130903</v>
      </c>
      <c r="H45" s="307">
        <f t="shared" si="12"/>
        <v>0</v>
      </c>
      <c r="I45" s="307">
        <f t="shared" si="12"/>
        <v>-37.094182418445698</v>
      </c>
      <c r="J45" s="307">
        <f t="shared" si="12"/>
        <v>-0.44849392381093778</v>
      </c>
      <c r="K45" s="302">
        <f>SUM(E45:J45)</f>
        <v>-54675.719032413559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57410.059379337843</v>
      </c>
      <c r="E46" s="306">
        <f t="shared" ref="E46:J46" si="13">SUM(E43:E45)</f>
        <v>320712.18598882278</v>
      </c>
      <c r="F46" s="307">
        <f t="shared" si="13"/>
        <v>-247135.90695001179</v>
      </c>
      <c r="G46" s="307">
        <f t="shared" si="13"/>
        <v>-16128.676983130903</v>
      </c>
      <c r="H46" s="307">
        <f t="shared" si="13"/>
        <v>0</v>
      </c>
      <c r="I46" s="307">
        <f t="shared" si="13"/>
        <v>-37.094182418445698</v>
      </c>
      <c r="J46" s="307">
        <f t="shared" si="13"/>
        <v>-0.44849392381093778</v>
      </c>
      <c r="K46" s="302">
        <f>SUM(E46:J46)</f>
        <v>57410.059379337821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29892107.000000004</v>
      </c>
      <c r="D48" s="306">
        <f>D41+D46</f>
        <v>29892107.000000004</v>
      </c>
      <c r="E48" s="306">
        <f t="shared" ref="E48:J48" si="14">E41+E46</f>
        <v>7977423.5471419655</v>
      </c>
      <c r="F48" s="307">
        <f t="shared" si="14"/>
        <v>18492555.403106235</v>
      </c>
      <c r="G48" s="307">
        <f t="shared" si="14"/>
        <v>3397561.0759200333</v>
      </c>
      <c r="H48" s="307">
        <f t="shared" si="14"/>
        <v>0</v>
      </c>
      <c r="I48" s="307">
        <f t="shared" si="14"/>
        <v>20232.906153539971</v>
      </c>
      <c r="J48" s="307">
        <f t="shared" si="14"/>
        <v>4334.0676782374148</v>
      </c>
      <c r="K48" s="302">
        <f>SUM(E48:J48)</f>
        <v>29892107.000000015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Det'!C32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4.90861281188955</v>
      </c>
      <c r="F52" s="323">
        <f t="shared" si="15"/>
        <v>3.3445409379194185E-2</v>
      </c>
      <c r="G52" s="324">
        <f t="shared" si="15"/>
        <v>1.4490751786393026</v>
      </c>
      <c r="H52" s="324">
        <f t="shared" si="15"/>
        <v>0</v>
      </c>
      <c r="I52" s="324">
        <f>I48/I50</f>
        <v>1686.0755127949976</v>
      </c>
      <c r="J52" s="324">
        <f t="shared" si="15"/>
        <v>361.17230651978457</v>
      </c>
      <c r="K52" s="325">
        <f>I52+J52</f>
        <v>2047.2478193147822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2047.2478193147822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6.3576879905288521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3.3445409379194185E-2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403" t="s">
        <v>1692</v>
      </c>
      <c r="I2" s="404"/>
      <c r="J2" s="405"/>
      <c r="K2" s="403" t="s">
        <v>1693</v>
      </c>
      <c r="L2" s="404"/>
      <c r="M2" s="405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403" t="s">
        <v>136</v>
      </c>
      <c r="V2" s="404"/>
      <c r="W2" s="405"/>
      <c r="X2" s="401" t="s">
        <v>135</v>
      </c>
      <c r="Y2" s="402"/>
      <c r="Z2" s="401" t="s">
        <v>137</v>
      </c>
      <c r="AA2" s="402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875890.92326590104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1663489.9306991044</v>
      </c>
      <c r="W113" s="101">
        <f>IF(VLOOKUP($D113,$C$5:$AJ$644,21,)=0,0,((VLOOKUP($D113,$C$5:$AJ$644,21,)/VLOOKUP($D113,$C$5:$AJ$644,4,))*$F113))</f>
        <v>2570617.8620645492</v>
      </c>
      <c r="X113" s="101">
        <f>IF(VLOOKUP($D113,$C$5:$AJ$644,22,)=0,0,((VLOOKUP($D113,$C$5:$AJ$644,22,)/VLOOKUP($D113,$C$5:$AJ$644,4,))*$F113))</f>
        <v>858890.83930522413</v>
      </c>
      <c r="Y113" s="101">
        <f>IF(VLOOKUP($D113,$C$5:$AJ$644,23,)=0,0,((VLOOKUP($D113,$C$5:$AJ$644,23,)/VLOOKUP($D113,$C$5:$AJ$644,4,))*$F113))</f>
        <v>1259805.8423516545</v>
      </c>
      <c r="Z113" s="101">
        <f>IF(VLOOKUP($D113,$C$5:$AJ$644,24,)=0,0,((VLOOKUP($D113,$C$5:$AJ$644,24,)/VLOOKUP($D113,$C$5:$AJ$644,4,))*$F113))</f>
        <v>169310.56912404124</v>
      </c>
      <c r="AA113" s="101">
        <f>IF(VLOOKUP($D113,$C$5:$AJ$644,25,)=0,0,((VLOOKUP($D113,$C$5:$AJ$644,25,)/VLOOKUP($D113,$C$5:$AJ$644,4,))*$F113))</f>
        <v>150665.99100558163</v>
      </c>
      <c r="AB113" s="101">
        <f>IF(VLOOKUP($D113,$C$5:$AJ$644,26,)=0,0,((VLOOKUP($D113,$C$5:$AJ$644,26,)/VLOOKUP($D113,$C$5:$AJ$644,4,))*$F113))</f>
        <v>95174.13858748351</v>
      </c>
      <c r="AC113" s="101">
        <f>IF(VLOOKUP($D113,$C$5:$AJ$644,27,)=0,0,((VLOOKUP($D113,$C$5:$AJ$644,27,)/VLOOKUP($D113,$C$5:$AJ$644,4,))*$F113))</f>
        <v>2158140.4360992401</v>
      </c>
      <c r="AD113" s="101">
        <f>IF(VLOOKUP($D113,$C$5:$AJ$644,28,)=0,0,((VLOOKUP($D113,$C$5:$AJ$644,28,)/VLOOKUP($D113,$C$5:$AJ$644,4,))*$F113))</f>
        <v>95443.096635898211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5137387.3159935381</v>
      </c>
      <c r="U117" s="102">
        <f t="shared" si="76"/>
        <v>0</v>
      </c>
      <c r="V117" s="102">
        <f t="shared" si="76"/>
        <v>6307208.2406484764</v>
      </c>
      <c r="W117" s="102">
        <f t="shared" si="76"/>
        <v>11181975.357659755</v>
      </c>
      <c r="X117" s="102">
        <f t="shared" si="76"/>
        <v>2996655.7818206102</v>
      </c>
      <c r="Y117" s="102">
        <f t="shared" si="76"/>
        <v>4527745.387946168</v>
      </c>
      <c r="Z117" s="102">
        <f t="shared" si="76"/>
        <v>3487864.6739206575</v>
      </c>
      <c r="AA117" s="102">
        <f t="shared" si="76"/>
        <v>3103778.9921113499</v>
      </c>
      <c r="AB117" s="102">
        <f t="shared" si="76"/>
        <v>2072201.5714780695</v>
      </c>
      <c r="AC117" s="102">
        <f t="shared" si="76"/>
        <v>3845007.2960581509</v>
      </c>
      <c r="AD117" s="102">
        <f t="shared" si="76"/>
        <v>2435261.812227488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242328157.40202421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117629774.59232309</v>
      </c>
      <c r="U145" s="102">
        <f t="shared" si="110"/>
        <v>0</v>
      </c>
      <c r="V145" s="102">
        <f t="shared" si="110"/>
        <v>128503614.63788348</v>
      </c>
      <c r="W145" s="102">
        <f t="shared" si="110"/>
        <v>237784208.72506231</v>
      </c>
      <c r="X145" s="102">
        <f t="shared" si="110"/>
        <v>59250540.333276063</v>
      </c>
      <c r="Y145" s="102">
        <f t="shared" si="110"/>
        <v>90521434.52698794</v>
      </c>
      <c r="Z145" s="102">
        <f t="shared" si="110"/>
        <v>91089035.518814862</v>
      </c>
      <c r="AA145" s="102">
        <f t="shared" si="110"/>
        <v>81058258.070884496</v>
      </c>
      <c r="AB145" s="102">
        <f t="shared" si="110"/>
        <v>54260568.084280506</v>
      </c>
      <c r="AC145" s="102">
        <f t="shared" si="110"/>
        <v>48373891.661168471</v>
      </c>
      <c r="AD145" s="102">
        <f t="shared" si="110"/>
        <v>64200371.729934186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3639079759.3610191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796958.82461085077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951795.252646707</v>
      </c>
      <c r="W313" s="101">
        <f t="shared" ref="W313:W324" si="325">IF(VLOOKUP($D313,$C$5:$AJ$644,21,)=0,0,((VLOOKUP($D313,$C$5:$AJ$644,21,)/VLOOKUP($D313,$C$5:$AJ$644,4,))*$F313))</f>
        <v>1509838.7992050059</v>
      </c>
      <c r="X313" s="101">
        <f t="shared" ref="X313:X324" si="326">IF(VLOOKUP($D313,$C$5:$AJ$644,22,)=0,0,((VLOOKUP($D313,$C$5:$AJ$644,22,)/VLOOKUP($D313,$C$5:$AJ$644,4,))*$F313))</f>
        <v>484365.98091403564</v>
      </c>
      <c r="Y313" s="101">
        <f t="shared" ref="Y313:Y324" si="327">IF(VLOOKUP($D313,$C$5:$AJ$644,23,)=0,0,((VLOOKUP($D313,$C$5:$AJ$644,23,)/VLOOKUP($D313,$C$5:$AJ$644,4,))*$F313))</f>
        <v>714055.58812314237</v>
      </c>
      <c r="Z313" s="101">
        <f t="shared" ref="Z313:Z324" si="328">IF(VLOOKUP($D313,$C$5:$AJ$644,24,)=0,0,((VLOOKUP($D313,$C$5:$AJ$644,24,)/VLOOKUP($D313,$C$5:$AJ$644,4,))*$F313))</f>
        <v>124659.58716575959</v>
      </c>
      <c r="AA313" s="101">
        <f t="shared" ref="AA313:AA324" si="329">IF(VLOOKUP($D313,$C$5:$AJ$644,25,)=0,0,((VLOOKUP($D313,$C$5:$AJ$644,25,)/VLOOKUP($D313,$C$5:$AJ$644,4,))*$F313))</f>
        <v>110932.0010903496</v>
      </c>
      <c r="AB313" s="101">
        <f t="shared" ref="AB313:AB324" si="330">IF(VLOOKUP($D313,$C$5:$AJ$644,26,)=0,0,((VLOOKUP($D313,$C$5:$AJ$644,26,)/VLOOKUP($D313,$C$5:$AJ$644,4,))*$F313))</f>
        <v>68801.727767802848</v>
      </c>
      <c r="AC313" s="101">
        <f t="shared" ref="AC313:AC324" si="331">IF(VLOOKUP($D313,$C$5:$AJ$644,27,)=0,0,((VLOOKUP($D313,$C$5:$AJ$644,27,)/VLOOKUP($D313,$C$5:$AJ$644,4,))*$F313))</f>
        <v>2153640.7712371093</v>
      </c>
      <c r="AD313" s="101">
        <f t="shared" ref="AD313:AD324" si="332">IF(VLOOKUP($D313,$C$5:$AJ$644,28,)=0,0,((VLOOKUP($D313,$C$5:$AJ$644,28,)/VLOOKUP($D313,$C$5:$AJ$644,4,))*$F313))</f>
        <v>81427.079674241395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171348.95208103961</v>
      </c>
      <c r="U314" s="101">
        <f t="shared" si="323"/>
        <v>0</v>
      </c>
      <c r="V314" s="101">
        <f t="shared" si="324"/>
        <v>204639.32903479275</v>
      </c>
      <c r="W314" s="101">
        <f t="shared" si="325"/>
        <v>324620.65550425241</v>
      </c>
      <c r="X314" s="101">
        <f t="shared" si="326"/>
        <v>104140.39055763136</v>
      </c>
      <c r="Y314" s="101">
        <f t="shared" si="327"/>
        <v>153524.46446935926</v>
      </c>
      <c r="Z314" s="101">
        <f t="shared" si="328"/>
        <v>26802.249963337807</v>
      </c>
      <c r="AA314" s="101">
        <f t="shared" si="329"/>
        <v>23850.770644726414</v>
      </c>
      <c r="AB314" s="101">
        <f t="shared" si="330"/>
        <v>14792.613608531801</v>
      </c>
      <c r="AC314" s="101">
        <f t="shared" si="331"/>
        <v>463040.34526585788</v>
      </c>
      <c r="AD314" s="101">
        <f t="shared" si="332"/>
        <v>17507.108701648995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-104054.0660471358</v>
      </c>
      <c r="U315" s="101">
        <f t="shared" si="323"/>
        <v>0</v>
      </c>
      <c r="V315" s="101">
        <f t="shared" si="324"/>
        <v>-124270.11662818385</v>
      </c>
      <c r="W315" s="101">
        <f t="shared" si="325"/>
        <v>-197130.46807621341</v>
      </c>
      <c r="X315" s="101">
        <f t="shared" si="326"/>
        <v>-63240.719862315163</v>
      </c>
      <c r="Y315" s="101">
        <f t="shared" si="327"/>
        <v>-93229.8947366223</v>
      </c>
      <c r="Z315" s="101">
        <f t="shared" si="328"/>
        <v>-16276.044026099389</v>
      </c>
      <c r="AA315" s="101">
        <f t="shared" si="329"/>
        <v>-14483.716613380251</v>
      </c>
      <c r="AB315" s="101">
        <f t="shared" si="330"/>
        <v>-8983.0230925716278</v>
      </c>
      <c r="AC315" s="101">
        <f t="shared" si="331"/>
        <v>-281187.77549333824</v>
      </c>
      <c r="AD315" s="101">
        <f t="shared" si="332"/>
        <v>-10631.438494436796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-4414265.7425975828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451012.40029290656</v>
      </c>
      <c r="U316" s="101">
        <f t="shared" si="323"/>
        <v>0</v>
      </c>
      <c r="V316" s="101">
        <f t="shared" si="324"/>
        <v>538636.93860620074</v>
      </c>
      <c r="W316" s="101">
        <f t="shared" si="325"/>
        <v>854443.16551399673</v>
      </c>
      <c r="X316" s="101">
        <f t="shared" si="326"/>
        <v>274110.8535675446</v>
      </c>
      <c r="Y316" s="101">
        <f t="shared" si="327"/>
        <v>404096.06468594557</v>
      </c>
      <c r="Z316" s="101">
        <f t="shared" si="328"/>
        <v>70546.956619252363</v>
      </c>
      <c r="AA316" s="101">
        <f t="shared" si="329"/>
        <v>62778.284819776003</v>
      </c>
      <c r="AB316" s="101">
        <f t="shared" si="330"/>
        <v>38936.054695181796</v>
      </c>
      <c r="AC316" s="101">
        <f t="shared" si="331"/>
        <v>1218781.5274880771</v>
      </c>
      <c r="AD316" s="101">
        <f t="shared" si="332"/>
        <v>46080.953643563356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19133212.797257014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92028.146501602358</v>
      </c>
      <c r="U318" s="101">
        <f t="shared" si="323"/>
        <v>0</v>
      </c>
      <c r="V318" s="101">
        <f t="shared" si="324"/>
        <v>109907.75212617953</v>
      </c>
      <c r="W318" s="101">
        <f t="shared" si="325"/>
        <v>174347.35888003849</v>
      </c>
      <c r="X318" s="101">
        <f t="shared" si="326"/>
        <v>55931.752150075001</v>
      </c>
      <c r="Y318" s="101">
        <f t="shared" si="327"/>
        <v>82454.965356800793</v>
      </c>
      <c r="Z318" s="101">
        <f t="shared" si="328"/>
        <v>14394.960437412283</v>
      </c>
      <c r="AA318" s="101">
        <f t="shared" si="329"/>
        <v>12809.779041023256</v>
      </c>
      <c r="AB318" s="101">
        <f t="shared" si="330"/>
        <v>7944.82134716363</v>
      </c>
      <c r="AC318" s="101">
        <f t="shared" si="331"/>
        <v>248689.84731301523</v>
      </c>
      <c r="AD318" s="101">
        <f t="shared" si="332"/>
        <v>9402.7231847489693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3904092.4577877834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917244.92428831407</v>
      </c>
      <c r="U319" s="101">
        <f t="shared" si="323"/>
        <v>0</v>
      </c>
      <c r="V319" s="101">
        <f t="shared" si="324"/>
        <v>1095451.0289514635</v>
      </c>
      <c r="W319" s="101">
        <f t="shared" si="325"/>
        <v>1737720.8612259075</v>
      </c>
      <c r="X319" s="101">
        <f t="shared" si="326"/>
        <v>557472.00955867372</v>
      </c>
      <c r="Y319" s="101">
        <f t="shared" si="327"/>
        <v>821828.98744545982</v>
      </c>
      <c r="Z319" s="101">
        <f t="shared" si="328"/>
        <v>143474.63138701385</v>
      </c>
      <c r="AA319" s="101">
        <f t="shared" si="329"/>
        <v>127675.12172407848</v>
      </c>
      <c r="AB319" s="101">
        <f t="shared" si="330"/>
        <v>79186.067872576357</v>
      </c>
      <c r="AC319" s="101">
        <f t="shared" si="331"/>
        <v>2478692.7569591692</v>
      </c>
      <c r="AD319" s="101">
        <f t="shared" si="332"/>
        <v>93716.981636144061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122511.030633723</v>
      </c>
      <c r="U322" s="101">
        <f t="shared" si="323"/>
        <v>0</v>
      </c>
      <c r="V322" s="101">
        <f t="shared" si="324"/>
        <v>146312.97596958088</v>
      </c>
      <c r="W322" s="101">
        <f t="shared" si="325"/>
        <v>232097.19457176278</v>
      </c>
      <c r="X322" s="101">
        <f t="shared" si="326"/>
        <v>74458.270230796537</v>
      </c>
      <c r="Y322" s="101">
        <f t="shared" si="327"/>
        <v>109766.88296719857</v>
      </c>
      <c r="Z322" s="101">
        <f t="shared" si="328"/>
        <v>19163.065933185349</v>
      </c>
      <c r="AA322" s="101">
        <f t="shared" si="329"/>
        <v>17052.817992794175</v>
      </c>
      <c r="AB322" s="101">
        <f t="shared" si="330"/>
        <v>10576.419154816649</v>
      </c>
      <c r="AC322" s="101">
        <f t="shared" si="331"/>
        <v>331064.46951998782</v>
      </c>
      <c r="AD322" s="101">
        <f t="shared" si="332"/>
        <v>12517.228173308275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5197262.0211860742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2763139.6757173059</v>
      </c>
      <c r="U326" s="100">
        <f t="shared" si="339"/>
        <v>0</v>
      </c>
      <c r="V326" s="100">
        <f t="shared" si="339"/>
        <v>3266913.3040970406</v>
      </c>
      <c r="W326" s="100">
        <f t="shared" si="339"/>
        <v>5274670.8001074297</v>
      </c>
      <c r="X326" s="100">
        <f t="shared" si="339"/>
        <v>1645803.724362432</v>
      </c>
      <c r="Y326" s="100">
        <f t="shared" si="339"/>
        <v>2434891.0819245894</v>
      </c>
      <c r="Z326" s="100">
        <f t="shared" si="339"/>
        <v>628913.68250670703</v>
      </c>
      <c r="AA326" s="100">
        <f t="shared" si="339"/>
        <v>559657.34284681396</v>
      </c>
      <c r="AB326" s="100">
        <f t="shared" si="339"/>
        <v>357897.42904394312</v>
      </c>
      <c r="AC326" s="100">
        <f t="shared" si="339"/>
        <v>6737842.5082552433</v>
      </c>
      <c r="AD326" s="100">
        <f t="shared" si="339"/>
        <v>423572.82898940728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7273698.7604337949</v>
      </c>
      <c r="U328" s="100">
        <f t="shared" si="341"/>
        <v>0</v>
      </c>
      <c r="V328" s="100">
        <f t="shared" si="341"/>
        <v>13814191.157278344</v>
      </c>
      <c r="W328" s="100">
        <f t="shared" si="341"/>
        <v>21347292.750939507</v>
      </c>
      <c r="X328" s="100">
        <f t="shared" si="341"/>
        <v>7132524.2301955046</v>
      </c>
      <c r="Y328" s="100">
        <f t="shared" si="341"/>
        <v>10461859.976506073</v>
      </c>
      <c r="Z328" s="100">
        <f t="shared" si="341"/>
        <v>1406013.0594503474</v>
      </c>
      <c r="AA328" s="100">
        <f t="shared" si="341"/>
        <v>1251182.0854708615</v>
      </c>
      <c r="AB328" s="100">
        <f t="shared" si="341"/>
        <v>790358.70275707357</v>
      </c>
      <c r="AC328" s="100">
        <f t="shared" si="341"/>
        <v>17921938.677439213</v>
      </c>
      <c r="AD328" s="100">
        <f t="shared" si="341"/>
        <v>792592.22267536237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7273698.7604337949</v>
      </c>
      <c r="U330" s="102">
        <f t="shared" si="343"/>
        <v>0</v>
      </c>
      <c r="V330" s="102">
        <f t="shared" si="343"/>
        <v>13814191.157278344</v>
      </c>
      <c r="W330" s="102">
        <f t="shared" si="343"/>
        <v>21347292.750939507</v>
      </c>
      <c r="X330" s="102">
        <f t="shared" si="343"/>
        <v>7132524.2301955046</v>
      </c>
      <c r="Y330" s="102">
        <f t="shared" si="343"/>
        <v>10461859.976506073</v>
      </c>
      <c r="Z330" s="102">
        <f t="shared" si="343"/>
        <v>1406013.0594503474</v>
      </c>
      <c r="AA330" s="102">
        <f t="shared" si="343"/>
        <v>1251182.0854708615</v>
      </c>
      <c r="AB330" s="102">
        <f t="shared" si="343"/>
        <v>790358.70275707357</v>
      </c>
      <c r="AC330" s="102">
        <f t="shared" si="343"/>
        <v>17921938.677439213</v>
      </c>
      <c r="AD330" s="102">
        <f t="shared" si="343"/>
        <v>792592.22267536237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 t="shared" ref="H481:AJ481" si="506">H455+H479</f>
        <v>0</v>
      </c>
      <c r="I481" s="101">
        <f t="shared" si="506"/>
        <v>0</v>
      </c>
      <c r="J481" s="101">
        <f t="shared" si="506"/>
        <v>0</v>
      </c>
      <c r="K481" s="101">
        <f t="shared" si="506"/>
        <v>0</v>
      </c>
      <c r="L481" s="101">
        <f t="shared" si="506"/>
        <v>0</v>
      </c>
      <c r="M481" s="101">
        <f t="shared" si="506"/>
        <v>0</v>
      </c>
      <c r="N481" s="101">
        <f t="shared" si="506"/>
        <v>0</v>
      </c>
      <c r="O481" s="101">
        <f t="shared" si="506"/>
        <v>0</v>
      </c>
      <c r="P481" s="101">
        <f t="shared" si="506"/>
        <v>0</v>
      </c>
      <c r="Q481" s="101">
        <f t="shared" si="506"/>
        <v>0</v>
      </c>
      <c r="R481" s="101">
        <f t="shared" si="506"/>
        <v>0</v>
      </c>
      <c r="S481" s="101">
        <f t="shared" si="506"/>
        <v>0</v>
      </c>
      <c r="T481" s="101">
        <f t="shared" si="506"/>
        <v>2364157.6911235116</v>
      </c>
      <c r="U481" s="101">
        <f t="shared" si="506"/>
        <v>0</v>
      </c>
      <c r="V481" s="101">
        <f t="shared" si="506"/>
        <v>2823475.9405773715</v>
      </c>
      <c r="W481" s="101">
        <f t="shared" si="506"/>
        <v>4478897.6535144858</v>
      </c>
      <c r="X481" s="101">
        <f t="shared" si="506"/>
        <v>1436859.1246300009</v>
      </c>
      <c r="Y481" s="101">
        <f t="shared" si="506"/>
        <v>2118227.3894455666</v>
      </c>
      <c r="Z481" s="101">
        <f t="shared" si="506"/>
        <v>369799.43338242033</v>
      </c>
      <c r="AA481" s="101">
        <f t="shared" si="506"/>
        <v>329076.905193354</v>
      </c>
      <c r="AB481" s="101">
        <f t="shared" si="506"/>
        <v>204098.54165836229</v>
      </c>
      <c r="AC481" s="101">
        <f t="shared" si="506"/>
        <v>6388719.5122327032</v>
      </c>
      <c r="AD481" s="101">
        <f t="shared" si="506"/>
        <v>241551.32076187784</v>
      </c>
      <c r="AE481" s="101">
        <f t="shared" si="506"/>
        <v>0</v>
      </c>
      <c r="AF481" s="101">
        <f t="shared" si="506"/>
        <v>0</v>
      </c>
      <c r="AG481" s="101">
        <f t="shared" si="506"/>
        <v>0</v>
      </c>
      <c r="AH481" s="101">
        <f t="shared" si="506"/>
        <v>0</v>
      </c>
      <c r="AI481" s="101">
        <f t="shared" si="506"/>
        <v>0</v>
      </c>
      <c r="AJ481" s="101">
        <f t="shared" si="506"/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7">F481+F440</f>
        <v>27496862.852552492</v>
      </c>
      <c r="G483" s="101">
        <f t="shared" si="507"/>
        <v>0</v>
      </c>
      <c r="H483" s="101">
        <f t="shared" si="507"/>
        <v>0</v>
      </c>
      <c r="I483" s="101">
        <f t="shared" si="507"/>
        <v>0</v>
      </c>
      <c r="J483" s="101">
        <f t="shared" si="507"/>
        <v>0</v>
      </c>
      <c r="K483" s="101">
        <f t="shared" si="507"/>
        <v>0</v>
      </c>
      <c r="L483" s="101">
        <f t="shared" si="507"/>
        <v>0</v>
      </c>
      <c r="M483" s="101">
        <f t="shared" si="507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8">S481+S440</f>
        <v>0</v>
      </c>
      <c r="T483" s="101">
        <f t="shared" si="508"/>
        <v>2364157.6911235116</v>
      </c>
      <c r="U483" s="101">
        <f t="shared" si="508"/>
        <v>0</v>
      </c>
      <c r="V483" s="101">
        <f t="shared" si="508"/>
        <v>2823475.9405773715</v>
      </c>
      <c r="W483" s="101">
        <f t="shared" si="508"/>
        <v>4478897.6535144858</v>
      </c>
      <c r="X483" s="101">
        <f t="shared" si="508"/>
        <v>1436859.1246300009</v>
      </c>
      <c r="Y483" s="101">
        <f t="shared" si="508"/>
        <v>2118227.3894455666</v>
      </c>
      <c r="Z483" s="101">
        <f t="shared" si="508"/>
        <v>369799.43338242033</v>
      </c>
      <c r="AA483" s="101">
        <f t="shared" si="508"/>
        <v>329076.905193354</v>
      </c>
      <c r="AB483" s="101">
        <f t="shared" si="508"/>
        <v>204098.54165836229</v>
      </c>
      <c r="AC483" s="101">
        <f t="shared" si="508"/>
        <v>6388719.5122327032</v>
      </c>
      <c r="AD483" s="101">
        <f t="shared" si="508"/>
        <v>241551.32076187784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27496862.852552492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9">H483+H419+H426</f>
        <v>10927436.935938632</v>
      </c>
      <c r="I485" s="100">
        <f t="shared" si="509"/>
        <v>10301051.649205554</v>
      </c>
      <c r="J485" s="100">
        <f t="shared" si="509"/>
        <v>10579251.156002475</v>
      </c>
      <c r="K485" s="100">
        <f t="shared" si="509"/>
        <v>22783264.729198322</v>
      </c>
      <c r="L485" s="100">
        <f t="shared" si="509"/>
        <v>0</v>
      </c>
      <c r="M485" s="100">
        <f t="shared" si="509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0">S483+S419+S426</f>
        <v>0</v>
      </c>
      <c r="T485" s="100">
        <f t="shared" si="510"/>
        <v>2364157.6911235116</v>
      </c>
      <c r="U485" s="100">
        <f t="shared" si="510"/>
        <v>0</v>
      </c>
      <c r="V485" s="100">
        <f t="shared" si="510"/>
        <v>2823475.9405773715</v>
      </c>
      <c r="W485" s="100">
        <f t="shared" si="510"/>
        <v>4478897.6535144858</v>
      </c>
      <c r="X485" s="100">
        <f t="shared" si="510"/>
        <v>1436859.1246300009</v>
      </c>
      <c r="Y485" s="100">
        <f t="shared" si="510"/>
        <v>2118227.3894455666</v>
      </c>
      <c r="Z485" s="100">
        <f t="shared" si="510"/>
        <v>369799.43338242033</v>
      </c>
      <c r="AA485" s="100">
        <f t="shared" si="510"/>
        <v>329076.905193354</v>
      </c>
      <c r="AB485" s="100">
        <f t="shared" si="510"/>
        <v>204098.54165836229</v>
      </c>
      <c r="AC485" s="100">
        <f t="shared" si="510"/>
        <v>6388719.5122327032</v>
      </c>
      <c r="AD485" s="100">
        <f t="shared" si="510"/>
        <v>241551.32076187784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82087867.322897494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1">SUM(H488:H493)</f>
        <v>0</v>
      </c>
      <c r="I494" s="100">
        <f t="shared" si="511"/>
        <v>0</v>
      </c>
      <c r="J494" s="100">
        <f t="shared" si="511"/>
        <v>0</v>
      </c>
      <c r="K494" s="100">
        <f t="shared" si="511"/>
        <v>0</v>
      </c>
      <c r="L494" s="100">
        <f t="shared" si="511"/>
        <v>0</v>
      </c>
      <c r="M494" s="100">
        <f t="shared" si="511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2">SUM(S488:S493)</f>
        <v>0</v>
      </c>
      <c r="T494" s="100">
        <f t="shared" si="512"/>
        <v>0</v>
      </c>
      <c r="U494" s="100">
        <f t="shared" si="512"/>
        <v>0</v>
      </c>
      <c r="V494" s="100">
        <f t="shared" si="512"/>
        <v>0</v>
      </c>
      <c r="W494" s="100">
        <f t="shared" si="512"/>
        <v>0</v>
      </c>
      <c r="X494" s="100">
        <f t="shared" si="512"/>
        <v>0</v>
      </c>
      <c r="Y494" s="100">
        <f t="shared" si="512"/>
        <v>0</v>
      </c>
      <c r="Z494" s="100">
        <f t="shared" si="512"/>
        <v>0</v>
      </c>
      <c r="AA494" s="100">
        <f t="shared" si="512"/>
        <v>0</v>
      </c>
      <c r="AB494" s="100">
        <f t="shared" si="512"/>
        <v>0</v>
      </c>
      <c r="AC494" s="100">
        <f t="shared" si="512"/>
        <v>0</v>
      </c>
      <c r="AD494" s="100">
        <f t="shared" si="512"/>
        <v>0</v>
      </c>
      <c r="AE494" s="100"/>
      <c r="AF494" s="100">
        <f t="shared" si="512"/>
        <v>16006067.650495432</v>
      </c>
      <c r="AG494" s="101"/>
      <c r="AH494" s="100">
        <f t="shared" si="512"/>
        <v>0</v>
      </c>
      <c r="AI494" s="101"/>
      <c r="AJ494" s="100">
        <f t="shared" si="512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3">IF(VLOOKUP($D497,$C$5:$AJ$644,6,)=0,0,((VLOOKUP($D497,$C$5:$AJ$644,6,)/VLOOKUP($D497,$C$5:$AJ$644,4,))*$F497))</f>
        <v>0</v>
      </c>
      <c r="I497" s="101">
        <f t="shared" ref="I497:I506" si="514">IF(VLOOKUP($D497,$C$5:$AJ$644,7,)=0,0,((VLOOKUP($D497,$C$5:$AJ$644,7,)/VLOOKUP($D497,$C$5:$AJ$644,4,))*$F497))</f>
        <v>0</v>
      </c>
      <c r="J497" s="101">
        <f t="shared" ref="J497:J506" si="515">IF(VLOOKUP($D497,$C$5:$AJ$644,8,)=0,0,((VLOOKUP($D497,$C$5:$AJ$644,8,)/VLOOKUP($D497,$C$5:$AJ$644,4,))*$F497))</f>
        <v>0</v>
      </c>
      <c r="K497" s="101">
        <f t="shared" ref="K497:K506" si="516">IF(VLOOKUP($D497,$C$5:$AJ$644,9,)=0,0,((VLOOKUP($D497,$C$5:$AJ$644,9,)/VLOOKUP($D497,$C$5:$AJ$644,4,))*$F497))</f>
        <v>0</v>
      </c>
      <c r="L497" s="101">
        <f t="shared" ref="L497:L506" si="517">IF(VLOOKUP($D497,$C$5:$AJ$644,10,)=0,0,((VLOOKUP($D497,$C$5:$AJ$644,10,)/VLOOKUP($D497,$C$5:$AJ$644,4,))*$F497))</f>
        <v>0</v>
      </c>
      <c r="M497" s="101">
        <f t="shared" ref="M497:M506" si="518">IF(VLOOKUP($D497,$C$5:$AJ$644,11,)=0,0,((VLOOKUP($D497,$C$5:$AJ$644,11,)/VLOOKUP($D497,$C$5:$AJ$644,4,))*$F497))</f>
        <v>0</v>
      </c>
      <c r="N497" s="101"/>
      <c r="O497" s="101">
        <f t="shared" ref="O497:O506" si="519">IF(VLOOKUP($D497,$C$5:$AJ$644,13,)=0,0,((VLOOKUP($D497,$C$5:$AJ$644,13,)/VLOOKUP($D497,$C$5:$AJ$644,4,))*$F497))</f>
        <v>0</v>
      </c>
      <c r="P497" s="101">
        <f t="shared" ref="P497:P506" si="520">IF(VLOOKUP($D497,$C$5:$AJ$644,14,)=0,0,((VLOOKUP($D497,$C$5:$AJ$644,14,)/VLOOKUP($D497,$C$5:$AJ$644,4,))*$F497))</f>
        <v>0</v>
      </c>
      <c r="Q497" s="101">
        <f t="shared" ref="Q497:Q506" si="521">IF(VLOOKUP($D497,$C$5:$AJ$644,15,)=0,0,((VLOOKUP($D497,$C$5:$AJ$644,15,)/VLOOKUP($D497,$C$5:$AJ$644,4,))*$F497))</f>
        <v>0</v>
      </c>
      <c r="R497" s="101"/>
      <c r="S497" s="101">
        <f t="shared" ref="S497:S506" si="522">IF(VLOOKUP($D497,$C$5:$AJ$644,17,)=0,0,((VLOOKUP($D497,$C$5:$AJ$644,17,)/VLOOKUP($D497,$C$5:$AJ$644,4,))*$F497))</f>
        <v>0</v>
      </c>
      <c r="T497" s="101">
        <f t="shared" ref="T497:T506" si="523">IF(VLOOKUP($D497,$C$5:$AJ$644,18,)=0,0,((VLOOKUP($D497,$C$5:$AJ$644,18,)/VLOOKUP($D497,$C$5:$AJ$644,4,))*$F497))</f>
        <v>0</v>
      </c>
      <c r="U497" s="101">
        <f t="shared" ref="U497:U506" si="524">IF(VLOOKUP($D497,$C$5:$AJ$644,19,)=0,0,((VLOOKUP($D497,$C$5:$AJ$644,19,)/VLOOKUP($D497,$C$5:$AJ$644,4,))*$F497))</f>
        <v>0</v>
      </c>
      <c r="V497" s="101">
        <f t="shared" ref="V497:V506" si="525">IF(VLOOKUP($D497,$C$5:$AJ$644,20,)=0,0,((VLOOKUP($D497,$C$5:$AJ$644,20,)/VLOOKUP($D497,$C$5:$AJ$644,4,))*$F497))</f>
        <v>0</v>
      </c>
      <c r="W497" s="101">
        <f t="shared" ref="W497:W506" si="526">IF(VLOOKUP($D497,$C$5:$AJ$644,21,)=0,0,((VLOOKUP($D497,$C$5:$AJ$644,21,)/VLOOKUP($D497,$C$5:$AJ$644,4,))*$F497))</f>
        <v>0</v>
      </c>
      <c r="X497" s="101">
        <f t="shared" ref="X497:X506" si="527">IF(VLOOKUP($D497,$C$5:$AJ$644,22,)=0,0,((VLOOKUP($D497,$C$5:$AJ$644,22,)/VLOOKUP($D497,$C$5:$AJ$644,4,))*$F497))</f>
        <v>0</v>
      </c>
      <c r="Y497" s="101">
        <f t="shared" ref="Y497:Y506" si="528">IF(VLOOKUP($D497,$C$5:$AJ$644,23,)=0,0,((VLOOKUP($D497,$C$5:$AJ$644,23,)/VLOOKUP($D497,$C$5:$AJ$644,4,))*$F497))</f>
        <v>0</v>
      </c>
      <c r="Z497" s="101">
        <f t="shared" ref="Z497:Z506" si="529">IF(VLOOKUP($D497,$C$5:$AJ$644,24,)=0,0,((VLOOKUP($D497,$C$5:$AJ$644,24,)/VLOOKUP($D497,$C$5:$AJ$644,4,))*$F497))</f>
        <v>0</v>
      </c>
      <c r="AA497" s="101">
        <f t="shared" ref="AA497:AA506" si="530">IF(VLOOKUP($D497,$C$5:$AJ$644,25,)=0,0,((VLOOKUP($D497,$C$5:$AJ$644,25,)/VLOOKUP($D497,$C$5:$AJ$644,4,))*$F497))</f>
        <v>0</v>
      </c>
      <c r="AB497" s="101">
        <f t="shared" ref="AB497:AB506" si="531">IF(VLOOKUP($D497,$C$5:$AJ$644,26,)=0,0,((VLOOKUP($D497,$C$5:$AJ$644,26,)/VLOOKUP($D497,$C$5:$AJ$644,4,))*$F497))</f>
        <v>0</v>
      </c>
      <c r="AC497" s="101">
        <f t="shared" ref="AC497:AC506" si="532">IF(VLOOKUP($D497,$C$5:$AJ$644,27,)=0,0,((VLOOKUP($D497,$C$5:$AJ$644,27,)/VLOOKUP($D497,$C$5:$AJ$644,4,))*$F497))</f>
        <v>0</v>
      </c>
      <c r="AD497" s="101">
        <f t="shared" ref="AD497:AD506" si="533">IF(VLOOKUP($D497,$C$5:$AJ$644,28,)=0,0,((VLOOKUP($D497,$C$5:$AJ$644,28,)/VLOOKUP($D497,$C$5:$AJ$644,4,))*$F497))</f>
        <v>0</v>
      </c>
      <c r="AE497" s="101"/>
      <c r="AF497" s="101">
        <f t="shared" ref="AF497:AF506" si="534">IF(VLOOKUP($D497,$C$5:$AJ$644,30,)=0,0,((VLOOKUP($D497,$C$5:$AJ$644,30,)/VLOOKUP($D497,$C$5:$AJ$644,4,))*$F497))</f>
        <v>0</v>
      </c>
      <c r="AG497" s="101"/>
      <c r="AH497" s="101">
        <f t="shared" ref="AH497:AH506" si="535">IF(VLOOKUP($D497,$C$5:$AJ$644,32,)=0,0,((VLOOKUP($D497,$C$5:$AJ$644,32,)/VLOOKUP($D497,$C$5:$AJ$644,4,))*$F497))</f>
        <v>614306.72725874442</v>
      </c>
      <c r="AI497" s="101"/>
      <c r="AJ497" s="101">
        <f t="shared" ref="AJ497:AJ506" si="536">IF(VLOOKUP($D497,$C$5:$AJ$644,34,)=0,0,((VLOOKUP($D497,$C$5:$AJ$644,34,)/VLOOKUP($D497,$C$5:$AJ$644,4,))*$F497))</f>
        <v>0</v>
      </c>
      <c r="AK497" s="101">
        <f t="shared" ref="AK497:AK506" si="537">SUM(H497:AJ497)</f>
        <v>614306.72725874442</v>
      </c>
      <c r="AL497" s="98" t="str">
        <f t="shared" ref="AL497:AL506" si="538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3"/>
        <v>0</v>
      </c>
      <c r="I498" s="101">
        <f t="shared" si="514"/>
        <v>0</v>
      </c>
      <c r="J498" s="101">
        <f t="shared" si="515"/>
        <v>0</v>
      </c>
      <c r="K498" s="101">
        <f t="shared" si="516"/>
        <v>0</v>
      </c>
      <c r="L498" s="101">
        <f t="shared" si="517"/>
        <v>0</v>
      </c>
      <c r="M498" s="101">
        <f t="shared" si="518"/>
        <v>0</v>
      </c>
      <c r="N498" s="101"/>
      <c r="O498" s="101">
        <f t="shared" si="519"/>
        <v>0</v>
      </c>
      <c r="P498" s="101">
        <f t="shared" si="520"/>
        <v>0</v>
      </c>
      <c r="Q498" s="101">
        <f t="shared" si="521"/>
        <v>0</v>
      </c>
      <c r="R498" s="101"/>
      <c r="S498" s="101">
        <f t="shared" si="522"/>
        <v>0</v>
      </c>
      <c r="T498" s="101">
        <f t="shared" si="523"/>
        <v>0</v>
      </c>
      <c r="U498" s="101">
        <f t="shared" si="524"/>
        <v>0</v>
      </c>
      <c r="V498" s="101">
        <f t="shared" si="525"/>
        <v>0</v>
      </c>
      <c r="W498" s="101">
        <f t="shared" si="526"/>
        <v>0</v>
      </c>
      <c r="X498" s="101">
        <f t="shared" si="527"/>
        <v>0</v>
      </c>
      <c r="Y498" s="101">
        <f t="shared" si="528"/>
        <v>0</v>
      </c>
      <c r="Z498" s="101">
        <f t="shared" si="529"/>
        <v>0</v>
      </c>
      <c r="AA498" s="101">
        <f t="shared" si="530"/>
        <v>0</v>
      </c>
      <c r="AB498" s="101">
        <f t="shared" si="531"/>
        <v>0</v>
      </c>
      <c r="AC498" s="101">
        <f t="shared" si="532"/>
        <v>0</v>
      </c>
      <c r="AD498" s="101">
        <f t="shared" si="533"/>
        <v>0</v>
      </c>
      <c r="AE498" s="101"/>
      <c r="AF498" s="101">
        <f t="shared" si="534"/>
        <v>0</v>
      </c>
      <c r="AG498" s="101"/>
      <c r="AH498" s="101">
        <f t="shared" si="535"/>
        <v>1585967.8624582202</v>
      </c>
      <c r="AI498" s="101"/>
      <c r="AJ498" s="101">
        <f t="shared" si="536"/>
        <v>0</v>
      </c>
      <c r="AK498" s="101">
        <f t="shared" si="537"/>
        <v>1585967.8624582202</v>
      </c>
      <c r="AL498" s="98" t="str">
        <f t="shared" si="538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3"/>
        <v>0</v>
      </c>
      <c r="I499" s="101">
        <f t="shared" si="514"/>
        <v>0</v>
      </c>
      <c r="J499" s="101">
        <f t="shared" si="515"/>
        <v>0</v>
      </c>
      <c r="K499" s="101">
        <f t="shared" si="516"/>
        <v>0</v>
      </c>
      <c r="L499" s="101">
        <f t="shared" si="517"/>
        <v>0</v>
      </c>
      <c r="M499" s="101">
        <f t="shared" si="518"/>
        <v>0</v>
      </c>
      <c r="N499" s="101"/>
      <c r="O499" s="101">
        <f t="shared" si="519"/>
        <v>0</v>
      </c>
      <c r="P499" s="101">
        <f t="shared" si="520"/>
        <v>0</v>
      </c>
      <c r="Q499" s="101">
        <f t="shared" si="521"/>
        <v>0</v>
      </c>
      <c r="R499" s="101"/>
      <c r="S499" s="101">
        <f t="shared" si="522"/>
        <v>0</v>
      </c>
      <c r="T499" s="101">
        <f t="shared" si="523"/>
        <v>0</v>
      </c>
      <c r="U499" s="101">
        <f t="shared" si="524"/>
        <v>0</v>
      </c>
      <c r="V499" s="101">
        <f t="shared" si="525"/>
        <v>0</v>
      </c>
      <c r="W499" s="101">
        <f t="shared" si="526"/>
        <v>0</v>
      </c>
      <c r="X499" s="101">
        <f t="shared" si="527"/>
        <v>0</v>
      </c>
      <c r="Y499" s="101">
        <f t="shared" si="528"/>
        <v>0</v>
      </c>
      <c r="Z499" s="101">
        <f t="shared" si="529"/>
        <v>0</v>
      </c>
      <c r="AA499" s="101">
        <f t="shared" si="530"/>
        <v>0</v>
      </c>
      <c r="AB499" s="101">
        <f t="shared" si="531"/>
        <v>0</v>
      </c>
      <c r="AC499" s="101">
        <f t="shared" si="532"/>
        <v>0</v>
      </c>
      <c r="AD499" s="101">
        <f t="shared" si="533"/>
        <v>0</v>
      </c>
      <c r="AE499" s="101"/>
      <c r="AF499" s="101">
        <f t="shared" si="534"/>
        <v>0</v>
      </c>
      <c r="AG499" s="101"/>
      <c r="AH499" s="101">
        <f t="shared" si="535"/>
        <v>0</v>
      </c>
      <c r="AI499" s="101"/>
      <c r="AJ499" s="101">
        <f t="shared" si="536"/>
        <v>0</v>
      </c>
      <c r="AK499" s="101">
        <f t="shared" si="537"/>
        <v>0</v>
      </c>
      <c r="AL499" s="98" t="str">
        <f t="shared" si="538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3"/>
        <v>0</v>
      </c>
      <c r="I500" s="101">
        <f t="shared" si="514"/>
        <v>0</v>
      </c>
      <c r="J500" s="101">
        <f t="shared" si="515"/>
        <v>0</v>
      </c>
      <c r="K500" s="101">
        <f t="shared" si="516"/>
        <v>0</v>
      </c>
      <c r="L500" s="101">
        <f t="shared" si="517"/>
        <v>0</v>
      </c>
      <c r="M500" s="101">
        <f t="shared" si="518"/>
        <v>0</v>
      </c>
      <c r="N500" s="101"/>
      <c r="O500" s="101">
        <f t="shared" si="519"/>
        <v>0</v>
      </c>
      <c r="P500" s="101">
        <f t="shared" si="520"/>
        <v>0</v>
      </c>
      <c r="Q500" s="101">
        <f t="shared" si="521"/>
        <v>0</v>
      </c>
      <c r="R500" s="101"/>
      <c r="S500" s="101">
        <f t="shared" si="522"/>
        <v>0</v>
      </c>
      <c r="T500" s="101">
        <f t="shared" si="523"/>
        <v>0</v>
      </c>
      <c r="U500" s="101">
        <f t="shared" si="524"/>
        <v>0</v>
      </c>
      <c r="V500" s="101">
        <f t="shared" si="525"/>
        <v>0</v>
      </c>
      <c r="W500" s="101">
        <f t="shared" si="526"/>
        <v>0</v>
      </c>
      <c r="X500" s="101">
        <f t="shared" si="527"/>
        <v>0</v>
      </c>
      <c r="Y500" s="101">
        <f t="shared" si="528"/>
        <v>0</v>
      </c>
      <c r="Z500" s="101">
        <f t="shared" si="529"/>
        <v>0</v>
      </c>
      <c r="AA500" s="101">
        <f t="shared" si="530"/>
        <v>0</v>
      </c>
      <c r="AB500" s="101">
        <f t="shared" si="531"/>
        <v>0</v>
      </c>
      <c r="AC500" s="101">
        <f t="shared" si="532"/>
        <v>0</v>
      </c>
      <c r="AD500" s="101">
        <f t="shared" si="533"/>
        <v>0</v>
      </c>
      <c r="AE500" s="101"/>
      <c r="AF500" s="101">
        <f t="shared" si="534"/>
        <v>0</v>
      </c>
      <c r="AG500" s="101"/>
      <c r="AH500" s="101">
        <f t="shared" si="535"/>
        <v>0</v>
      </c>
      <c r="AI500" s="101"/>
      <c r="AJ500" s="101">
        <f t="shared" si="536"/>
        <v>0</v>
      </c>
      <c r="AK500" s="101">
        <f t="shared" si="537"/>
        <v>0</v>
      </c>
      <c r="AL500" s="98" t="str">
        <f t="shared" si="538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3"/>
        <v>0</v>
      </c>
      <c r="I501" s="101">
        <f t="shared" si="514"/>
        <v>0</v>
      </c>
      <c r="J501" s="101">
        <f t="shared" si="515"/>
        <v>0</v>
      </c>
      <c r="K501" s="101">
        <f t="shared" si="516"/>
        <v>0</v>
      </c>
      <c r="L501" s="101">
        <f t="shared" si="517"/>
        <v>0</v>
      </c>
      <c r="M501" s="101">
        <f t="shared" si="518"/>
        <v>0</v>
      </c>
      <c r="N501" s="101"/>
      <c r="O501" s="101">
        <f t="shared" si="519"/>
        <v>0</v>
      </c>
      <c r="P501" s="101">
        <f t="shared" si="520"/>
        <v>0</v>
      </c>
      <c r="Q501" s="101">
        <f t="shared" si="521"/>
        <v>0</v>
      </c>
      <c r="R501" s="101"/>
      <c r="S501" s="101">
        <f t="shared" si="522"/>
        <v>0</v>
      </c>
      <c r="T501" s="101">
        <f t="shared" si="523"/>
        <v>0</v>
      </c>
      <c r="U501" s="101">
        <f t="shared" si="524"/>
        <v>0</v>
      </c>
      <c r="V501" s="101">
        <f t="shared" si="525"/>
        <v>0</v>
      </c>
      <c r="W501" s="101">
        <f t="shared" si="526"/>
        <v>0</v>
      </c>
      <c r="X501" s="101">
        <f t="shared" si="527"/>
        <v>0</v>
      </c>
      <c r="Y501" s="101">
        <f t="shared" si="528"/>
        <v>0</v>
      </c>
      <c r="Z501" s="101">
        <f t="shared" si="529"/>
        <v>0</v>
      </c>
      <c r="AA501" s="101">
        <f t="shared" si="530"/>
        <v>0</v>
      </c>
      <c r="AB501" s="101">
        <f t="shared" si="531"/>
        <v>0</v>
      </c>
      <c r="AC501" s="101">
        <f t="shared" si="532"/>
        <v>0</v>
      </c>
      <c r="AD501" s="101">
        <f t="shared" si="533"/>
        <v>0</v>
      </c>
      <c r="AE501" s="101"/>
      <c r="AF501" s="101">
        <f t="shared" si="534"/>
        <v>0</v>
      </c>
      <c r="AG501" s="101"/>
      <c r="AH501" s="101">
        <f t="shared" si="535"/>
        <v>0</v>
      </c>
      <c r="AI501" s="101"/>
      <c r="AJ501" s="101">
        <f t="shared" si="536"/>
        <v>0</v>
      </c>
      <c r="AK501" s="101">
        <f t="shared" si="537"/>
        <v>0</v>
      </c>
      <c r="AL501" s="98" t="str">
        <f t="shared" si="538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3"/>
        <v>0</v>
      </c>
      <c r="I502" s="101">
        <f t="shared" si="514"/>
        <v>0</v>
      </c>
      <c r="J502" s="101">
        <f t="shared" si="515"/>
        <v>0</v>
      </c>
      <c r="K502" s="101">
        <f t="shared" si="516"/>
        <v>0</v>
      </c>
      <c r="L502" s="101">
        <f t="shared" si="517"/>
        <v>0</v>
      </c>
      <c r="M502" s="101">
        <f t="shared" si="518"/>
        <v>0</v>
      </c>
      <c r="N502" s="101"/>
      <c r="O502" s="101">
        <f t="shared" si="519"/>
        <v>0</v>
      </c>
      <c r="P502" s="101">
        <f t="shared" si="520"/>
        <v>0</v>
      </c>
      <c r="Q502" s="101">
        <f t="shared" si="521"/>
        <v>0</v>
      </c>
      <c r="R502" s="101"/>
      <c r="S502" s="101">
        <f t="shared" si="522"/>
        <v>0</v>
      </c>
      <c r="T502" s="101">
        <f t="shared" si="523"/>
        <v>0</v>
      </c>
      <c r="U502" s="101">
        <f t="shared" si="524"/>
        <v>0</v>
      </c>
      <c r="V502" s="101">
        <f t="shared" si="525"/>
        <v>0</v>
      </c>
      <c r="W502" s="101">
        <f t="shared" si="526"/>
        <v>0</v>
      </c>
      <c r="X502" s="101">
        <f t="shared" si="527"/>
        <v>0</v>
      </c>
      <c r="Y502" s="101">
        <f t="shared" si="528"/>
        <v>0</v>
      </c>
      <c r="Z502" s="101">
        <f t="shared" si="529"/>
        <v>0</v>
      </c>
      <c r="AA502" s="101">
        <f t="shared" si="530"/>
        <v>0</v>
      </c>
      <c r="AB502" s="101">
        <f t="shared" si="531"/>
        <v>0</v>
      </c>
      <c r="AC502" s="101">
        <f t="shared" si="532"/>
        <v>0</v>
      </c>
      <c r="AD502" s="101">
        <f t="shared" si="533"/>
        <v>0</v>
      </c>
      <c r="AE502" s="101"/>
      <c r="AF502" s="101">
        <f t="shared" si="534"/>
        <v>0</v>
      </c>
      <c r="AG502" s="101"/>
      <c r="AH502" s="101">
        <f t="shared" si="535"/>
        <v>0</v>
      </c>
      <c r="AI502" s="101"/>
      <c r="AJ502" s="101">
        <f t="shared" si="536"/>
        <v>0</v>
      </c>
      <c r="AK502" s="101">
        <f t="shared" si="537"/>
        <v>0</v>
      </c>
      <c r="AL502" s="98" t="str">
        <f t="shared" si="538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3"/>
        <v>0</v>
      </c>
      <c r="I503" s="101">
        <f t="shared" si="514"/>
        <v>0</v>
      </c>
      <c r="J503" s="101">
        <f t="shared" si="515"/>
        <v>0</v>
      </c>
      <c r="K503" s="101">
        <f t="shared" si="516"/>
        <v>0</v>
      </c>
      <c r="L503" s="101">
        <f t="shared" si="517"/>
        <v>0</v>
      </c>
      <c r="M503" s="101">
        <f t="shared" si="518"/>
        <v>0</v>
      </c>
      <c r="N503" s="101"/>
      <c r="O503" s="101">
        <f t="shared" si="519"/>
        <v>0</v>
      </c>
      <c r="P503" s="101">
        <f t="shared" si="520"/>
        <v>0</v>
      </c>
      <c r="Q503" s="101">
        <f t="shared" si="521"/>
        <v>0</v>
      </c>
      <c r="R503" s="101"/>
      <c r="S503" s="101">
        <f t="shared" si="522"/>
        <v>0</v>
      </c>
      <c r="T503" s="101">
        <f t="shared" si="523"/>
        <v>0</v>
      </c>
      <c r="U503" s="101">
        <f t="shared" si="524"/>
        <v>0</v>
      </c>
      <c r="V503" s="101">
        <f t="shared" si="525"/>
        <v>0</v>
      </c>
      <c r="W503" s="101">
        <f t="shared" si="526"/>
        <v>0</v>
      </c>
      <c r="X503" s="101">
        <f t="shared" si="527"/>
        <v>0</v>
      </c>
      <c r="Y503" s="101">
        <f t="shared" si="528"/>
        <v>0</v>
      </c>
      <c r="Z503" s="101">
        <f t="shared" si="529"/>
        <v>0</v>
      </c>
      <c r="AA503" s="101">
        <f t="shared" si="530"/>
        <v>0</v>
      </c>
      <c r="AB503" s="101">
        <f t="shared" si="531"/>
        <v>0</v>
      </c>
      <c r="AC503" s="101">
        <f t="shared" si="532"/>
        <v>0</v>
      </c>
      <c r="AD503" s="101">
        <f t="shared" si="533"/>
        <v>0</v>
      </c>
      <c r="AE503" s="101"/>
      <c r="AF503" s="101">
        <f t="shared" si="534"/>
        <v>0</v>
      </c>
      <c r="AG503" s="101"/>
      <c r="AH503" s="101">
        <f t="shared" si="535"/>
        <v>0</v>
      </c>
      <c r="AI503" s="101"/>
      <c r="AJ503" s="101">
        <f t="shared" si="536"/>
        <v>0</v>
      </c>
      <c r="AK503" s="101">
        <f t="shared" si="537"/>
        <v>0</v>
      </c>
      <c r="AL503" s="98" t="str">
        <f t="shared" si="538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3"/>
        <v>0</v>
      </c>
      <c r="I504" s="101">
        <f t="shared" si="514"/>
        <v>0</v>
      </c>
      <c r="J504" s="101">
        <f t="shared" si="515"/>
        <v>0</v>
      </c>
      <c r="K504" s="101">
        <f t="shared" si="516"/>
        <v>0</v>
      </c>
      <c r="L504" s="101">
        <f t="shared" si="517"/>
        <v>0</v>
      </c>
      <c r="M504" s="101">
        <f t="shared" si="518"/>
        <v>0</v>
      </c>
      <c r="N504" s="101"/>
      <c r="O504" s="101">
        <f t="shared" si="519"/>
        <v>0</v>
      </c>
      <c r="P504" s="101">
        <f t="shared" si="520"/>
        <v>0</v>
      </c>
      <c r="Q504" s="101">
        <f t="shared" si="521"/>
        <v>0</v>
      </c>
      <c r="R504" s="101"/>
      <c r="S504" s="101">
        <f t="shared" si="522"/>
        <v>0</v>
      </c>
      <c r="T504" s="101">
        <f t="shared" si="523"/>
        <v>0</v>
      </c>
      <c r="U504" s="101">
        <f t="shared" si="524"/>
        <v>0</v>
      </c>
      <c r="V504" s="101">
        <f t="shared" si="525"/>
        <v>0</v>
      </c>
      <c r="W504" s="101">
        <f t="shared" si="526"/>
        <v>0</v>
      </c>
      <c r="X504" s="101">
        <f t="shared" si="527"/>
        <v>0</v>
      </c>
      <c r="Y504" s="101">
        <f t="shared" si="528"/>
        <v>0</v>
      </c>
      <c r="Z504" s="101">
        <f t="shared" si="529"/>
        <v>0</v>
      </c>
      <c r="AA504" s="101">
        <f t="shared" si="530"/>
        <v>0</v>
      </c>
      <c r="AB504" s="101">
        <f t="shared" si="531"/>
        <v>0</v>
      </c>
      <c r="AC504" s="101">
        <f t="shared" si="532"/>
        <v>0</v>
      </c>
      <c r="AD504" s="101">
        <f t="shared" si="533"/>
        <v>0</v>
      </c>
      <c r="AE504" s="101"/>
      <c r="AF504" s="101">
        <f t="shared" si="534"/>
        <v>0</v>
      </c>
      <c r="AG504" s="101"/>
      <c r="AH504" s="101">
        <f t="shared" si="535"/>
        <v>0</v>
      </c>
      <c r="AI504" s="101"/>
      <c r="AJ504" s="101">
        <f t="shared" si="536"/>
        <v>0</v>
      </c>
      <c r="AK504" s="101">
        <f t="shared" si="537"/>
        <v>0</v>
      </c>
      <c r="AL504" s="98" t="str">
        <f t="shared" si="538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3"/>
        <v>0</v>
      </c>
      <c r="I505" s="101">
        <f t="shared" si="514"/>
        <v>0</v>
      </c>
      <c r="J505" s="101">
        <f t="shared" si="515"/>
        <v>0</v>
      </c>
      <c r="K505" s="101">
        <f t="shared" si="516"/>
        <v>0</v>
      </c>
      <c r="L505" s="101">
        <f t="shared" si="517"/>
        <v>0</v>
      </c>
      <c r="M505" s="101">
        <f t="shared" si="518"/>
        <v>0</v>
      </c>
      <c r="N505" s="101"/>
      <c r="O505" s="101">
        <f t="shared" si="519"/>
        <v>0</v>
      </c>
      <c r="P505" s="101">
        <f t="shared" si="520"/>
        <v>0</v>
      </c>
      <c r="Q505" s="101">
        <f t="shared" si="521"/>
        <v>0</v>
      </c>
      <c r="R505" s="101"/>
      <c r="S505" s="101">
        <f t="shared" si="522"/>
        <v>0</v>
      </c>
      <c r="T505" s="101">
        <f t="shared" si="523"/>
        <v>0</v>
      </c>
      <c r="U505" s="101">
        <f t="shared" si="524"/>
        <v>0</v>
      </c>
      <c r="V505" s="101">
        <f t="shared" si="525"/>
        <v>0</v>
      </c>
      <c r="W505" s="101">
        <f t="shared" si="526"/>
        <v>0</v>
      </c>
      <c r="X505" s="101">
        <f t="shared" si="527"/>
        <v>0</v>
      </c>
      <c r="Y505" s="101">
        <f t="shared" si="528"/>
        <v>0</v>
      </c>
      <c r="Z505" s="101">
        <f t="shared" si="529"/>
        <v>0</v>
      </c>
      <c r="AA505" s="101">
        <f t="shared" si="530"/>
        <v>0</v>
      </c>
      <c r="AB505" s="101">
        <f t="shared" si="531"/>
        <v>0</v>
      </c>
      <c r="AC505" s="101">
        <f t="shared" si="532"/>
        <v>0</v>
      </c>
      <c r="AD505" s="101">
        <f t="shared" si="533"/>
        <v>0</v>
      </c>
      <c r="AE505" s="101"/>
      <c r="AF505" s="101">
        <f t="shared" si="534"/>
        <v>0</v>
      </c>
      <c r="AG505" s="101"/>
      <c r="AH505" s="101">
        <f t="shared" si="535"/>
        <v>0</v>
      </c>
      <c r="AI505" s="101"/>
      <c r="AJ505" s="101">
        <f t="shared" si="536"/>
        <v>0</v>
      </c>
      <c r="AK505" s="101">
        <f t="shared" si="537"/>
        <v>0</v>
      </c>
      <c r="AL505" s="98" t="str">
        <f t="shared" si="538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3"/>
        <v>0</v>
      </c>
      <c r="I506" s="101">
        <f t="shared" si="514"/>
        <v>0</v>
      </c>
      <c r="J506" s="101">
        <f t="shared" si="515"/>
        <v>0</v>
      </c>
      <c r="K506" s="101">
        <f t="shared" si="516"/>
        <v>0</v>
      </c>
      <c r="L506" s="101">
        <f t="shared" si="517"/>
        <v>0</v>
      </c>
      <c r="M506" s="101">
        <f t="shared" si="518"/>
        <v>0</v>
      </c>
      <c r="N506" s="101"/>
      <c r="O506" s="101">
        <f t="shared" si="519"/>
        <v>0</v>
      </c>
      <c r="P506" s="101">
        <f t="shared" si="520"/>
        <v>0</v>
      </c>
      <c r="Q506" s="101">
        <f t="shared" si="521"/>
        <v>0</v>
      </c>
      <c r="R506" s="101"/>
      <c r="S506" s="101">
        <f t="shared" si="522"/>
        <v>0</v>
      </c>
      <c r="T506" s="101">
        <f t="shared" si="523"/>
        <v>0</v>
      </c>
      <c r="U506" s="101">
        <f t="shared" si="524"/>
        <v>0</v>
      </c>
      <c r="V506" s="101">
        <f t="shared" si="525"/>
        <v>0</v>
      </c>
      <c r="W506" s="101">
        <f t="shared" si="526"/>
        <v>0</v>
      </c>
      <c r="X506" s="101">
        <f t="shared" si="527"/>
        <v>0</v>
      </c>
      <c r="Y506" s="101">
        <f t="shared" si="528"/>
        <v>0</v>
      </c>
      <c r="Z506" s="101">
        <f t="shared" si="529"/>
        <v>0</v>
      </c>
      <c r="AA506" s="101">
        <f t="shared" si="530"/>
        <v>0</v>
      </c>
      <c r="AB506" s="101">
        <f t="shared" si="531"/>
        <v>0</v>
      </c>
      <c r="AC506" s="101">
        <f t="shared" si="532"/>
        <v>0</v>
      </c>
      <c r="AD506" s="101">
        <f t="shared" si="533"/>
        <v>0</v>
      </c>
      <c r="AE506" s="101"/>
      <c r="AF506" s="101">
        <f t="shared" si="534"/>
        <v>0</v>
      </c>
      <c r="AG506" s="101"/>
      <c r="AH506" s="101">
        <f t="shared" si="535"/>
        <v>0</v>
      </c>
      <c r="AI506" s="101"/>
      <c r="AJ506" s="101">
        <f t="shared" si="536"/>
        <v>0</v>
      </c>
      <c r="AK506" s="101">
        <f t="shared" si="537"/>
        <v>0</v>
      </c>
      <c r="AL506" s="98" t="str">
        <f t="shared" si="538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9">SUM(F497:F507)</f>
        <v>2200274.5897169644</v>
      </c>
      <c r="G508" s="100">
        <f t="shared" si="539"/>
        <v>0</v>
      </c>
      <c r="H508" s="100">
        <f t="shared" si="539"/>
        <v>0</v>
      </c>
      <c r="I508" s="100">
        <f t="shared" si="539"/>
        <v>0</v>
      </c>
      <c r="J508" s="100">
        <f t="shared" si="539"/>
        <v>0</v>
      </c>
      <c r="K508" s="100">
        <f t="shared" si="539"/>
        <v>0</v>
      </c>
      <c r="L508" s="100">
        <f t="shared" si="539"/>
        <v>0</v>
      </c>
      <c r="M508" s="100">
        <f t="shared" si="539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0">SUM(S497:S507)</f>
        <v>0</v>
      </c>
      <c r="T508" s="100">
        <f t="shared" si="540"/>
        <v>0</v>
      </c>
      <c r="U508" s="100">
        <f t="shared" si="540"/>
        <v>0</v>
      </c>
      <c r="V508" s="100">
        <f t="shared" si="540"/>
        <v>0</v>
      </c>
      <c r="W508" s="100">
        <f t="shared" si="540"/>
        <v>0</v>
      </c>
      <c r="X508" s="100">
        <f t="shared" si="540"/>
        <v>0</v>
      </c>
      <c r="Y508" s="100">
        <f t="shared" si="540"/>
        <v>0</v>
      </c>
      <c r="Z508" s="100">
        <f t="shared" si="540"/>
        <v>0</v>
      </c>
      <c r="AA508" s="100">
        <f t="shared" si="540"/>
        <v>0</v>
      </c>
      <c r="AB508" s="100">
        <f t="shared" si="540"/>
        <v>0</v>
      </c>
      <c r="AC508" s="100">
        <f t="shared" si="540"/>
        <v>0</v>
      </c>
      <c r="AD508" s="100">
        <f t="shared" si="540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1">H485+H494+H508</f>
        <v>10927436.935938632</v>
      </c>
      <c r="I510" s="101">
        <f t="shared" si="541"/>
        <v>10301051.649205554</v>
      </c>
      <c r="J510" s="101">
        <f t="shared" si="541"/>
        <v>10579251.156002475</v>
      </c>
      <c r="K510" s="101">
        <f t="shared" si="541"/>
        <v>22783264.729198322</v>
      </c>
      <c r="L510" s="101">
        <f t="shared" si="541"/>
        <v>0</v>
      </c>
      <c r="M510" s="101">
        <f t="shared" si="541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2">S485+S494+S508</f>
        <v>0</v>
      </c>
      <c r="T510" s="101">
        <f t="shared" si="542"/>
        <v>2364157.6911235116</v>
      </c>
      <c r="U510" s="101">
        <f t="shared" si="542"/>
        <v>0</v>
      </c>
      <c r="V510" s="101">
        <f t="shared" si="542"/>
        <v>2823475.9405773715</v>
      </c>
      <c r="W510" s="101">
        <f t="shared" si="542"/>
        <v>4478897.6535144858</v>
      </c>
      <c r="X510" s="101">
        <f t="shared" si="542"/>
        <v>1436859.1246300009</v>
      </c>
      <c r="Y510" s="101">
        <f t="shared" si="542"/>
        <v>2118227.3894455666</v>
      </c>
      <c r="Z510" s="101">
        <f t="shared" si="542"/>
        <v>369799.43338242033</v>
      </c>
      <c r="AA510" s="101">
        <f t="shared" si="542"/>
        <v>329076.905193354</v>
      </c>
      <c r="AB510" s="101">
        <f t="shared" si="542"/>
        <v>204098.54165836229</v>
      </c>
      <c r="AC510" s="101">
        <f t="shared" si="542"/>
        <v>6388719.5122327032</v>
      </c>
      <c r="AD510" s="101">
        <f t="shared" si="542"/>
        <v>241551.32076187784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100294209.5631099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3">IF(VLOOKUP($D519,$C$5:$AJ$644,6,)=0,0,((VLOOKUP($D519,$C$5:$AJ$644,6,)/VLOOKUP($D519,$C$5:$AJ$644,4,))*$F519))</f>
        <v>3683645.3393441848</v>
      </c>
      <c r="I519" s="101">
        <f t="shared" ref="I519:I530" si="544">IF(VLOOKUP($D519,$C$5:$AJ$644,7,)=0,0,((VLOOKUP($D519,$C$5:$AJ$644,7,)/VLOOKUP($D519,$C$5:$AJ$644,4,))*$F519))</f>
        <v>3472490.4952910976</v>
      </c>
      <c r="J519" s="101">
        <f t="shared" ref="J519:J530" si="545">IF(VLOOKUP($D519,$C$5:$AJ$644,8,)=0,0,((VLOOKUP($D519,$C$5:$AJ$644,8,)/VLOOKUP($D519,$C$5:$AJ$644,4,))*$F519))</f>
        <v>3566271.7106509367</v>
      </c>
      <c r="K519" s="101">
        <f t="shared" ref="K519:K530" si="546">IF(VLOOKUP($D519,$C$5:$AJ$644,9,)=0,0,((VLOOKUP($D519,$C$5:$AJ$644,9,)/VLOOKUP($D519,$C$5:$AJ$644,4,))*$F519))</f>
        <v>7680251.7760352762</v>
      </c>
      <c r="L519" s="101">
        <f t="shared" ref="L519:L530" si="547">IF(VLOOKUP($D519,$C$5:$AJ$644,10,)=0,0,((VLOOKUP($D519,$C$5:$AJ$644,10,)/VLOOKUP($D519,$C$5:$AJ$644,4,))*$F519))</f>
        <v>0</v>
      </c>
      <c r="M519" s="101">
        <f t="shared" ref="M519:M530" si="548">IF(VLOOKUP($D519,$C$5:$AJ$644,11,)=0,0,((VLOOKUP($D519,$C$5:$AJ$644,11,)/VLOOKUP($D519,$C$5:$AJ$644,4,))*$F519))</f>
        <v>0</v>
      </c>
      <c r="N519" s="101"/>
      <c r="O519" s="101">
        <f t="shared" ref="O519:O530" si="549">IF(VLOOKUP($D519,$C$5:$AJ$644,13,)=0,0,((VLOOKUP($D519,$C$5:$AJ$644,13,)/VLOOKUP($D519,$C$5:$AJ$644,4,))*$F519))</f>
        <v>2272731.8942555198</v>
      </c>
      <c r="P519" s="101">
        <f t="shared" ref="P519:P530" si="550">IF(VLOOKUP($D519,$C$5:$AJ$644,14,)=0,0,((VLOOKUP($D519,$C$5:$AJ$644,14,)/VLOOKUP($D519,$C$5:$AJ$644,4,))*$F519))</f>
        <v>0</v>
      </c>
      <c r="Q519" s="101">
        <f t="shared" ref="Q519:Q530" si="551">IF(VLOOKUP($D519,$C$5:$AJ$644,15,)=0,0,((VLOOKUP($D519,$C$5:$AJ$644,15,)/VLOOKUP($D519,$C$5:$AJ$644,4,))*$F519))</f>
        <v>0</v>
      </c>
      <c r="R519" s="101"/>
      <c r="S519" s="101">
        <f t="shared" ref="S519:S530" si="552">IF(VLOOKUP($D519,$C$5:$AJ$644,17,)=0,0,((VLOOKUP($D519,$C$5:$AJ$644,17,)/VLOOKUP($D519,$C$5:$AJ$644,4,))*$F519))</f>
        <v>0</v>
      </c>
      <c r="T519" s="101">
        <f t="shared" ref="T519:T530" si="553">IF(VLOOKUP($D519,$C$5:$AJ$644,18,)=0,0,((VLOOKUP($D519,$C$5:$AJ$644,18,)/VLOOKUP($D519,$C$5:$AJ$644,4,))*$F519))</f>
        <v>796958.93112320057</v>
      </c>
      <c r="U519" s="101">
        <f t="shared" ref="U519:U530" si="554">IF(VLOOKUP($D519,$C$5:$AJ$644,19,)=0,0,((VLOOKUP($D519,$C$5:$AJ$644,19,)/VLOOKUP($D519,$C$5:$AJ$644,4,))*$F519))</f>
        <v>0</v>
      </c>
      <c r="V519" s="101">
        <f t="shared" ref="V519:V530" si="555">IF(VLOOKUP($D519,$C$5:$AJ$644,20,)=0,0,((VLOOKUP($D519,$C$5:$AJ$644,20,)/VLOOKUP($D519,$C$5:$AJ$644,4,))*$F519))</f>
        <v>951795.37985271274</v>
      </c>
      <c r="W519" s="101">
        <f t="shared" ref="W519:W530" si="556">IF(VLOOKUP($D519,$C$5:$AJ$644,21,)=0,0,((VLOOKUP($D519,$C$5:$AJ$644,21,)/VLOOKUP($D519,$C$5:$AJ$644,4,))*$F519))</f>
        <v>1509839.0009926932</v>
      </c>
      <c r="X519" s="101">
        <f t="shared" ref="X519:X530" si="557">IF(VLOOKUP($D519,$C$5:$AJ$644,22,)=0,0,((VLOOKUP($D519,$C$5:$AJ$644,22,)/VLOOKUP($D519,$C$5:$AJ$644,4,))*$F519))</f>
        <v>484366.0456488214</v>
      </c>
      <c r="Y519" s="101">
        <f t="shared" ref="Y519:Y530" si="558">IF(VLOOKUP($D519,$C$5:$AJ$644,23,)=0,0,((VLOOKUP($D519,$C$5:$AJ$644,23,)/VLOOKUP($D519,$C$5:$AJ$644,4,))*$F519))</f>
        <v>714055.68355559919</v>
      </c>
      <c r="Z519" s="101">
        <f t="shared" ref="Z519:Z530" si="559">IF(VLOOKUP($D519,$C$5:$AJ$644,24,)=0,0,((VLOOKUP($D519,$C$5:$AJ$644,24,)/VLOOKUP($D519,$C$5:$AJ$644,4,))*$F519))</f>
        <v>124659.60382632614</v>
      </c>
      <c r="AA519" s="101">
        <f t="shared" ref="AA519:AA530" si="560">IF(VLOOKUP($D519,$C$5:$AJ$644,25,)=0,0,((VLOOKUP($D519,$C$5:$AJ$644,25,)/VLOOKUP($D519,$C$5:$AJ$644,4,))*$F519))</f>
        <v>110932.0159162449</v>
      </c>
      <c r="AB519" s="101">
        <f t="shared" ref="AB519:AB530" si="561">IF(VLOOKUP($D519,$C$5:$AJ$644,26,)=0,0,((VLOOKUP($D519,$C$5:$AJ$644,26,)/VLOOKUP($D519,$C$5:$AJ$644,4,))*$F519))</f>
        <v>68801.736963050411</v>
      </c>
      <c r="AC519" s="101">
        <f t="shared" ref="AC519:AC530" si="562">IF(VLOOKUP($D519,$C$5:$AJ$644,27,)=0,0,((VLOOKUP($D519,$C$5:$AJ$644,27,)/VLOOKUP($D519,$C$5:$AJ$644,4,))*$F519))</f>
        <v>2153641.0590679632</v>
      </c>
      <c r="AD519" s="101">
        <f t="shared" ref="AD519:AD530" si="563">IF(VLOOKUP($D519,$C$5:$AJ$644,28,)=0,0,((VLOOKUP($D519,$C$5:$AJ$644,28,)/VLOOKUP($D519,$C$5:$AJ$644,4,))*$F519))</f>
        <v>81427.09055684827</v>
      </c>
      <c r="AE519" s="101"/>
      <c r="AF519" s="101">
        <f t="shared" ref="AF519:AF530" si="564">IF(VLOOKUP($D519,$C$5:$AJ$644,30,)=0,0,((VLOOKUP($D519,$C$5:$AJ$644,30,)/VLOOKUP($D519,$C$5:$AJ$644,4,))*$F519))</f>
        <v>5395654.7036261335</v>
      </c>
      <c r="AG519" s="101"/>
      <c r="AH519" s="101">
        <f t="shared" ref="AH519:AH530" si="565">IF(VLOOKUP($D519,$C$5:$AJ$644,32,)=0,0,((VLOOKUP($D519,$C$5:$AJ$644,32,)/VLOOKUP($D519,$C$5:$AJ$644,4,))*$F519))</f>
        <v>741713.84243199381</v>
      </c>
      <c r="AI519" s="101"/>
      <c r="AJ519" s="101">
        <f t="shared" ref="AJ519:AJ530" si="566">IF(VLOOKUP($D519,$C$5:$AJ$644,34,)=0,0,((VLOOKUP($D519,$C$5:$AJ$644,34,)/VLOOKUP($D519,$C$5:$AJ$644,4,))*$F519))</f>
        <v>0</v>
      </c>
      <c r="AK519" s="101">
        <f t="shared" ref="AK519:AK530" si="567">SUM(H519:AJ519)</f>
        <v>33809236.309138596</v>
      </c>
      <c r="AL519" s="98" t="str">
        <f t="shared" ref="AL519:AL530" si="568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3"/>
        <v>0</v>
      </c>
      <c r="I520" s="101">
        <f t="shared" si="544"/>
        <v>0</v>
      </c>
      <c r="J520" s="101">
        <f t="shared" si="545"/>
        <v>0</v>
      </c>
      <c r="K520" s="101">
        <f t="shared" si="546"/>
        <v>0</v>
      </c>
      <c r="L520" s="101">
        <f t="shared" si="547"/>
        <v>0</v>
      </c>
      <c r="M520" s="101">
        <f t="shared" si="548"/>
        <v>0</v>
      </c>
      <c r="N520" s="101"/>
      <c r="O520" s="101">
        <f t="shared" si="549"/>
        <v>0</v>
      </c>
      <c r="P520" s="101">
        <f t="shared" si="550"/>
        <v>0</v>
      </c>
      <c r="Q520" s="101">
        <f t="shared" si="551"/>
        <v>0</v>
      </c>
      <c r="R520" s="101"/>
      <c r="S520" s="101">
        <f t="shared" si="552"/>
        <v>0</v>
      </c>
      <c r="T520" s="101">
        <f t="shared" si="553"/>
        <v>0</v>
      </c>
      <c r="U520" s="101">
        <f t="shared" si="554"/>
        <v>0</v>
      </c>
      <c r="V520" s="101">
        <f t="shared" si="555"/>
        <v>0</v>
      </c>
      <c r="W520" s="101">
        <f t="shared" si="556"/>
        <v>0</v>
      </c>
      <c r="X520" s="101">
        <f t="shared" si="557"/>
        <v>0</v>
      </c>
      <c r="Y520" s="101">
        <f t="shared" si="558"/>
        <v>0</v>
      </c>
      <c r="Z520" s="101">
        <f t="shared" si="559"/>
        <v>0</v>
      </c>
      <c r="AA520" s="101">
        <f t="shared" si="560"/>
        <v>0</v>
      </c>
      <c r="AB520" s="101">
        <f t="shared" si="561"/>
        <v>0</v>
      </c>
      <c r="AC520" s="101">
        <f t="shared" si="562"/>
        <v>0</v>
      </c>
      <c r="AD520" s="101">
        <f t="shared" si="563"/>
        <v>0</v>
      </c>
      <c r="AE520" s="101"/>
      <c r="AF520" s="101">
        <f t="shared" si="564"/>
        <v>0</v>
      </c>
      <c r="AG520" s="101"/>
      <c r="AH520" s="101">
        <f t="shared" si="565"/>
        <v>0</v>
      </c>
      <c r="AI520" s="101"/>
      <c r="AJ520" s="101">
        <f t="shared" si="566"/>
        <v>0</v>
      </c>
      <c r="AK520" s="101">
        <f t="shared" si="567"/>
        <v>0</v>
      </c>
      <c r="AL520" s="98" t="str">
        <f t="shared" si="568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3"/>
        <v>-344420.82258848159</v>
      </c>
      <c r="I521" s="101">
        <f t="shared" si="544"/>
        <v>-324677.8456233716</v>
      </c>
      <c r="J521" s="101">
        <f t="shared" si="545"/>
        <v>-333446.38883587695</v>
      </c>
      <c r="K521" s="101">
        <f t="shared" si="546"/>
        <v>-718103.50636515394</v>
      </c>
      <c r="L521" s="101">
        <f t="shared" si="547"/>
        <v>0</v>
      </c>
      <c r="M521" s="101">
        <f t="shared" si="548"/>
        <v>0</v>
      </c>
      <c r="N521" s="101"/>
      <c r="O521" s="101">
        <f t="shared" si="549"/>
        <v>-212500.42184623698</v>
      </c>
      <c r="P521" s="101">
        <f t="shared" si="550"/>
        <v>0</v>
      </c>
      <c r="Q521" s="101">
        <f t="shared" si="551"/>
        <v>0</v>
      </c>
      <c r="R521" s="101"/>
      <c r="S521" s="101">
        <f t="shared" si="552"/>
        <v>0</v>
      </c>
      <c r="T521" s="101">
        <f t="shared" si="553"/>
        <v>-74515.656459901831</v>
      </c>
      <c r="U521" s="101">
        <f t="shared" si="554"/>
        <v>0</v>
      </c>
      <c r="V521" s="101">
        <f t="shared" si="555"/>
        <v>-88992.863716665641</v>
      </c>
      <c r="W521" s="101">
        <f t="shared" si="556"/>
        <v>-141169.93977239297</v>
      </c>
      <c r="X521" s="101">
        <f t="shared" si="557"/>
        <v>-45288.223080129035</v>
      </c>
      <c r="Y521" s="101">
        <f t="shared" si="558"/>
        <v>-66764.203186831481</v>
      </c>
      <c r="Z521" s="101">
        <f t="shared" si="559"/>
        <v>-11655.672394634345</v>
      </c>
      <c r="AA521" s="101">
        <f t="shared" si="560"/>
        <v>-10372.142987053636</v>
      </c>
      <c r="AB521" s="101">
        <f t="shared" si="561"/>
        <v>-6432.9620952458454</v>
      </c>
      <c r="AC521" s="101">
        <f t="shared" si="562"/>
        <v>-201365.42929417168</v>
      </c>
      <c r="AD521" s="101">
        <f t="shared" si="563"/>
        <v>-7613.4325992332006</v>
      </c>
      <c r="AE521" s="101"/>
      <c r="AF521" s="101">
        <f t="shared" si="564"/>
        <v>-504493.690415152</v>
      </c>
      <c r="AG521" s="101"/>
      <c r="AH521" s="101">
        <f t="shared" si="565"/>
        <v>-69350.24091683366</v>
      </c>
      <c r="AI521" s="101"/>
      <c r="AJ521" s="101">
        <f t="shared" si="566"/>
        <v>0</v>
      </c>
      <c r="AK521" s="101">
        <f>SUM(H521:AJ521)</f>
        <v>-3161163.442177366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3"/>
        <v>0</v>
      </c>
      <c r="I522" s="101">
        <f t="shared" si="544"/>
        <v>0</v>
      </c>
      <c r="J522" s="101">
        <f t="shared" si="545"/>
        <v>0</v>
      </c>
      <c r="K522" s="101">
        <f t="shared" si="546"/>
        <v>0</v>
      </c>
      <c r="L522" s="101">
        <f t="shared" si="547"/>
        <v>0</v>
      </c>
      <c r="M522" s="101">
        <f t="shared" si="548"/>
        <v>0</v>
      </c>
      <c r="N522" s="101"/>
      <c r="O522" s="101">
        <f t="shared" si="549"/>
        <v>0</v>
      </c>
      <c r="P522" s="101">
        <f t="shared" si="550"/>
        <v>0</v>
      </c>
      <c r="Q522" s="101">
        <f t="shared" si="551"/>
        <v>0</v>
      </c>
      <c r="R522" s="101"/>
      <c r="S522" s="101">
        <f t="shared" si="552"/>
        <v>0</v>
      </c>
      <c r="T522" s="101">
        <f t="shared" si="553"/>
        <v>0</v>
      </c>
      <c r="U522" s="101">
        <f t="shared" si="554"/>
        <v>0</v>
      </c>
      <c r="V522" s="101">
        <f t="shared" si="555"/>
        <v>0</v>
      </c>
      <c r="W522" s="101">
        <f t="shared" si="556"/>
        <v>0</v>
      </c>
      <c r="X522" s="101">
        <f t="shared" si="557"/>
        <v>0</v>
      </c>
      <c r="Y522" s="101">
        <f t="shared" si="558"/>
        <v>0</v>
      </c>
      <c r="Z522" s="101">
        <f t="shared" si="559"/>
        <v>0</v>
      </c>
      <c r="AA522" s="101">
        <f t="shared" si="560"/>
        <v>0</v>
      </c>
      <c r="AB522" s="101">
        <f t="shared" si="561"/>
        <v>0</v>
      </c>
      <c r="AC522" s="101">
        <f t="shared" si="562"/>
        <v>0</v>
      </c>
      <c r="AD522" s="101">
        <f t="shared" si="563"/>
        <v>0</v>
      </c>
      <c r="AE522" s="101"/>
      <c r="AF522" s="101">
        <f t="shared" si="564"/>
        <v>0</v>
      </c>
      <c r="AG522" s="101"/>
      <c r="AH522" s="101">
        <f t="shared" si="565"/>
        <v>0</v>
      </c>
      <c r="AI522" s="101"/>
      <c r="AJ522" s="101">
        <f t="shared" si="566"/>
        <v>0</v>
      </c>
      <c r="AK522" s="101">
        <f t="shared" si="567"/>
        <v>0</v>
      </c>
      <c r="AL522" s="98" t="str">
        <f t="shared" si="568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3"/>
        <v>0</v>
      </c>
      <c r="I523" s="101">
        <f t="shared" si="544"/>
        <v>0</v>
      </c>
      <c r="J523" s="101">
        <f t="shared" si="545"/>
        <v>0</v>
      </c>
      <c r="K523" s="101">
        <f t="shared" si="546"/>
        <v>0</v>
      </c>
      <c r="L523" s="101">
        <f t="shared" si="547"/>
        <v>0</v>
      </c>
      <c r="M523" s="101">
        <f t="shared" si="548"/>
        <v>0</v>
      </c>
      <c r="N523" s="101"/>
      <c r="O523" s="101">
        <f t="shared" si="549"/>
        <v>0</v>
      </c>
      <c r="P523" s="101">
        <f t="shared" si="550"/>
        <v>0</v>
      </c>
      <c r="Q523" s="101">
        <f t="shared" si="551"/>
        <v>0</v>
      </c>
      <c r="R523" s="101"/>
      <c r="S523" s="101">
        <f t="shared" si="552"/>
        <v>0</v>
      </c>
      <c r="T523" s="101">
        <f t="shared" si="553"/>
        <v>0</v>
      </c>
      <c r="U523" s="101">
        <f t="shared" si="554"/>
        <v>0</v>
      </c>
      <c r="V523" s="101">
        <f t="shared" si="555"/>
        <v>0</v>
      </c>
      <c r="W523" s="101">
        <f t="shared" si="556"/>
        <v>0</v>
      </c>
      <c r="X523" s="101">
        <f t="shared" si="557"/>
        <v>0</v>
      </c>
      <c r="Y523" s="101">
        <f t="shared" si="558"/>
        <v>0</v>
      </c>
      <c r="Z523" s="101">
        <f t="shared" si="559"/>
        <v>0</v>
      </c>
      <c r="AA523" s="101">
        <f t="shared" si="560"/>
        <v>0</v>
      </c>
      <c r="AB523" s="101">
        <f t="shared" si="561"/>
        <v>0</v>
      </c>
      <c r="AC523" s="101">
        <f t="shared" si="562"/>
        <v>0</v>
      </c>
      <c r="AD523" s="101">
        <f t="shared" si="563"/>
        <v>0</v>
      </c>
      <c r="AE523" s="101"/>
      <c r="AF523" s="101">
        <f t="shared" si="564"/>
        <v>0</v>
      </c>
      <c r="AG523" s="101"/>
      <c r="AH523" s="101">
        <f t="shared" si="565"/>
        <v>0</v>
      </c>
      <c r="AI523" s="101"/>
      <c r="AJ523" s="101">
        <f t="shared" si="566"/>
        <v>0</v>
      </c>
      <c r="AK523" s="101">
        <f t="shared" si="567"/>
        <v>0</v>
      </c>
      <c r="AL523" s="98" t="str">
        <f t="shared" si="568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3"/>
        <v>61044.326432632093</v>
      </c>
      <c r="I524" s="101">
        <f t="shared" si="544"/>
        <v>57545.128208922797</v>
      </c>
      <c r="J524" s="101">
        <f t="shared" si="545"/>
        <v>59099.243927537071</v>
      </c>
      <c r="K524" s="101">
        <f t="shared" si="546"/>
        <v>127274.95546152894</v>
      </c>
      <c r="L524" s="101">
        <f t="shared" si="547"/>
        <v>0</v>
      </c>
      <c r="M524" s="101">
        <f t="shared" si="548"/>
        <v>0</v>
      </c>
      <c r="N524" s="101"/>
      <c r="O524" s="101">
        <f t="shared" si="549"/>
        <v>37663.068744693061</v>
      </c>
      <c r="P524" s="101">
        <f t="shared" si="550"/>
        <v>0</v>
      </c>
      <c r="Q524" s="101">
        <f t="shared" si="551"/>
        <v>0</v>
      </c>
      <c r="R524" s="101"/>
      <c r="S524" s="101">
        <f t="shared" si="552"/>
        <v>0</v>
      </c>
      <c r="T524" s="101">
        <f t="shared" si="553"/>
        <v>13206.977508195059</v>
      </c>
      <c r="U524" s="101">
        <f t="shared" si="554"/>
        <v>0</v>
      </c>
      <c r="V524" s="101">
        <f t="shared" si="555"/>
        <v>15772.883248077338</v>
      </c>
      <c r="W524" s="101">
        <f t="shared" si="556"/>
        <v>25020.623959885888</v>
      </c>
      <c r="X524" s="101">
        <f t="shared" si="557"/>
        <v>8026.7768147120023</v>
      </c>
      <c r="Y524" s="101">
        <f t="shared" si="558"/>
        <v>11833.128388468738</v>
      </c>
      <c r="Z524" s="101">
        <f t="shared" si="559"/>
        <v>2065.8236197873607</v>
      </c>
      <c r="AA524" s="101">
        <f t="shared" si="560"/>
        <v>1838.3339240326538</v>
      </c>
      <c r="AB524" s="101">
        <f t="shared" si="561"/>
        <v>1140.1628830674222</v>
      </c>
      <c r="AC524" s="101">
        <f t="shared" si="562"/>
        <v>35689.529180317331</v>
      </c>
      <c r="AD524" s="101">
        <f t="shared" si="563"/>
        <v>1349.3866641615091</v>
      </c>
      <c r="AE524" s="101"/>
      <c r="AF524" s="101">
        <f t="shared" si="564"/>
        <v>89415.260347664298</v>
      </c>
      <c r="AG524" s="101"/>
      <c r="AH524" s="101">
        <f t="shared" si="565"/>
        <v>12291.471557650391</v>
      </c>
      <c r="AI524" s="101"/>
      <c r="AJ524" s="101">
        <f t="shared" si="566"/>
        <v>0</v>
      </c>
      <c r="AK524" s="101">
        <f t="shared" si="567"/>
        <v>560277.08087133395</v>
      </c>
      <c r="AL524" s="98" t="str">
        <f t="shared" si="568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3"/>
        <v>4290706.1138468357</v>
      </c>
      <c r="I525" s="101">
        <f t="shared" si="544"/>
        <v>4044753.1794885411</v>
      </c>
      <c r="J525" s="101">
        <f t="shared" si="545"/>
        <v>4153989.437879282</v>
      </c>
      <c r="K525" s="101">
        <f t="shared" si="546"/>
        <v>8945948.9759631604</v>
      </c>
      <c r="L525" s="101">
        <f t="shared" si="547"/>
        <v>0</v>
      </c>
      <c r="M525" s="101">
        <f t="shared" si="548"/>
        <v>0</v>
      </c>
      <c r="N525" s="101"/>
      <c r="O525" s="101">
        <f t="shared" si="549"/>
        <v>2647275.6564433486</v>
      </c>
      <c r="P525" s="101">
        <f t="shared" si="550"/>
        <v>0</v>
      </c>
      <c r="Q525" s="101">
        <f t="shared" si="551"/>
        <v>0</v>
      </c>
      <c r="R525" s="101"/>
      <c r="S525" s="101">
        <f t="shared" si="552"/>
        <v>0</v>
      </c>
      <c r="T525" s="101">
        <f t="shared" si="553"/>
        <v>928296.90245476959</v>
      </c>
      <c r="U525" s="101">
        <f t="shared" si="554"/>
        <v>0</v>
      </c>
      <c r="V525" s="101">
        <f t="shared" si="555"/>
        <v>1108650.2307500306</v>
      </c>
      <c r="W525" s="101">
        <f t="shared" si="556"/>
        <v>1758658.83810549</v>
      </c>
      <c r="X525" s="101">
        <f t="shared" si="557"/>
        <v>564189.04697682348</v>
      </c>
      <c r="Y525" s="101">
        <f t="shared" si="558"/>
        <v>831731.28920292645</v>
      </c>
      <c r="Z525" s="101">
        <f t="shared" si="559"/>
        <v>145203.37193552096</v>
      </c>
      <c r="AA525" s="101">
        <f t="shared" si="560"/>
        <v>129213.49236024079</v>
      </c>
      <c r="AB525" s="101">
        <f t="shared" si="561"/>
        <v>80140.188925788199</v>
      </c>
      <c r="AC525" s="101">
        <f t="shared" si="562"/>
        <v>2508558.7802053806</v>
      </c>
      <c r="AD525" s="101">
        <f t="shared" si="563"/>
        <v>94846.187159600537</v>
      </c>
      <c r="AE525" s="101"/>
      <c r="AF525" s="101">
        <f t="shared" si="564"/>
        <v>6284852.7728179144</v>
      </c>
      <c r="AG525" s="101"/>
      <c r="AH525" s="101">
        <f t="shared" si="565"/>
        <v>863947.48279821477</v>
      </c>
      <c r="AI525" s="101"/>
      <c r="AJ525" s="101">
        <f t="shared" si="566"/>
        <v>0</v>
      </c>
      <c r="AK525" s="101">
        <f t="shared" si="567"/>
        <v>39380961.947313868</v>
      </c>
      <c r="AL525" s="98" t="str">
        <f t="shared" si="568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3"/>
        <v>0</v>
      </c>
      <c r="I526" s="101">
        <f t="shared" si="544"/>
        <v>0</v>
      </c>
      <c r="J526" s="101">
        <f t="shared" si="545"/>
        <v>0</v>
      </c>
      <c r="K526" s="101">
        <f t="shared" si="546"/>
        <v>0</v>
      </c>
      <c r="L526" s="101">
        <f t="shared" si="547"/>
        <v>0</v>
      </c>
      <c r="M526" s="101">
        <f t="shared" si="548"/>
        <v>0</v>
      </c>
      <c r="N526" s="101"/>
      <c r="O526" s="101">
        <f t="shared" si="549"/>
        <v>0</v>
      </c>
      <c r="P526" s="101">
        <f t="shared" si="550"/>
        <v>0</v>
      </c>
      <c r="Q526" s="101">
        <f t="shared" si="551"/>
        <v>0</v>
      </c>
      <c r="R526" s="101"/>
      <c r="S526" s="101">
        <f t="shared" si="552"/>
        <v>0</v>
      </c>
      <c r="T526" s="101">
        <f t="shared" si="553"/>
        <v>0</v>
      </c>
      <c r="U526" s="101">
        <f t="shared" si="554"/>
        <v>0</v>
      </c>
      <c r="V526" s="101">
        <f t="shared" si="555"/>
        <v>0</v>
      </c>
      <c r="W526" s="101">
        <f t="shared" si="556"/>
        <v>0</v>
      </c>
      <c r="X526" s="101">
        <f t="shared" si="557"/>
        <v>0</v>
      </c>
      <c r="Y526" s="101">
        <f t="shared" si="558"/>
        <v>0</v>
      </c>
      <c r="Z526" s="101">
        <f t="shared" si="559"/>
        <v>0</v>
      </c>
      <c r="AA526" s="101">
        <f t="shared" si="560"/>
        <v>0</v>
      </c>
      <c r="AB526" s="101">
        <f t="shared" si="561"/>
        <v>0</v>
      </c>
      <c r="AC526" s="101">
        <f t="shared" si="562"/>
        <v>0</v>
      </c>
      <c r="AD526" s="101">
        <f t="shared" si="563"/>
        <v>0</v>
      </c>
      <c r="AE526" s="101"/>
      <c r="AF526" s="101">
        <f t="shared" si="564"/>
        <v>0</v>
      </c>
      <c r="AG526" s="101"/>
      <c r="AH526" s="101">
        <f t="shared" si="565"/>
        <v>0</v>
      </c>
      <c r="AI526" s="101"/>
      <c r="AJ526" s="101">
        <f t="shared" si="566"/>
        <v>0</v>
      </c>
      <c r="AK526" s="101">
        <f t="shared" si="567"/>
        <v>0</v>
      </c>
      <c r="AL526" s="98" t="str">
        <f t="shared" si="568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3"/>
        <v>0</v>
      </c>
      <c r="I527" s="101">
        <f t="shared" si="544"/>
        <v>0</v>
      </c>
      <c r="J527" s="101">
        <f t="shared" si="545"/>
        <v>0</v>
      </c>
      <c r="K527" s="101">
        <f t="shared" si="546"/>
        <v>0</v>
      </c>
      <c r="L527" s="101">
        <f t="shared" si="547"/>
        <v>0</v>
      </c>
      <c r="M527" s="101">
        <f t="shared" si="548"/>
        <v>0</v>
      </c>
      <c r="N527" s="101"/>
      <c r="O527" s="101">
        <f t="shared" si="549"/>
        <v>0</v>
      </c>
      <c r="P527" s="101">
        <f t="shared" si="550"/>
        <v>0</v>
      </c>
      <c r="Q527" s="101">
        <f t="shared" si="551"/>
        <v>0</v>
      </c>
      <c r="R527" s="101"/>
      <c r="S527" s="101">
        <f t="shared" si="552"/>
        <v>0</v>
      </c>
      <c r="T527" s="101">
        <f t="shared" si="553"/>
        <v>0</v>
      </c>
      <c r="U527" s="101">
        <f t="shared" si="554"/>
        <v>0</v>
      </c>
      <c r="V527" s="101">
        <f t="shared" si="555"/>
        <v>0</v>
      </c>
      <c r="W527" s="101">
        <f t="shared" si="556"/>
        <v>0</v>
      </c>
      <c r="X527" s="101">
        <f t="shared" si="557"/>
        <v>0</v>
      </c>
      <c r="Y527" s="101">
        <f t="shared" si="558"/>
        <v>0</v>
      </c>
      <c r="Z527" s="101">
        <f t="shared" si="559"/>
        <v>0</v>
      </c>
      <c r="AA527" s="101">
        <f t="shared" si="560"/>
        <v>0</v>
      </c>
      <c r="AB527" s="101">
        <f t="shared" si="561"/>
        <v>0</v>
      </c>
      <c r="AC527" s="101">
        <f t="shared" si="562"/>
        <v>0</v>
      </c>
      <c r="AD527" s="101">
        <f t="shared" si="563"/>
        <v>0</v>
      </c>
      <c r="AE527" s="101"/>
      <c r="AF527" s="101">
        <f t="shared" si="564"/>
        <v>0</v>
      </c>
      <c r="AG527" s="101"/>
      <c r="AH527" s="101">
        <f t="shared" si="565"/>
        <v>0</v>
      </c>
      <c r="AI527" s="101"/>
      <c r="AJ527" s="101">
        <f t="shared" si="566"/>
        <v>0</v>
      </c>
      <c r="AK527" s="101">
        <f t="shared" si="567"/>
        <v>0</v>
      </c>
      <c r="AL527" s="98" t="str">
        <f t="shared" si="568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3"/>
        <v>0</v>
      </c>
      <c r="I528" s="101">
        <f t="shared" si="544"/>
        <v>0</v>
      </c>
      <c r="J528" s="101">
        <f t="shared" si="545"/>
        <v>0</v>
      </c>
      <c r="K528" s="101">
        <f t="shared" si="546"/>
        <v>0</v>
      </c>
      <c r="L528" s="101">
        <f t="shared" si="547"/>
        <v>0</v>
      </c>
      <c r="M528" s="101">
        <f t="shared" si="548"/>
        <v>0</v>
      </c>
      <c r="N528" s="101"/>
      <c r="O528" s="101">
        <f t="shared" si="549"/>
        <v>0</v>
      </c>
      <c r="P528" s="101">
        <f t="shared" si="550"/>
        <v>0</v>
      </c>
      <c r="Q528" s="101">
        <f t="shared" si="551"/>
        <v>0</v>
      </c>
      <c r="R528" s="101"/>
      <c r="S528" s="101">
        <f t="shared" si="552"/>
        <v>0</v>
      </c>
      <c r="T528" s="101">
        <f t="shared" si="553"/>
        <v>0</v>
      </c>
      <c r="U528" s="101">
        <f t="shared" si="554"/>
        <v>0</v>
      </c>
      <c r="V528" s="101">
        <f t="shared" si="555"/>
        <v>0</v>
      </c>
      <c r="W528" s="101">
        <f t="shared" si="556"/>
        <v>0</v>
      </c>
      <c r="X528" s="101">
        <f t="shared" si="557"/>
        <v>0</v>
      </c>
      <c r="Y528" s="101">
        <f t="shared" si="558"/>
        <v>0</v>
      </c>
      <c r="Z528" s="101">
        <f t="shared" si="559"/>
        <v>0</v>
      </c>
      <c r="AA528" s="101">
        <f t="shared" si="560"/>
        <v>0</v>
      </c>
      <c r="AB528" s="101">
        <f t="shared" si="561"/>
        <v>0</v>
      </c>
      <c r="AC528" s="101">
        <f t="shared" si="562"/>
        <v>0</v>
      </c>
      <c r="AD528" s="101">
        <f t="shared" si="563"/>
        <v>0</v>
      </c>
      <c r="AE528" s="101"/>
      <c r="AF528" s="101">
        <f t="shared" si="564"/>
        <v>0</v>
      </c>
      <c r="AG528" s="101"/>
      <c r="AH528" s="101">
        <f t="shared" si="565"/>
        <v>0</v>
      </c>
      <c r="AI528" s="101"/>
      <c r="AJ528" s="101">
        <f t="shared" si="566"/>
        <v>0</v>
      </c>
      <c r="AK528" s="101">
        <f t="shared" si="567"/>
        <v>0</v>
      </c>
      <c r="AL528" s="98" t="str">
        <f t="shared" si="568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3"/>
        <v>0</v>
      </c>
      <c r="I529" s="101">
        <f t="shared" si="544"/>
        <v>0</v>
      </c>
      <c r="J529" s="101">
        <f t="shared" si="545"/>
        <v>0</v>
      </c>
      <c r="K529" s="101">
        <f t="shared" si="546"/>
        <v>0</v>
      </c>
      <c r="L529" s="101">
        <f t="shared" si="547"/>
        <v>0</v>
      </c>
      <c r="M529" s="101">
        <f t="shared" si="548"/>
        <v>0</v>
      </c>
      <c r="N529" s="101"/>
      <c r="O529" s="101">
        <f t="shared" si="549"/>
        <v>0</v>
      </c>
      <c r="P529" s="101">
        <f t="shared" si="550"/>
        <v>0</v>
      </c>
      <c r="Q529" s="101">
        <f t="shared" si="551"/>
        <v>0</v>
      </c>
      <c r="R529" s="101"/>
      <c r="S529" s="101">
        <f t="shared" si="552"/>
        <v>0</v>
      </c>
      <c r="T529" s="101">
        <f t="shared" si="553"/>
        <v>0</v>
      </c>
      <c r="U529" s="101">
        <f t="shared" si="554"/>
        <v>0</v>
      </c>
      <c r="V529" s="101">
        <f t="shared" si="555"/>
        <v>0</v>
      </c>
      <c r="W529" s="101">
        <f t="shared" si="556"/>
        <v>0</v>
      </c>
      <c r="X529" s="101">
        <f t="shared" si="557"/>
        <v>0</v>
      </c>
      <c r="Y529" s="101">
        <f t="shared" si="558"/>
        <v>0</v>
      </c>
      <c r="Z529" s="101">
        <f t="shared" si="559"/>
        <v>0</v>
      </c>
      <c r="AA529" s="101">
        <f t="shared" si="560"/>
        <v>0</v>
      </c>
      <c r="AB529" s="101">
        <f t="shared" si="561"/>
        <v>0</v>
      </c>
      <c r="AC529" s="101">
        <f t="shared" si="562"/>
        <v>0</v>
      </c>
      <c r="AD529" s="101">
        <f t="shared" si="563"/>
        <v>0</v>
      </c>
      <c r="AE529" s="101"/>
      <c r="AF529" s="101">
        <f t="shared" si="564"/>
        <v>0</v>
      </c>
      <c r="AG529" s="101"/>
      <c r="AH529" s="101">
        <f t="shared" si="565"/>
        <v>0</v>
      </c>
      <c r="AI529" s="101"/>
      <c r="AJ529" s="101">
        <f t="shared" si="566"/>
        <v>0</v>
      </c>
      <c r="AK529" s="101">
        <f t="shared" si="567"/>
        <v>0</v>
      </c>
      <c r="AL529" s="98" t="str">
        <f t="shared" si="568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3"/>
        <v>124256.44586772198</v>
      </c>
      <c r="I530" s="101">
        <f t="shared" si="544"/>
        <v>130166.49177401904</v>
      </c>
      <c r="J530" s="101">
        <f t="shared" si="545"/>
        <v>106996.41731414736</v>
      </c>
      <c r="K530" s="101">
        <f t="shared" si="546"/>
        <v>0</v>
      </c>
      <c r="L530" s="101">
        <f t="shared" si="547"/>
        <v>0</v>
      </c>
      <c r="M530" s="101">
        <f t="shared" si="548"/>
        <v>0</v>
      </c>
      <c r="N530" s="101"/>
      <c r="O530" s="101">
        <f t="shared" si="549"/>
        <v>78121.849717167759</v>
      </c>
      <c r="P530" s="101">
        <f t="shared" si="550"/>
        <v>0</v>
      </c>
      <c r="Q530" s="101">
        <f t="shared" si="551"/>
        <v>0</v>
      </c>
      <c r="R530" s="101"/>
      <c r="S530" s="101">
        <f t="shared" si="552"/>
        <v>0</v>
      </c>
      <c r="T530" s="101">
        <f t="shared" si="553"/>
        <v>18585.505573228169</v>
      </c>
      <c r="U530" s="101">
        <f t="shared" si="554"/>
        <v>0</v>
      </c>
      <c r="V530" s="101">
        <f t="shared" si="555"/>
        <v>20252.475791684134</v>
      </c>
      <c r="W530" s="101">
        <f t="shared" si="556"/>
        <v>37556.392867202361</v>
      </c>
      <c r="X530" s="101">
        <f t="shared" si="557"/>
        <v>9323.3546603897921</v>
      </c>
      <c r="Y530" s="101">
        <f t="shared" si="558"/>
        <v>14252.343083351605</v>
      </c>
      <c r="Z530" s="101">
        <f t="shared" si="559"/>
        <v>14473.086476151953</v>
      </c>
      <c r="AA530" s="101">
        <f t="shared" si="560"/>
        <v>12879.301795042409</v>
      </c>
      <c r="AB530" s="101">
        <f t="shared" si="561"/>
        <v>8622.3361435006063</v>
      </c>
      <c r="AC530" s="101">
        <f t="shared" si="562"/>
        <v>7356.8696386935953</v>
      </c>
      <c r="AD530" s="101">
        <f t="shared" si="563"/>
        <v>10204.56425897306</v>
      </c>
      <c r="AE530" s="101"/>
      <c r="AF530" s="101">
        <f t="shared" si="564"/>
        <v>0</v>
      </c>
      <c r="AG530" s="101"/>
      <c r="AH530" s="101">
        <f t="shared" si="565"/>
        <v>0</v>
      </c>
      <c r="AI530" s="101"/>
      <c r="AJ530" s="101">
        <f t="shared" si="566"/>
        <v>0</v>
      </c>
      <c r="AK530" s="101">
        <f t="shared" si="567"/>
        <v>593047.43496127392</v>
      </c>
      <c r="AL530" s="98" t="str">
        <f t="shared" si="568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9">SUM(F519:F531)</f>
        <v>71182359.330107704</v>
      </c>
      <c r="G532" s="100">
        <f t="shared" si="569"/>
        <v>0</v>
      </c>
      <c r="H532" s="100">
        <f t="shared" si="569"/>
        <v>7815231.4029028928</v>
      </c>
      <c r="I532" s="100">
        <f t="shared" si="569"/>
        <v>7380277.4491392085</v>
      </c>
      <c r="J532" s="100">
        <f t="shared" si="569"/>
        <v>7552910.4209360257</v>
      </c>
      <c r="K532" s="100">
        <f t="shared" si="569"/>
        <v>16035372.201094812</v>
      </c>
      <c r="L532" s="100">
        <f t="shared" si="569"/>
        <v>0</v>
      </c>
      <c r="M532" s="100">
        <f t="shared" si="569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0">SUM(S519:S531)</f>
        <v>0</v>
      </c>
      <c r="T532" s="100">
        <f t="shared" si="570"/>
        <v>1682532.6601994915</v>
      </c>
      <c r="U532" s="100">
        <f t="shared" si="570"/>
        <v>0</v>
      </c>
      <c r="V532" s="100">
        <f t="shared" si="570"/>
        <v>2007478.1059258392</v>
      </c>
      <c r="W532" s="100">
        <f t="shared" si="570"/>
        <v>3189904.9161528787</v>
      </c>
      <c r="X532" s="100">
        <f t="shared" si="570"/>
        <v>1020617.0010206177</v>
      </c>
      <c r="Y532" s="100">
        <f t="shared" si="570"/>
        <v>1505108.2410435146</v>
      </c>
      <c r="Z532" s="100">
        <f t="shared" si="570"/>
        <v>274746.21346315206</v>
      </c>
      <c r="AA532" s="100">
        <f t="shared" si="570"/>
        <v>244491.00100850713</v>
      </c>
      <c r="AB532" s="100">
        <f t="shared" si="570"/>
        <v>152271.46282016081</v>
      </c>
      <c r="AC532" s="100">
        <f t="shared" si="570"/>
        <v>4503880.8087981828</v>
      </c>
      <c r="AD532" s="100">
        <f t="shared" si="570"/>
        <v>180213.79604035016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1">H485+H494+H508+H532</f>
        <v>18742668.338841524</v>
      </c>
      <c r="I534" s="100">
        <f t="shared" si="571"/>
        <v>17681329.098344762</v>
      </c>
      <c r="J534" s="100">
        <f t="shared" si="571"/>
        <v>18132161.576938502</v>
      </c>
      <c r="K534" s="100">
        <f t="shared" si="571"/>
        <v>38818636.930293135</v>
      </c>
      <c r="L534" s="100">
        <f t="shared" si="571"/>
        <v>0</v>
      </c>
      <c r="M534" s="100">
        <f t="shared" si="571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2">S485+S494+S508+S532</f>
        <v>0</v>
      </c>
      <c r="T534" s="100">
        <f t="shared" si="572"/>
        <v>4046690.3513230029</v>
      </c>
      <c r="U534" s="100">
        <f t="shared" si="572"/>
        <v>0</v>
      </c>
      <c r="V534" s="100">
        <f t="shared" si="572"/>
        <v>4830954.0465032104</v>
      </c>
      <c r="W534" s="100">
        <f t="shared" si="572"/>
        <v>7668802.5696673645</v>
      </c>
      <c r="X534" s="100">
        <f t="shared" si="572"/>
        <v>2457476.1256506187</v>
      </c>
      <c r="Y534" s="100">
        <f t="shared" si="572"/>
        <v>3623335.6304890811</v>
      </c>
      <c r="Z534" s="100">
        <f t="shared" si="572"/>
        <v>644545.6468455724</v>
      </c>
      <c r="AA534" s="100">
        <f t="shared" si="572"/>
        <v>573567.9062018611</v>
      </c>
      <c r="AB534" s="100">
        <f t="shared" si="572"/>
        <v>356370.0044785231</v>
      </c>
      <c r="AC534" s="100">
        <f t="shared" si="572"/>
        <v>10892600.321030885</v>
      </c>
      <c r="AD534" s="100">
        <f t="shared" si="572"/>
        <v>421765.11680222803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3">F534-F422</f>
        <v>171476568.89321756</v>
      </c>
      <c r="G536" s="102">
        <f t="shared" si="573"/>
        <v>0</v>
      </c>
      <c r="H536" s="102">
        <f t="shared" si="573"/>
        <v>18742668.338841524</v>
      </c>
      <c r="I536" s="102">
        <f t="shared" si="573"/>
        <v>17681329.098344762</v>
      </c>
      <c r="J536" s="102">
        <f t="shared" si="573"/>
        <v>18132161.576938502</v>
      </c>
      <c r="K536" s="102">
        <f t="shared" si="573"/>
        <v>38818636.930293135</v>
      </c>
      <c r="L536" s="102">
        <f t="shared" si="573"/>
        <v>0</v>
      </c>
      <c r="M536" s="102">
        <f t="shared" si="573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4">S534-S422</f>
        <v>0</v>
      </c>
      <c r="T536" s="102">
        <f t="shared" si="574"/>
        <v>4046690.3513230029</v>
      </c>
      <c r="U536" s="102">
        <f t="shared" si="574"/>
        <v>0</v>
      </c>
      <c r="V536" s="102">
        <f t="shared" si="574"/>
        <v>4830954.0465032104</v>
      </c>
      <c r="W536" s="102">
        <f t="shared" si="574"/>
        <v>7668802.5696673645</v>
      </c>
      <c r="X536" s="102">
        <f t="shared" si="574"/>
        <v>2457476.1256506187</v>
      </c>
      <c r="Y536" s="102">
        <f t="shared" si="574"/>
        <v>3623335.6304890811</v>
      </c>
      <c r="Z536" s="102">
        <f t="shared" si="574"/>
        <v>644545.6468455724</v>
      </c>
      <c r="AA536" s="102">
        <f t="shared" si="574"/>
        <v>573567.9062018611</v>
      </c>
      <c r="AB536" s="102">
        <f t="shared" si="574"/>
        <v>356370.0044785231</v>
      </c>
      <c r="AC536" s="102">
        <f t="shared" si="574"/>
        <v>10892600.321030885</v>
      </c>
      <c r="AD536" s="102">
        <f t="shared" si="574"/>
        <v>421765.11680222803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5">IF(VLOOKUP($D565,$C$5:$AJ$644,6,)=0,0,((VLOOKUP($D565,$C$5:$AJ$644,6,)/VLOOKUP($D565,$C$5:$AJ$644,4,))*$F565))</f>
        <v>34345800.63194827</v>
      </c>
      <c r="I565" s="101">
        <f t="shared" ref="I565:I572" si="576">IF(VLOOKUP($D565,$C$5:$AJ$644,7,)=0,0,((VLOOKUP($D565,$C$5:$AJ$644,7,)/VLOOKUP($D565,$C$5:$AJ$644,4,))*$F565))</f>
        <v>35979400.056153834</v>
      </c>
      <c r="J565" s="101">
        <f t="shared" ref="J565:J572" si="577">IF(VLOOKUP($D565,$C$5:$AJ$644,8,)=0,0,((VLOOKUP($D565,$C$5:$AJ$644,8,)/VLOOKUP($D565,$C$5:$AJ$644,4,))*$F565))</f>
        <v>29574945.522879023</v>
      </c>
      <c r="K565" s="101">
        <f t="shared" ref="K565:K572" si="578">IF(VLOOKUP($D565,$C$5:$AJ$644,9,)=0,0,((VLOOKUP($D565,$C$5:$AJ$644,9,)/VLOOKUP($D565,$C$5:$AJ$644,4,))*$F565))</f>
        <v>0</v>
      </c>
      <c r="L565" s="101">
        <f t="shared" ref="L565:L572" si="579">IF(VLOOKUP($D565,$C$5:$AJ$644,10,)=0,0,((VLOOKUP($D565,$C$5:$AJ$644,10,)/VLOOKUP($D565,$C$5:$AJ$644,4,))*$F565))</f>
        <v>0</v>
      </c>
      <c r="M565" s="101">
        <f t="shared" ref="M565:M572" si="580">IF(VLOOKUP($D565,$C$5:$AJ$644,11,)=0,0,((VLOOKUP($D565,$C$5:$AJ$644,11,)/VLOOKUP($D565,$C$5:$AJ$644,4,))*$F565))</f>
        <v>0</v>
      </c>
      <c r="N565" s="101"/>
      <c r="O565" s="101">
        <f t="shared" ref="O565:O572" si="581">IF(VLOOKUP($D565,$C$5:$AJ$644,13,)=0,0,((VLOOKUP($D565,$C$5:$AJ$644,13,)/VLOOKUP($D565,$C$5:$AJ$644,4,))*$F565))</f>
        <v>0</v>
      </c>
      <c r="P565" s="101">
        <f t="shared" ref="P565:P572" si="582">IF(VLOOKUP($D565,$C$5:$AJ$644,14,)=0,0,((VLOOKUP($D565,$C$5:$AJ$644,14,)/VLOOKUP($D565,$C$5:$AJ$644,4,))*$F565))</f>
        <v>0</v>
      </c>
      <c r="Q565" s="101">
        <f t="shared" ref="Q565:Q572" si="583">IF(VLOOKUP($D565,$C$5:$AJ$644,15,)=0,0,((VLOOKUP($D565,$C$5:$AJ$644,15,)/VLOOKUP($D565,$C$5:$AJ$644,4,))*$F565))</f>
        <v>0</v>
      </c>
      <c r="R565" s="101"/>
      <c r="S565" s="101">
        <f t="shared" ref="S565:S572" si="584">IF(VLOOKUP($D565,$C$5:$AJ$644,17,)=0,0,((VLOOKUP($D565,$C$5:$AJ$644,17,)/VLOOKUP($D565,$C$5:$AJ$644,4,))*$F565))</f>
        <v>0</v>
      </c>
      <c r="T565" s="101">
        <f t="shared" ref="T565:T572" si="585">IF(VLOOKUP($D565,$C$5:$AJ$644,18,)=0,0,((VLOOKUP($D565,$C$5:$AJ$644,18,)/VLOOKUP($D565,$C$5:$AJ$644,4,))*$F565))</f>
        <v>0</v>
      </c>
      <c r="U565" s="101">
        <f t="shared" ref="U565:U572" si="586">IF(VLOOKUP($D565,$C$5:$AJ$644,19,)=0,0,((VLOOKUP($D565,$C$5:$AJ$644,19,)/VLOOKUP($D565,$C$5:$AJ$644,4,))*$F565))</f>
        <v>0</v>
      </c>
      <c r="V565" s="101">
        <f t="shared" ref="V565:V572" si="587">IF(VLOOKUP($D565,$C$5:$AJ$644,20,)=0,0,((VLOOKUP($D565,$C$5:$AJ$644,20,)/VLOOKUP($D565,$C$5:$AJ$644,4,))*$F565))</f>
        <v>0</v>
      </c>
      <c r="W565" s="101">
        <f t="shared" ref="W565:W572" si="588">IF(VLOOKUP($D565,$C$5:$AJ$644,21,)=0,0,((VLOOKUP($D565,$C$5:$AJ$644,21,)/VLOOKUP($D565,$C$5:$AJ$644,4,))*$F565))</f>
        <v>0</v>
      </c>
      <c r="X565" s="101">
        <f t="shared" ref="X565:X572" si="589">IF(VLOOKUP($D565,$C$5:$AJ$644,22,)=0,0,((VLOOKUP($D565,$C$5:$AJ$644,22,)/VLOOKUP($D565,$C$5:$AJ$644,4,))*$F565))</f>
        <v>0</v>
      </c>
      <c r="Y565" s="101">
        <f t="shared" ref="Y565:Y572" si="590">IF(VLOOKUP($D565,$C$5:$AJ$644,23,)=0,0,((VLOOKUP($D565,$C$5:$AJ$644,23,)/VLOOKUP($D565,$C$5:$AJ$644,4,))*$F565))</f>
        <v>0</v>
      </c>
      <c r="Z565" s="101">
        <f t="shared" ref="Z565:Z572" si="591">IF(VLOOKUP($D565,$C$5:$AJ$644,24,)=0,0,((VLOOKUP($D565,$C$5:$AJ$644,24,)/VLOOKUP($D565,$C$5:$AJ$644,4,))*$F565))</f>
        <v>0</v>
      </c>
      <c r="AA565" s="101">
        <f t="shared" ref="AA565:AA572" si="592">IF(VLOOKUP($D565,$C$5:$AJ$644,25,)=0,0,((VLOOKUP($D565,$C$5:$AJ$644,25,)/VLOOKUP($D565,$C$5:$AJ$644,4,))*$F565))</f>
        <v>0</v>
      </c>
      <c r="AB565" s="101">
        <f t="shared" ref="AB565:AB572" si="593">IF(VLOOKUP($D565,$C$5:$AJ$644,26,)=0,0,((VLOOKUP($D565,$C$5:$AJ$644,26,)/VLOOKUP($D565,$C$5:$AJ$644,4,))*$F565))</f>
        <v>0</v>
      </c>
      <c r="AC565" s="101">
        <f t="shared" ref="AC565:AC572" si="594">IF(VLOOKUP($D565,$C$5:$AJ$644,27,)=0,0,((VLOOKUP($D565,$C$5:$AJ$644,27,)/VLOOKUP($D565,$C$5:$AJ$644,4,))*$F565))</f>
        <v>0</v>
      </c>
      <c r="AD565" s="101">
        <f t="shared" ref="AD565:AD572" si="595">IF(VLOOKUP($D565,$C$5:$AJ$644,28,)=0,0,((VLOOKUP($D565,$C$5:$AJ$644,28,)/VLOOKUP($D565,$C$5:$AJ$644,4,))*$F565))</f>
        <v>0</v>
      </c>
      <c r="AE565" s="101"/>
      <c r="AF565" s="101">
        <f t="shared" ref="AF565:AF572" si="596">IF(VLOOKUP($D565,$C$5:$AJ$644,30,)=0,0,((VLOOKUP($D565,$C$5:$AJ$644,30,)/VLOOKUP($D565,$C$5:$AJ$644,4,))*$F565))</f>
        <v>0</v>
      </c>
      <c r="AG565" s="101"/>
      <c r="AH565" s="101">
        <f t="shared" ref="AH565:AH572" si="597">IF(VLOOKUP($D565,$C$5:$AJ$644,32,)=0,0,((VLOOKUP($D565,$C$5:$AJ$644,32,)/VLOOKUP($D565,$C$5:$AJ$644,4,))*$F565))</f>
        <v>0</v>
      </c>
      <c r="AI565" s="101"/>
      <c r="AJ565" s="101">
        <f t="shared" ref="AJ565:AJ572" si="598">IF(VLOOKUP($D565,$C$5:$AJ$644,34,)=0,0,((VLOOKUP($D565,$C$5:$AJ$644,34,)/VLOOKUP($D565,$C$5:$AJ$644,4,))*$F565))</f>
        <v>0</v>
      </c>
      <c r="AK565" s="101">
        <f t="shared" ref="AK565:AK572" si="599">SUM(H565:AJ565)</f>
        <v>99900146.210981116</v>
      </c>
      <c r="AL565" s="98" t="str">
        <f t="shared" ref="AL565:AL572" si="600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5"/>
        <v>384655.52086473629</v>
      </c>
      <c r="I566" s="101">
        <f t="shared" si="576"/>
        <v>402951.00461647089</v>
      </c>
      <c r="J566" s="101">
        <f t="shared" si="577"/>
        <v>331224.36703563656</v>
      </c>
      <c r="K566" s="101">
        <f t="shared" si="578"/>
        <v>0</v>
      </c>
      <c r="L566" s="101">
        <f t="shared" si="579"/>
        <v>0</v>
      </c>
      <c r="M566" s="101">
        <f t="shared" si="580"/>
        <v>0</v>
      </c>
      <c r="N566" s="101"/>
      <c r="O566" s="101">
        <f t="shared" si="581"/>
        <v>0</v>
      </c>
      <c r="P566" s="101">
        <f t="shared" si="582"/>
        <v>0</v>
      </c>
      <c r="Q566" s="101">
        <f t="shared" si="583"/>
        <v>0</v>
      </c>
      <c r="R566" s="101"/>
      <c r="S566" s="101">
        <f t="shared" si="584"/>
        <v>0</v>
      </c>
      <c r="T566" s="101">
        <f t="shared" si="585"/>
        <v>0</v>
      </c>
      <c r="U566" s="101">
        <f t="shared" si="586"/>
        <v>0</v>
      </c>
      <c r="V566" s="101">
        <f t="shared" si="587"/>
        <v>0</v>
      </c>
      <c r="W566" s="101">
        <f t="shared" si="588"/>
        <v>0</v>
      </c>
      <c r="X566" s="101">
        <f t="shared" si="589"/>
        <v>0</v>
      </c>
      <c r="Y566" s="101">
        <f t="shared" si="590"/>
        <v>0</v>
      </c>
      <c r="Z566" s="101">
        <f t="shared" si="591"/>
        <v>0</v>
      </c>
      <c r="AA566" s="101">
        <f t="shared" si="592"/>
        <v>0</v>
      </c>
      <c r="AB566" s="101">
        <f t="shared" si="593"/>
        <v>0</v>
      </c>
      <c r="AC566" s="101">
        <f t="shared" si="594"/>
        <v>0</v>
      </c>
      <c r="AD566" s="101">
        <f t="shared" si="595"/>
        <v>0</v>
      </c>
      <c r="AE566" s="101"/>
      <c r="AF566" s="101">
        <f t="shared" si="596"/>
        <v>0</v>
      </c>
      <c r="AG566" s="101"/>
      <c r="AH566" s="101">
        <f t="shared" si="597"/>
        <v>0</v>
      </c>
      <c r="AI566" s="101"/>
      <c r="AJ566" s="101">
        <f t="shared" si="598"/>
        <v>0</v>
      </c>
      <c r="AK566" s="101">
        <f t="shared" si="599"/>
        <v>1118830.8925168437</v>
      </c>
      <c r="AL566" s="98" t="str">
        <f t="shared" si="600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5"/>
        <v>12246358.628371106</v>
      </c>
      <c r="I567" s="101">
        <f t="shared" si="576"/>
        <v>12828835.788193457</v>
      </c>
      <c r="J567" s="101">
        <f t="shared" si="577"/>
        <v>10545259.758796018</v>
      </c>
      <c r="K567" s="101">
        <f t="shared" si="578"/>
        <v>0</v>
      </c>
      <c r="L567" s="101">
        <f t="shared" si="579"/>
        <v>0</v>
      </c>
      <c r="M567" s="101">
        <f t="shared" si="580"/>
        <v>0</v>
      </c>
      <c r="N567" s="101"/>
      <c r="O567" s="101">
        <f t="shared" si="581"/>
        <v>0</v>
      </c>
      <c r="P567" s="101">
        <f t="shared" si="582"/>
        <v>0</v>
      </c>
      <c r="Q567" s="101">
        <f t="shared" si="583"/>
        <v>0</v>
      </c>
      <c r="R567" s="101"/>
      <c r="S567" s="101">
        <f t="shared" si="584"/>
        <v>0</v>
      </c>
      <c r="T567" s="101">
        <f t="shared" si="585"/>
        <v>0</v>
      </c>
      <c r="U567" s="101">
        <f t="shared" si="586"/>
        <v>0</v>
      </c>
      <c r="V567" s="101">
        <f t="shared" si="587"/>
        <v>0</v>
      </c>
      <c r="W567" s="101">
        <f t="shared" si="588"/>
        <v>0</v>
      </c>
      <c r="X567" s="101">
        <f t="shared" si="589"/>
        <v>0</v>
      </c>
      <c r="Y567" s="101">
        <f t="shared" si="590"/>
        <v>0</v>
      </c>
      <c r="Z567" s="101">
        <f t="shared" si="591"/>
        <v>0</v>
      </c>
      <c r="AA567" s="101">
        <f t="shared" si="592"/>
        <v>0</v>
      </c>
      <c r="AB567" s="101">
        <f t="shared" si="593"/>
        <v>0</v>
      </c>
      <c r="AC567" s="101">
        <f t="shared" si="594"/>
        <v>0</v>
      </c>
      <c r="AD567" s="101">
        <f t="shared" si="595"/>
        <v>0</v>
      </c>
      <c r="AE567" s="101"/>
      <c r="AF567" s="101">
        <f t="shared" si="596"/>
        <v>0</v>
      </c>
      <c r="AG567" s="101"/>
      <c r="AH567" s="101">
        <f t="shared" si="597"/>
        <v>0</v>
      </c>
      <c r="AI567" s="101"/>
      <c r="AJ567" s="101">
        <f t="shared" si="598"/>
        <v>0</v>
      </c>
      <c r="AK567" s="101">
        <f t="shared" si="599"/>
        <v>35620454.175360575</v>
      </c>
      <c r="AL567" s="98" t="str">
        <f t="shared" si="600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5"/>
        <v>0</v>
      </c>
      <c r="I568" s="101">
        <f t="shared" si="576"/>
        <v>0</v>
      </c>
      <c r="J568" s="101">
        <f t="shared" si="577"/>
        <v>0</v>
      </c>
      <c r="K568" s="101">
        <f t="shared" si="578"/>
        <v>0</v>
      </c>
      <c r="L568" s="101">
        <f t="shared" si="579"/>
        <v>0</v>
      </c>
      <c r="M568" s="101">
        <f t="shared" si="580"/>
        <v>0</v>
      </c>
      <c r="N568" s="101"/>
      <c r="O568" s="101">
        <f t="shared" si="581"/>
        <v>20185930.110497635</v>
      </c>
      <c r="P568" s="101">
        <f t="shared" si="582"/>
        <v>0</v>
      </c>
      <c r="Q568" s="101">
        <f t="shared" si="583"/>
        <v>0</v>
      </c>
      <c r="R568" s="101"/>
      <c r="S568" s="101">
        <f t="shared" si="584"/>
        <v>0</v>
      </c>
      <c r="T568" s="101">
        <f t="shared" si="585"/>
        <v>0</v>
      </c>
      <c r="U568" s="101">
        <f t="shared" si="586"/>
        <v>0</v>
      </c>
      <c r="V568" s="101">
        <f t="shared" si="587"/>
        <v>0</v>
      </c>
      <c r="W568" s="101">
        <f t="shared" si="588"/>
        <v>0</v>
      </c>
      <c r="X568" s="101">
        <f t="shared" si="589"/>
        <v>0</v>
      </c>
      <c r="Y568" s="101">
        <f t="shared" si="590"/>
        <v>0</v>
      </c>
      <c r="Z568" s="101">
        <f t="shared" si="591"/>
        <v>0</v>
      </c>
      <c r="AA568" s="101">
        <f t="shared" si="592"/>
        <v>0</v>
      </c>
      <c r="AB568" s="101">
        <f t="shared" si="593"/>
        <v>0</v>
      </c>
      <c r="AC568" s="101">
        <f t="shared" si="594"/>
        <v>0</v>
      </c>
      <c r="AD568" s="101">
        <f t="shared" si="595"/>
        <v>0</v>
      </c>
      <c r="AE568" s="101"/>
      <c r="AF568" s="101">
        <f t="shared" si="596"/>
        <v>0</v>
      </c>
      <c r="AG568" s="101"/>
      <c r="AH568" s="101">
        <f t="shared" si="597"/>
        <v>0</v>
      </c>
      <c r="AI568" s="101"/>
      <c r="AJ568" s="101">
        <f t="shared" si="598"/>
        <v>0</v>
      </c>
      <c r="AK568" s="101">
        <f t="shared" si="599"/>
        <v>20185930.110497635</v>
      </c>
      <c r="AL568" s="98" t="str">
        <f t="shared" si="600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5"/>
        <v>0</v>
      </c>
      <c r="I569" s="101">
        <f t="shared" si="576"/>
        <v>0</v>
      </c>
      <c r="J569" s="101">
        <f t="shared" si="577"/>
        <v>0</v>
      </c>
      <c r="K569" s="101">
        <f t="shared" si="578"/>
        <v>0</v>
      </c>
      <c r="L569" s="101">
        <f t="shared" si="579"/>
        <v>0</v>
      </c>
      <c r="M569" s="101">
        <f t="shared" si="580"/>
        <v>0</v>
      </c>
      <c r="N569" s="101"/>
      <c r="O569" s="101">
        <f t="shared" si="581"/>
        <v>182213.83552902148</v>
      </c>
      <c r="P569" s="101">
        <f t="shared" si="582"/>
        <v>0</v>
      </c>
      <c r="Q569" s="101">
        <f t="shared" si="583"/>
        <v>0</v>
      </c>
      <c r="R569" s="101"/>
      <c r="S569" s="101">
        <f t="shared" si="584"/>
        <v>0</v>
      </c>
      <c r="T569" s="101">
        <f t="shared" si="585"/>
        <v>0</v>
      </c>
      <c r="U569" s="101">
        <f t="shared" si="586"/>
        <v>0</v>
      </c>
      <c r="V569" s="101">
        <f t="shared" si="587"/>
        <v>0</v>
      </c>
      <c r="W569" s="101">
        <f t="shared" si="588"/>
        <v>0</v>
      </c>
      <c r="X569" s="101">
        <f t="shared" si="589"/>
        <v>0</v>
      </c>
      <c r="Y569" s="101">
        <f t="shared" si="590"/>
        <v>0</v>
      </c>
      <c r="Z569" s="101">
        <f t="shared" si="591"/>
        <v>0</v>
      </c>
      <c r="AA569" s="101">
        <f t="shared" si="592"/>
        <v>0</v>
      </c>
      <c r="AB569" s="101">
        <f t="shared" si="593"/>
        <v>0</v>
      </c>
      <c r="AC569" s="101">
        <f t="shared" si="594"/>
        <v>0</v>
      </c>
      <c r="AD569" s="101">
        <f t="shared" si="595"/>
        <v>0</v>
      </c>
      <c r="AE569" s="101"/>
      <c r="AF569" s="101">
        <f t="shared" si="596"/>
        <v>0</v>
      </c>
      <c r="AG569" s="101"/>
      <c r="AH569" s="101">
        <f t="shared" si="597"/>
        <v>0</v>
      </c>
      <c r="AI569" s="101"/>
      <c r="AJ569" s="101">
        <f t="shared" si="598"/>
        <v>0</v>
      </c>
      <c r="AK569" s="101">
        <f t="shared" si="599"/>
        <v>182213.83552902148</v>
      </c>
      <c r="AL569" s="98" t="str">
        <f t="shared" si="600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5"/>
        <v>0</v>
      </c>
      <c r="I570" s="101">
        <f t="shared" si="576"/>
        <v>0</v>
      </c>
      <c r="J570" s="101">
        <f t="shared" si="577"/>
        <v>0</v>
      </c>
      <c r="K570" s="101">
        <f t="shared" si="578"/>
        <v>0</v>
      </c>
      <c r="L570" s="101">
        <f t="shared" si="579"/>
        <v>0</v>
      </c>
      <c r="M570" s="101">
        <f t="shared" si="580"/>
        <v>0</v>
      </c>
      <c r="N570" s="101"/>
      <c r="O570" s="101">
        <f t="shared" si="581"/>
        <v>0</v>
      </c>
      <c r="P570" s="101">
        <f t="shared" si="582"/>
        <v>0</v>
      </c>
      <c r="Q570" s="101">
        <f t="shared" si="583"/>
        <v>0</v>
      </c>
      <c r="R570" s="101"/>
      <c r="S570" s="101">
        <f t="shared" si="584"/>
        <v>0</v>
      </c>
      <c r="T570" s="101">
        <f t="shared" si="585"/>
        <v>5211526.5754373176</v>
      </c>
      <c r="U570" s="101">
        <f t="shared" si="586"/>
        <v>0</v>
      </c>
      <c r="V570" s="101">
        <f t="shared" si="587"/>
        <v>5678958.5513777426</v>
      </c>
      <c r="W570" s="101">
        <f t="shared" si="588"/>
        <v>10531117.312564632</v>
      </c>
      <c r="X570" s="101">
        <f t="shared" si="589"/>
        <v>2614344.3014452914</v>
      </c>
      <c r="Y570" s="101">
        <f t="shared" si="590"/>
        <v>3996472.6516845492</v>
      </c>
      <c r="Z570" s="101">
        <f t="shared" si="591"/>
        <v>4058370.8902553818</v>
      </c>
      <c r="AA570" s="101">
        <f t="shared" si="592"/>
        <v>3611460.732853374</v>
      </c>
      <c r="AB570" s="101">
        <f t="shared" si="593"/>
        <v>2417773.0208714548</v>
      </c>
      <c r="AC570" s="101">
        <f t="shared" si="594"/>
        <v>2062925.9442534572</v>
      </c>
      <c r="AD570" s="101">
        <f t="shared" si="595"/>
        <v>2861442.6234926847</v>
      </c>
      <c r="AE570" s="101"/>
      <c r="AF570" s="101">
        <f t="shared" si="596"/>
        <v>0</v>
      </c>
      <c r="AG570" s="101"/>
      <c r="AH570" s="101">
        <f t="shared" si="597"/>
        <v>0</v>
      </c>
      <c r="AI570" s="101"/>
      <c r="AJ570" s="101">
        <f t="shared" si="598"/>
        <v>0</v>
      </c>
      <c r="AK570" s="101">
        <f t="shared" si="599"/>
        <v>43044392.604235888</v>
      </c>
      <c r="AL570" s="98" t="str">
        <f t="shared" si="600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5"/>
        <v>2436971.6053643585</v>
      </c>
      <c r="I571" s="101">
        <f t="shared" si="576"/>
        <v>2552882.0030863262</v>
      </c>
      <c r="J571" s="101">
        <f t="shared" si="577"/>
        <v>2098460.3981661662</v>
      </c>
      <c r="K571" s="101">
        <f t="shared" si="578"/>
        <v>0</v>
      </c>
      <c r="L571" s="101">
        <f t="shared" si="579"/>
        <v>0</v>
      </c>
      <c r="M571" s="101">
        <f t="shared" si="580"/>
        <v>0</v>
      </c>
      <c r="N571" s="101"/>
      <c r="O571" s="101">
        <f t="shared" si="581"/>
        <v>1532159.7860762132</v>
      </c>
      <c r="P571" s="101">
        <f t="shared" si="582"/>
        <v>0</v>
      </c>
      <c r="Q571" s="101">
        <f t="shared" si="583"/>
        <v>0</v>
      </c>
      <c r="R571" s="101"/>
      <c r="S571" s="101">
        <f t="shared" si="584"/>
        <v>0</v>
      </c>
      <c r="T571" s="101">
        <f t="shared" si="585"/>
        <v>364507.04055638571</v>
      </c>
      <c r="U571" s="101">
        <f t="shared" si="586"/>
        <v>0</v>
      </c>
      <c r="V571" s="101">
        <f t="shared" si="587"/>
        <v>397200.38745679375</v>
      </c>
      <c r="W571" s="101">
        <f t="shared" si="588"/>
        <v>736572.35548740067</v>
      </c>
      <c r="X571" s="101">
        <f t="shared" si="589"/>
        <v>182853.69757234896</v>
      </c>
      <c r="Y571" s="101">
        <f t="shared" si="590"/>
        <v>279523.16808589344</v>
      </c>
      <c r="Z571" s="101">
        <f t="shared" si="591"/>
        <v>283852.48377305636</v>
      </c>
      <c r="AA571" s="101">
        <f t="shared" si="592"/>
        <v>252594.48354775301</v>
      </c>
      <c r="AB571" s="101">
        <f t="shared" si="593"/>
        <v>169105.01670059579</v>
      </c>
      <c r="AC571" s="101">
        <f t="shared" si="594"/>
        <v>144286.1357305304</v>
      </c>
      <c r="AD571" s="101">
        <f t="shared" si="595"/>
        <v>200136.36452073458</v>
      </c>
      <c r="AE571" s="101"/>
      <c r="AF571" s="101">
        <f t="shared" si="596"/>
        <v>0</v>
      </c>
      <c r="AG571" s="101"/>
      <c r="AH571" s="101">
        <f t="shared" si="597"/>
        <v>0</v>
      </c>
      <c r="AI571" s="101"/>
      <c r="AJ571" s="101">
        <f t="shared" si="598"/>
        <v>0</v>
      </c>
      <c r="AK571" s="101">
        <f t="shared" si="599"/>
        <v>11631104.926124556</v>
      </c>
      <c r="AL571" s="98" t="str">
        <f t="shared" si="600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5"/>
        <v>3431919.7958905278</v>
      </c>
      <c r="I572" s="101">
        <f t="shared" si="576"/>
        <v>3595153.2072343142</v>
      </c>
      <c r="J572" s="101">
        <f t="shared" si="577"/>
        <v>2955203.8134158044</v>
      </c>
      <c r="K572" s="101">
        <f t="shared" si="578"/>
        <v>0</v>
      </c>
      <c r="L572" s="101">
        <f t="shared" si="579"/>
        <v>0</v>
      </c>
      <c r="M572" s="101">
        <f t="shared" si="580"/>
        <v>0</v>
      </c>
      <c r="N572" s="101"/>
      <c r="O572" s="101">
        <f t="shared" si="581"/>
        <v>2157698.3042099001</v>
      </c>
      <c r="P572" s="101">
        <f t="shared" si="582"/>
        <v>0</v>
      </c>
      <c r="Q572" s="101">
        <f t="shared" si="583"/>
        <v>0</v>
      </c>
      <c r="R572" s="101"/>
      <c r="S572" s="101">
        <f t="shared" si="584"/>
        <v>0</v>
      </c>
      <c r="T572" s="101">
        <f t="shared" si="585"/>
        <v>513325.19651573768</v>
      </c>
      <c r="U572" s="101">
        <f t="shared" si="586"/>
        <v>0</v>
      </c>
      <c r="V572" s="101">
        <f t="shared" si="587"/>
        <v>559366.33387427113</v>
      </c>
      <c r="W572" s="101">
        <f t="shared" si="588"/>
        <v>1037294.5020526733</v>
      </c>
      <c r="X572" s="101">
        <f t="shared" si="589"/>
        <v>257507.81136266017</v>
      </c>
      <c r="Y572" s="101">
        <f t="shared" si="590"/>
        <v>393644.75640682969</v>
      </c>
      <c r="Z572" s="101">
        <f t="shared" si="591"/>
        <v>399741.61210130231</v>
      </c>
      <c r="AA572" s="101">
        <f t="shared" si="592"/>
        <v>355721.83381704515</v>
      </c>
      <c r="AB572" s="101">
        <f t="shared" si="593"/>
        <v>238145.92386783377</v>
      </c>
      <c r="AC572" s="101">
        <f t="shared" si="594"/>
        <v>203194.17936431782</v>
      </c>
      <c r="AD572" s="101">
        <f t="shared" si="595"/>
        <v>281846.51383066841</v>
      </c>
      <c r="AE572" s="101"/>
      <c r="AF572" s="101">
        <f t="shared" si="596"/>
        <v>0</v>
      </c>
      <c r="AG572" s="101"/>
      <c r="AH572" s="101">
        <f t="shared" si="597"/>
        <v>0</v>
      </c>
      <c r="AI572" s="101"/>
      <c r="AJ572" s="101">
        <f t="shared" si="598"/>
        <v>0</v>
      </c>
      <c r="AK572" s="101">
        <f t="shared" si="599"/>
        <v>16379763.783943884</v>
      </c>
      <c r="AL572" s="98" t="str">
        <f t="shared" si="600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1">SUM(H565:H573)</f>
        <v>52845706.182438992</v>
      </c>
      <c r="I574" s="101">
        <f t="shared" si="601"/>
        <v>55359222.059284404</v>
      </c>
      <c r="J574" s="101">
        <f t="shared" si="601"/>
        <v>45505093.860292643</v>
      </c>
      <c r="K574" s="101">
        <f t="shared" si="601"/>
        <v>0</v>
      </c>
      <c r="L574" s="101">
        <f t="shared" si="601"/>
        <v>0</v>
      </c>
      <c r="M574" s="101">
        <f t="shared" si="601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2">SUM(S565:S573)</f>
        <v>0</v>
      </c>
      <c r="T574" s="101">
        <f t="shared" si="602"/>
        <v>6089358.8125094417</v>
      </c>
      <c r="U574" s="101">
        <f t="shared" si="602"/>
        <v>0</v>
      </c>
      <c r="V574" s="101">
        <f t="shared" si="602"/>
        <v>6635525.2727088071</v>
      </c>
      <c r="W574" s="101">
        <f t="shared" si="602"/>
        <v>12304984.170104707</v>
      </c>
      <c r="X574" s="101">
        <f t="shared" si="602"/>
        <v>3054705.8103803005</v>
      </c>
      <c r="Y574" s="101">
        <f t="shared" si="602"/>
        <v>4669640.576177272</v>
      </c>
      <c r="Z574" s="101">
        <f t="shared" si="602"/>
        <v>4741964.9861297403</v>
      </c>
      <c r="AA574" s="101">
        <f t="shared" si="602"/>
        <v>4219777.0502181724</v>
      </c>
      <c r="AB574" s="101">
        <f t="shared" si="602"/>
        <v>2825023.9614398843</v>
      </c>
      <c r="AC574" s="101">
        <f t="shared" si="602"/>
        <v>2410406.2593483059</v>
      </c>
      <c r="AD574" s="101">
        <f t="shared" si="602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3">SUM(H577:H579)</f>
        <v>0</v>
      </c>
      <c r="I581" s="100">
        <f t="shared" si="603"/>
        <v>0</v>
      </c>
      <c r="J581" s="100">
        <f t="shared" si="603"/>
        <v>0</v>
      </c>
      <c r="K581" s="100">
        <f t="shared" si="603"/>
        <v>0</v>
      </c>
      <c r="L581" s="100">
        <f t="shared" si="603"/>
        <v>0</v>
      </c>
      <c r="M581" s="100">
        <f t="shared" si="603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4">SUM(S577:S579)</f>
        <v>0</v>
      </c>
      <c r="T581" s="100">
        <f t="shared" si="604"/>
        <v>0</v>
      </c>
      <c r="U581" s="100">
        <f t="shared" si="604"/>
        <v>0</v>
      </c>
      <c r="V581" s="100">
        <f t="shared" si="604"/>
        <v>0</v>
      </c>
      <c r="W581" s="100">
        <f t="shared" si="604"/>
        <v>0</v>
      </c>
      <c r="X581" s="100">
        <f t="shared" si="604"/>
        <v>0</v>
      </c>
      <c r="Y581" s="100">
        <f t="shared" si="604"/>
        <v>0</v>
      </c>
      <c r="Z581" s="100">
        <f t="shared" si="604"/>
        <v>0</v>
      </c>
      <c r="AA581" s="100">
        <f t="shared" si="604"/>
        <v>0</v>
      </c>
      <c r="AB581" s="100">
        <f t="shared" si="604"/>
        <v>0</v>
      </c>
      <c r="AC581" s="100">
        <f t="shared" si="604"/>
        <v>0</v>
      </c>
      <c r="AD581" s="100">
        <f t="shared" si="604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5">H574+H581+H583+H585+H587+H589+H591</f>
        <v>78644200.306138679</v>
      </c>
      <c r="I593" s="102">
        <f t="shared" si="605"/>
        <v>82384777.552071646</v>
      </c>
      <c r="J593" s="102">
        <f t="shared" si="605"/>
        <v>67720009.344632953</v>
      </c>
      <c r="K593" s="102">
        <f t="shared" si="605"/>
        <v>0</v>
      </c>
      <c r="L593" s="102">
        <f t="shared" si="605"/>
        <v>0</v>
      </c>
      <c r="M593" s="102">
        <f t="shared" si="605"/>
        <v>0</v>
      </c>
      <c r="N593" s="102"/>
      <c r="O593" s="102">
        <f t="shared" si="605"/>
        <v>40698208.553532511</v>
      </c>
      <c r="P593" s="102">
        <f t="shared" si="605"/>
        <v>0</v>
      </c>
      <c r="Q593" s="102">
        <f t="shared" si="605"/>
        <v>0</v>
      </c>
      <c r="R593" s="102"/>
      <c r="S593" s="102">
        <f t="shared" si="605"/>
        <v>0</v>
      </c>
      <c r="T593" s="102">
        <f t="shared" si="605"/>
        <v>9992387.1128674429</v>
      </c>
      <c r="U593" s="102">
        <f t="shared" si="605"/>
        <v>0</v>
      </c>
      <c r="V593" s="102">
        <f t="shared" si="605"/>
        <v>10888623.788421059</v>
      </c>
      <c r="W593" s="102">
        <f t="shared" si="605"/>
        <v>20191972.427836221</v>
      </c>
      <c r="X593" s="102">
        <f t="shared" si="605"/>
        <v>5012646.4728174675</v>
      </c>
      <c r="Y593" s="102">
        <f t="shared" si="605"/>
        <v>7662687.9367431467</v>
      </c>
      <c r="Z593" s="102">
        <f t="shared" si="605"/>
        <v>7781369.3158844374</v>
      </c>
      <c r="AA593" s="102">
        <f t="shared" si="605"/>
        <v>6924480.4114929931</v>
      </c>
      <c r="AB593" s="102">
        <f t="shared" si="605"/>
        <v>4635748.0146913026</v>
      </c>
      <c r="AC593" s="102">
        <f t="shared" si="605"/>
        <v>3955377.4353397386</v>
      </c>
      <c r="AD593" s="102">
        <f t="shared" si="605"/>
        <v>5486423.5999407899</v>
      </c>
      <c r="AE593" s="102"/>
      <c r="AF593" s="102">
        <f t="shared" si="605"/>
        <v>0</v>
      </c>
      <c r="AG593" s="102"/>
      <c r="AH593" s="102">
        <f t="shared" si="605"/>
        <v>0</v>
      </c>
      <c r="AI593" s="102"/>
      <c r="AJ593" s="102">
        <f t="shared" si="605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6">G328+G593</f>
        <v>0</v>
      </c>
      <c r="H595" s="102">
        <f t="shared" si="606"/>
        <v>116269450.46963067</v>
      </c>
      <c r="I595" s="102">
        <f t="shared" si="606"/>
        <v>118336056.87504071</v>
      </c>
      <c r="J595" s="102">
        <f t="shared" si="606"/>
        <v>103653665.09026006</v>
      </c>
      <c r="K595" s="102">
        <f t="shared" si="606"/>
        <v>640387546.76813221</v>
      </c>
      <c r="L595" s="102">
        <f t="shared" si="606"/>
        <v>0</v>
      </c>
      <c r="M595" s="102">
        <f t="shared" si="606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7">S328+S593</f>
        <v>0</v>
      </c>
      <c r="T595" s="102">
        <f t="shared" si="607"/>
        <v>17266085.873301238</v>
      </c>
      <c r="U595" s="102">
        <f t="shared" si="607"/>
        <v>0</v>
      </c>
      <c r="V595" s="102">
        <f t="shared" si="607"/>
        <v>24702814.945699401</v>
      </c>
      <c r="W595" s="102">
        <f t="shared" si="607"/>
        <v>41539265.178775728</v>
      </c>
      <c r="X595" s="102">
        <f t="shared" si="607"/>
        <v>12145170.703012973</v>
      </c>
      <c r="Y595" s="102">
        <f t="shared" si="607"/>
        <v>18124547.913249221</v>
      </c>
      <c r="Z595" s="102">
        <f t="shared" si="607"/>
        <v>9187382.3753347844</v>
      </c>
      <c r="AA595" s="102">
        <f t="shared" si="607"/>
        <v>8175662.4969638549</v>
      </c>
      <c r="AB595" s="102">
        <f t="shared" si="607"/>
        <v>5426106.7174483761</v>
      </c>
      <c r="AC595" s="102">
        <f t="shared" si="607"/>
        <v>21877316.11277895</v>
      </c>
      <c r="AD595" s="102">
        <f t="shared" si="607"/>
        <v>6279015.8226161525</v>
      </c>
      <c r="AE595" s="102">
        <f t="shared" si="607"/>
        <v>0</v>
      </c>
      <c r="AF595" s="102">
        <f t="shared" si="607"/>
        <v>51233939.006895855</v>
      </c>
      <c r="AG595" s="102">
        <f t="shared" si="607"/>
        <v>0</v>
      </c>
      <c r="AH595" s="102">
        <f t="shared" si="607"/>
        <v>6423986.4669190757</v>
      </c>
      <c r="AI595" s="102">
        <f t="shared" si="607"/>
        <v>0</v>
      </c>
      <c r="AJ595" s="102">
        <f t="shared" si="607"/>
        <v>0</v>
      </c>
      <c r="AK595" s="101">
        <f>SUM(H595:AJ595)</f>
        <v>1285753150.8498962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8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9">SUM(H612:AJ612)</f>
        <v>1</v>
      </c>
      <c r="AL612" s="98" t="str">
        <f t="shared" si="608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9"/>
        <v>1</v>
      </c>
      <c r="AL613" s="98" t="str">
        <f t="shared" si="608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9"/>
        <v>1</v>
      </c>
      <c r="AL614" s="98" t="str">
        <f t="shared" si="608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9"/>
        <v>1</v>
      </c>
      <c r="AL615" s="98" t="str">
        <f t="shared" si="608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9"/>
        <v>1</v>
      </c>
      <c r="AL616" s="98" t="str">
        <f t="shared" si="608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9"/>
        <v>1</v>
      </c>
      <c r="AL617" s="98" t="str">
        <f t="shared" si="608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9"/>
        <v>1</v>
      </c>
      <c r="AL618" s="98" t="str">
        <f t="shared" si="608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9"/>
        <v>1</v>
      </c>
      <c r="AL619" s="98" t="str">
        <f t="shared" si="608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9"/>
        <v>1</v>
      </c>
      <c r="AL620" s="98" t="str">
        <f t="shared" si="608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9"/>
        <v>1</v>
      </c>
      <c r="AL621" s="98" t="str">
        <f t="shared" si="608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9"/>
        <v>1</v>
      </c>
      <c r="AL622" s="98" t="str">
        <f t="shared" si="608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9"/>
        <v>1</v>
      </c>
      <c r="AL623" s="98" t="str">
        <f t="shared" si="608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9"/>
        <v>1</v>
      </c>
      <c r="AL624" s="98" t="str">
        <f t="shared" si="608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9"/>
        <v>1</v>
      </c>
      <c r="AL625" s="98" t="str">
        <f t="shared" si="608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0">H360+H361+H362+H363+H364</f>
        <v>5447166.7430808321</v>
      </c>
      <c r="I626" s="101">
        <f t="shared" si="610"/>
        <v>5134922.8818487478</v>
      </c>
      <c r="J626" s="101">
        <f t="shared" si="610"/>
        <v>5273601.2480795123</v>
      </c>
      <c r="K626" s="101">
        <f t="shared" si="610"/>
        <v>2518295.3741893796</v>
      </c>
      <c r="L626" s="101">
        <f t="shared" si="610"/>
        <v>0</v>
      </c>
      <c r="M626" s="101">
        <f t="shared" si="610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1">S360+S361+S362+S363+S364</f>
        <v>0</v>
      </c>
      <c r="T626" s="101">
        <f t="shared" si="611"/>
        <v>0</v>
      </c>
      <c r="U626" s="101">
        <f t="shared" si="611"/>
        <v>0</v>
      </c>
      <c r="V626" s="101">
        <f t="shared" si="611"/>
        <v>0</v>
      </c>
      <c r="W626" s="101">
        <f t="shared" si="611"/>
        <v>0</v>
      </c>
      <c r="X626" s="106">
        <f t="shared" si="611"/>
        <v>0</v>
      </c>
      <c r="Y626" s="106">
        <f t="shared" si="611"/>
        <v>0</v>
      </c>
      <c r="Z626" s="106">
        <f t="shared" si="611"/>
        <v>0</v>
      </c>
      <c r="AA626" s="106">
        <f t="shared" si="611"/>
        <v>0</v>
      </c>
      <c r="AB626" s="106">
        <f t="shared" si="611"/>
        <v>0</v>
      </c>
      <c r="AC626" s="106">
        <f t="shared" si="611"/>
        <v>0</v>
      </c>
      <c r="AD626" s="106">
        <f t="shared" si="611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9"/>
        <v>18373986.247198474</v>
      </c>
      <c r="AL626" s="98" t="str">
        <f t="shared" si="608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9"/>
        <v>1</v>
      </c>
      <c r="AL627" s="98" t="str">
        <f t="shared" si="608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2">H370+H371+H372+H373</f>
        <v>425610.8128132422</v>
      </c>
      <c r="I628" s="101">
        <f t="shared" si="612"/>
        <v>401213.84282077051</v>
      </c>
      <c r="J628" s="101">
        <f t="shared" si="612"/>
        <v>412049.38631612272</v>
      </c>
      <c r="K628" s="101">
        <f t="shared" si="612"/>
        <v>11603523.485279175</v>
      </c>
      <c r="L628" s="101">
        <f t="shared" si="612"/>
        <v>0</v>
      </c>
      <c r="M628" s="101">
        <f t="shared" si="612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3">S370+S371+S372+S373</f>
        <v>0</v>
      </c>
      <c r="T628" s="101">
        <f t="shared" si="613"/>
        <v>0</v>
      </c>
      <c r="U628" s="101">
        <f t="shared" si="613"/>
        <v>0</v>
      </c>
      <c r="V628" s="101">
        <f t="shared" si="613"/>
        <v>0</v>
      </c>
      <c r="W628" s="101">
        <f t="shared" si="613"/>
        <v>0</v>
      </c>
      <c r="X628" s="101">
        <f t="shared" si="613"/>
        <v>0</v>
      </c>
      <c r="Y628" s="101">
        <f t="shared" si="613"/>
        <v>0</v>
      </c>
      <c r="Z628" s="101">
        <f t="shared" si="613"/>
        <v>0</v>
      </c>
      <c r="AA628" s="101">
        <f t="shared" si="613"/>
        <v>0</v>
      </c>
      <c r="AB628" s="101">
        <f t="shared" si="613"/>
        <v>0</v>
      </c>
      <c r="AC628" s="101">
        <f t="shared" si="613"/>
        <v>0</v>
      </c>
      <c r="AD628" s="101">
        <f t="shared" si="613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9"/>
        <v>12842397.527229309</v>
      </c>
      <c r="AL628" s="98" t="str">
        <f t="shared" si="608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4">H381+H382+H383+H384+H385</f>
        <v>0</v>
      </c>
      <c r="I629" s="101">
        <f t="shared" si="614"/>
        <v>0</v>
      </c>
      <c r="J629" s="101">
        <f t="shared" si="614"/>
        <v>0</v>
      </c>
      <c r="K629" s="101">
        <f t="shared" si="614"/>
        <v>0</v>
      </c>
      <c r="L629" s="101">
        <f t="shared" si="614"/>
        <v>0</v>
      </c>
      <c r="M629" s="101">
        <f t="shared" si="614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5">S381+S382+S383+S384+S385</f>
        <v>0</v>
      </c>
      <c r="T629" s="101">
        <f t="shared" si="615"/>
        <v>0</v>
      </c>
      <c r="U629" s="101">
        <f t="shared" si="615"/>
        <v>0</v>
      </c>
      <c r="V629" s="101">
        <f t="shared" si="615"/>
        <v>0</v>
      </c>
      <c r="W629" s="101">
        <f t="shared" si="615"/>
        <v>0</v>
      </c>
      <c r="X629" s="101">
        <f t="shared" si="615"/>
        <v>0</v>
      </c>
      <c r="Y629" s="101">
        <f t="shared" si="615"/>
        <v>0</v>
      </c>
      <c r="Z629" s="101">
        <f t="shared" si="615"/>
        <v>0</v>
      </c>
      <c r="AA629" s="101">
        <f t="shared" si="615"/>
        <v>0</v>
      </c>
      <c r="AB629" s="101">
        <f t="shared" si="615"/>
        <v>0</v>
      </c>
      <c r="AC629" s="101">
        <f t="shared" si="615"/>
        <v>0</v>
      </c>
      <c r="AD629" s="101">
        <f t="shared" si="615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9"/>
        <v>0</v>
      </c>
      <c r="AL629" s="98" t="str">
        <f t="shared" si="608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6">H391+H392+H393+H394</f>
        <v>16210.215064132475</v>
      </c>
      <c r="I630" s="101">
        <f t="shared" si="616"/>
        <v>15281.009041670144</v>
      </c>
      <c r="J630" s="101">
        <f t="shared" si="616"/>
        <v>15693.701776695874</v>
      </c>
      <c r="K630" s="101">
        <f t="shared" si="616"/>
        <v>0</v>
      </c>
      <c r="L630" s="101">
        <f t="shared" si="616"/>
        <v>0</v>
      </c>
      <c r="M630" s="101">
        <f t="shared" si="616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7">S391+S392+S393+S394</f>
        <v>0</v>
      </c>
      <c r="T630" s="101">
        <f t="shared" si="617"/>
        <v>0</v>
      </c>
      <c r="U630" s="101">
        <f t="shared" si="617"/>
        <v>0</v>
      </c>
      <c r="V630" s="101">
        <f t="shared" si="617"/>
        <v>0</v>
      </c>
      <c r="W630" s="101">
        <f t="shared" si="617"/>
        <v>0</v>
      </c>
      <c r="X630" s="101">
        <f t="shared" si="617"/>
        <v>0</v>
      </c>
      <c r="Y630" s="101">
        <f t="shared" si="617"/>
        <v>0</v>
      </c>
      <c r="Z630" s="101">
        <f t="shared" si="617"/>
        <v>0</v>
      </c>
      <c r="AA630" s="101">
        <f t="shared" si="617"/>
        <v>0</v>
      </c>
      <c r="AB630" s="101">
        <f t="shared" si="617"/>
        <v>0</v>
      </c>
      <c r="AC630" s="101">
        <f t="shared" si="617"/>
        <v>0</v>
      </c>
      <c r="AD630" s="101">
        <f t="shared" si="617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9"/>
        <v>47184.925882498494</v>
      </c>
      <c r="AL630" s="98" t="str">
        <f t="shared" si="608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8">H444+H445+H446+H447+H448+H449+H450+H451+H452+H453</f>
        <v>0</v>
      </c>
      <c r="I631" s="101">
        <f t="shared" si="618"/>
        <v>0</v>
      </c>
      <c r="J631" s="101">
        <f t="shared" si="618"/>
        <v>0</v>
      </c>
      <c r="K631" s="101">
        <f t="shared" si="618"/>
        <v>0</v>
      </c>
      <c r="L631" s="101">
        <f t="shared" si="618"/>
        <v>0</v>
      </c>
      <c r="M631" s="101">
        <f t="shared" si="618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9">S444+S445+S446+S447+S448+S449+S450+S451+S452+S453</f>
        <v>0</v>
      </c>
      <c r="T631" s="101">
        <f t="shared" si="619"/>
        <v>1618225.8348742258</v>
      </c>
      <c r="U631" s="101">
        <f t="shared" si="619"/>
        <v>0</v>
      </c>
      <c r="V631" s="101">
        <f t="shared" si="619"/>
        <v>1018596.4745117625</v>
      </c>
      <c r="W631" s="101">
        <f t="shared" si="619"/>
        <v>1655551.7175841164</v>
      </c>
      <c r="X631" s="101">
        <f t="shared" si="619"/>
        <v>511164.86002779927</v>
      </c>
      <c r="Y631" s="101">
        <f t="shared" si="619"/>
        <v>757279.69185181917</v>
      </c>
      <c r="Z631" s="101">
        <f t="shared" si="619"/>
        <v>315193.21004416078</v>
      </c>
      <c r="AA631" s="101">
        <f t="shared" si="619"/>
        <v>280483.95085567492</v>
      </c>
      <c r="AB631" s="101">
        <f t="shared" si="619"/>
        <v>187776.2432794029</v>
      </c>
      <c r="AC631" s="101">
        <f t="shared" si="619"/>
        <v>5877796.7722128723</v>
      </c>
      <c r="AD631" s="101">
        <f t="shared" si="619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9"/>
        <v>12444302.580154542</v>
      </c>
      <c r="AL631" s="98" t="str">
        <f t="shared" si="608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0">H471+H472+H473+H474+H475+H476+H477</f>
        <v>0</v>
      </c>
      <c r="I632" s="101">
        <f t="shared" si="620"/>
        <v>0</v>
      </c>
      <c r="J632" s="101">
        <f t="shared" si="620"/>
        <v>0</v>
      </c>
      <c r="K632" s="101">
        <f t="shared" si="620"/>
        <v>0</v>
      </c>
      <c r="L632" s="101">
        <f t="shared" si="620"/>
        <v>0</v>
      </c>
      <c r="M632" s="101">
        <f t="shared" si="620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1">S471+S472+S473+S474+S475+S476+S477</f>
        <v>0</v>
      </c>
      <c r="T632" s="101">
        <f t="shared" si="621"/>
        <v>605268.88174267509</v>
      </c>
      <c r="U632" s="101">
        <f t="shared" si="621"/>
        <v>0</v>
      </c>
      <c r="V632" s="101">
        <f t="shared" si="621"/>
        <v>1716338.7897032718</v>
      </c>
      <c r="W632" s="101">
        <f t="shared" si="621"/>
        <v>2679438.4391976842</v>
      </c>
      <c r="X632" s="101">
        <f t="shared" si="621"/>
        <v>881261.6717432735</v>
      </c>
      <c r="Y632" s="101">
        <f t="shared" si="621"/>
        <v>1295121.7716360111</v>
      </c>
      <c r="Z632" s="101">
        <f t="shared" si="621"/>
        <v>27208.3079709372</v>
      </c>
      <c r="AA632" s="101">
        <f t="shared" si="621"/>
        <v>24212.113308904056</v>
      </c>
      <c r="AB632" s="101">
        <f t="shared" si="621"/>
        <v>0</v>
      </c>
      <c r="AC632" s="101">
        <f t="shared" si="621"/>
        <v>0</v>
      </c>
      <c r="AD632" s="101">
        <f t="shared" si="621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9"/>
        <v>7228849.9753027568</v>
      </c>
      <c r="AL632" s="98" t="str">
        <f t="shared" si="608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9"/>
        <v>1</v>
      </c>
      <c r="AL633" s="98" t="str">
        <f t="shared" si="608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9"/>
        <v>1</v>
      </c>
      <c r="AL634" s="98" t="str">
        <f t="shared" si="608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2">H36+H37</f>
        <v>0</v>
      </c>
      <c r="I635" s="101">
        <f t="shared" si="622"/>
        <v>0</v>
      </c>
      <c r="J635" s="101">
        <f t="shared" si="622"/>
        <v>0</v>
      </c>
      <c r="K635" s="101">
        <f t="shared" si="622"/>
        <v>0</v>
      </c>
      <c r="L635" s="101">
        <f t="shared" si="622"/>
        <v>0</v>
      </c>
      <c r="M635" s="101">
        <f t="shared" si="622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3">S36+S37</f>
        <v>0</v>
      </c>
      <c r="T635" s="101">
        <f t="shared" si="623"/>
        <v>0</v>
      </c>
      <c r="U635" s="101">
        <f t="shared" si="623"/>
        <v>0</v>
      </c>
      <c r="V635" s="101">
        <f t="shared" si="623"/>
        <v>228454092.63455608</v>
      </c>
      <c r="W635" s="101">
        <f t="shared" si="623"/>
        <v>423647545.28562999</v>
      </c>
      <c r="X635" s="101">
        <f t="shared" si="623"/>
        <v>105170278.98999348</v>
      </c>
      <c r="Y635" s="101">
        <f t="shared" si="623"/>
        <v>160770768.99212644</v>
      </c>
      <c r="Z635" s="101">
        <f t="shared" si="623"/>
        <v>0</v>
      </c>
      <c r="AA635" s="101">
        <f t="shared" si="623"/>
        <v>0</v>
      </c>
      <c r="AB635" s="101">
        <f t="shared" si="623"/>
        <v>0</v>
      </c>
      <c r="AC635" s="101">
        <f t="shared" si="623"/>
        <v>0</v>
      </c>
      <c r="AD635" s="101">
        <f t="shared" si="623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8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4">L637+L638</f>
        <v>0</v>
      </c>
      <c r="M639" s="101">
        <f t="shared" si="624"/>
        <v>0</v>
      </c>
      <c r="N639" s="101">
        <f t="shared" si="624"/>
        <v>0</v>
      </c>
      <c r="O639" s="101">
        <f t="shared" si="624"/>
        <v>0</v>
      </c>
      <c r="P639" s="101">
        <f t="shared" si="624"/>
        <v>0</v>
      </c>
      <c r="Q639" s="101">
        <f t="shared" si="624"/>
        <v>0</v>
      </c>
      <c r="R639" s="101">
        <f t="shared" si="624"/>
        <v>0</v>
      </c>
      <c r="S639" s="101">
        <f t="shared" si="624"/>
        <v>0</v>
      </c>
      <c r="T639" s="101">
        <f t="shared" si="624"/>
        <v>0</v>
      </c>
      <c r="U639" s="101">
        <f t="shared" si="624"/>
        <v>0</v>
      </c>
      <c r="V639" s="101">
        <f t="shared" si="624"/>
        <v>0</v>
      </c>
      <c r="W639" s="101">
        <f t="shared" si="624"/>
        <v>0</v>
      </c>
      <c r="X639" s="101">
        <f t="shared" si="624"/>
        <v>0</v>
      </c>
      <c r="Y639" s="101">
        <f t="shared" si="624"/>
        <v>0</v>
      </c>
      <c r="Z639" s="101">
        <f t="shared" si="624"/>
        <v>0</v>
      </c>
      <c r="AA639" s="101">
        <f t="shared" si="624"/>
        <v>0</v>
      </c>
      <c r="AB639" s="101">
        <f t="shared" si="624"/>
        <v>0</v>
      </c>
      <c r="AC639" s="101">
        <f t="shared" si="624"/>
        <v>0</v>
      </c>
      <c r="AD639" s="101">
        <f t="shared" si="624"/>
        <v>0</v>
      </c>
      <c r="AE639" s="101">
        <f t="shared" si="624"/>
        <v>0</v>
      </c>
      <c r="AF639" s="101">
        <f t="shared" si="624"/>
        <v>0</v>
      </c>
      <c r="AG639" s="101">
        <f t="shared" si="624"/>
        <v>0</v>
      </c>
      <c r="AH639" s="101">
        <f t="shared" si="624"/>
        <v>0</v>
      </c>
      <c r="AI639" s="101">
        <f t="shared" si="624"/>
        <v>0</v>
      </c>
      <c r="AJ639" s="101">
        <f t="shared" si="624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5">H47/$F$47</f>
        <v>0.20952193457482191</v>
      </c>
      <c r="I646" s="118">
        <f t="shared" si="625"/>
        <v>0.21948748801606224</v>
      </c>
      <c r="J646" s="118">
        <f t="shared" si="625"/>
        <v>0.18041797503286439</v>
      </c>
      <c r="K646" s="118">
        <f t="shared" si="625"/>
        <v>0</v>
      </c>
      <c r="L646" s="118">
        <f t="shared" si="625"/>
        <v>0</v>
      </c>
      <c r="M646" s="118">
        <f t="shared" si="625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6">S47/$F$47</f>
        <v>0</v>
      </c>
      <c r="T646" s="118">
        <f t="shared" si="626"/>
        <v>3.1338986525490678E-2</v>
      </c>
      <c r="U646" s="118">
        <f t="shared" si="626"/>
        <v>0</v>
      </c>
      <c r="V646" s="118">
        <f t="shared" si="626"/>
        <v>3.4149841307393271E-2</v>
      </c>
      <c r="W646" s="118">
        <f t="shared" si="626"/>
        <v>6.3327805927791941E-2</v>
      </c>
      <c r="X646" s="118">
        <f t="shared" si="626"/>
        <v>1.5721094318532226E-2</v>
      </c>
      <c r="Y646" s="118">
        <f t="shared" si="626"/>
        <v>2.4032382981780016E-2</v>
      </c>
      <c r="Z646" s="118">
        <f t="shared" si="626"/>
        <v>2.4404601761909742E-2</v>
      </c>
      <c r="AA646" s="118">
        <f t="shared" si="626"/>
        <v>2.1717152854532507E-2</v>
      </c>
      <c r="AB646" s="118">
        <f t="shared" si="626"/>
        <v>1.4539032858414855E-2</v>
      </c>
      <c r="AC646" s="118">
        <f t="shared" si="626"/>
        <v>1.2405195950597107E-2</v>
      </c>
      <c r="AD646" s="118">
        <f t="shared" si="626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7">SUM(H646:AJ646)</f>
        <v>0.99999999999999989</v>
      </c>
      <c r="AL646" s="98" t="str">
        <f t="shared" ref="AL646:AL664" si="628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9">H45/$F$45</f>
        <v>0</v>
      </c>
      <c r="I647" s="118">
        <f t="shared" si="629"/>
        <v>0</v>
      </c>
      <c r="J647" s="118">
        <f t="shared" si="629"/>
        <v>0</v>
      </c>
      <c r="K647" s="118">
        <f t="shared" si="629"/>
        <v>0</v>
      </c>
      <c r="L647" s="118">
        <f t="shared" si="629"/>
        <v>0</v>
      </c>
      <c r="M647" s="118">
        <f t="shared" si="629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0">S45/$F$45</f>
        <v>0</v>
      </c>
      <c r="T647" s="118">
        <f t="shared" si="630"/>
        <v>0.12107329805658508</v>
      </c>
      <c r="U647" s="118">
        <f t="shared" si="630"/>
        <v>0</v>
      </c>
      <c r="V647" s="118">
        <f t="shared" si="630"/>
        <v>0.13193259813402247</v>
      </c>
      <c r="W647" s="118">
        <f t="shared" si="630"/>
        <v>0.2446571243179371</v>
      </c>
      <c r="X647" s="118">
        <f t="shared" si="630"/>
        <v>6.0736001678137759E-2</v>
      </c>
      <c r="Y647" s="118">
        <f t="shared" si="630"/>
        <v>9.2845372181910329E-2</v>
      </c>
      <c r="Z647" s="118">
        <f t="shared" si="630"/>
        <v>9.4283381521243909E-2</v>
      </c>
      <c r="AA647" s="118">
        <f t="shared" si="630"/>
        <v>8.3900840837930174E-2</v>
      </c>
      <c r="AB647" s="118">
        <f t="shared" si="630"/>
        <v>5.6169291157183804E-2</v>
      </c>
      <c r="AC647" s="118">
        <f t="shared" si="630"/>
        <v>4.7925544291463645E-2</v>
      </c>
      <c r="AD647" s="118">
        <f t="shared" si="630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7"/>
        <v>1</v>
      </c>
      <c r="AL647" s="98" t="str">
        <f t="shared" si="628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1">H32/$F$32</f>
        <v>0</v>
      </c>
      <c r="I648" s="118">
        <f t="shared" si="631"/>
        <v>0</v>
      </c>
      <c r="J648" s="118">
        <f t="shared" si="631"/>
        <v>0</v>
      </c>
      <c r="K648" s="118">
        <f t="shared" si="631"/>
        <v>0</v>
      </c>
      <c r="L648" s="118">
        <f t="shared" si="631"/>
        <v>0</v>
      </c>
      <c r="M648" s="118">
        <f t="shared" si="631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2">S32/$F$32</f>
        <v>0</v>
      </c>
      <c r="T648" s="118">
        <f t="shared" si="632"/>
        <v>0</v>
      </c>
      <c r="U648" s="118">
        <f t="shared" si="632"/>
        <v>0</v>
      </c>
      <c r="V648" s="118">
        <f t="shared" si="632"/>
        <v>0</v>
      </c>
      <c r="W648" s="118">
        <f t="shared" si="632"/>
        <v>0</v>
      </c>
      <c r="X648" s="118">
        <f t="shared" si="632"/>
        <v>0</v>
      </c>
      <c r="Y648" s="118">
        <f t="shared" si="632"/>
        <v>0</v>
      </c>
      <c r="Z648" s="118">
        <f t="shared" si="632"/>
        <v>0</v>
      </c>
      <c r="AA648" s="118">
        <f t="shared" si="632"/>
        <v>0</v>
      </c>
      <c r="AB648" s="118">
        <f t="shared" si="632"/>
        <v>0</v>
      </c>
      <c r="AC648" s="118">
        <f t="shared" si="632"/>
        <v>0</v>
      </c>
      <c r="AD648" s="118">
        <f t="shared" si="632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7"/>
        <v>1</v>
      </c>
      <c r="AL648" s="98" t="str">
        <f t="shared" si="628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3">H330/$F$330</f>
        <v>3.9764185243287328E-2</v>
      </c>
      <c r="I649" s="118">
        <f t="shared" si="633"/>
        <v>3.7733706917855762E-2</v>
      </c>
      <c r="J649" s="118">
        <f t="shared" si="633"/>
        <v>3.8243147239114206E-2</v>
      </c>
      <c r="K649" s="118">
        <f t="shared" si="633"/>
        <v>0.67605482796901784</v>
      </c>
      <c r="L649" s="118">
        <f t="shared" si="633"/>
        <v>0</v>
      </c>
      <c r="M649" s="118">
        <f t="shared" si="633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4">S330/$F$330</f>
        <v>0</v>
      </c>
      <c r="T649" s="118">
        <f t="shared" si="634"/>
        <v>8.236039337613443E-3</v>
      </c>
      <c r="U649" s="118">
        <f t="shared" si="634"/>
        <v>0</v>
      </c>
      <c r="V649" s="118">
        <f t="shared" si="634"/>
        <v>1.5641866062359566E-2</v>
      </c>
      <c r="W649" s="118">
        <f t="shared" si="634"/>
        <v>2.4171628306174527E-2</v>
      </c>
      <c r="X649" s="118">
        <f t="shared" si="634"/>
        <v>8.0761868302706291E-3</v>
      </c>
      <c r="Y649" s="118">
        <f t="shared" si="634"/>
        <v>1.1846007533307433E-2</v>
      </c>
      <c r="Z649" s="118">
        <f t="shared" si="634"/>
        <v>1.5920344309310762E-3</v>
      </c>
      <c r="AA649" s="118">
        <f t="shared" si="634"/>
        <v>1.4167186755807682E-3</v>
      </c>
      <c r="AB649" s="118">
        <f t="shared" si="634"/>
        <v>8.9492644404539159E-4</v>
      </c>
      <c r="AC649" s="118">
        <f t="shared" si="634"/>
        <v>2.0293085652186422E-2</v>
      </c>
      <c r="AD649" s="118">
        <f t="shared" si="634"/>
        <v>8.9745546793189529E-4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7"/>
        <v>1</v>
      </c>
      <c r="AL649" s="98" t="str">
        <f t="shared" si="628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5">H66/$F$66</f>
        <v>0.2095237336356337</v>
      </c>
      <c r="I650" s="118">
        <f t="shared" si="635"/>
        <v>0.21948937264613286</v>
      </c>
      <c r="J650" s="118">
        <f t="shared" si="635"/>
        <v>0.18041952419242746</v>
      </c>
      <c r="K650" s="118">
        <f t="shared" si="635"/>
        <v>0</v>
      </c>
      <c r="L650" s="118">
        <f t="shared" si="635"/>
        <v>0</v>
      </c>
      <c r="M650" s="118">
        <f t="shared" si="635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6">S66/$F$66</f>
        <v>0</v>
      </c>
      <c r="T650" s="118">
        <f t="shared" si="636"/>
        <v>3.1339233772213988E-2</v>
      </c>
      <c r="U650" s="118">
        <f t="shared" si="636"/>
        <v>0</v>
      </c>
      <c r="V650" s="118">
        <f t="shared" si="636"/>
        <v>3.4150110730157092E-2</v>
      </c>
      <c r="W650" s="118">
        <f t="shared" si="636"/>
        <v>6.3328305548049219E-2</v>
      </c>
      <c r="X650" s="118">
        <f t="shared" si="636"/>
        <v>1.5721218348996771E-2</v>
      </c>
      <c r="Y650" s="118">
        <f t="shared" si="636"/>
        <v>2.4032572583570132E-2</v>
      </c>
      <c r="Z650" s="118">
        <f t="shared" si="636"/>
        <v>2.4404794300293672E-2</v>
      </c>
      <c r="AA650" s="118">
        <f t="shared" si="636"/>
        <v>2.1717324190477869E-2</v>
      </c>
      <c r="AB650" s="118">
        <f t="shared" si="636"/>
        <v>1.4539147563088904E-2</v>
      </c>
      <c r="AC650" s="118">
        <f t="shared" si="636"/>
        <v>1.240529382051541E-2</v>
      </c>
      <c r="AD650" s="118">
        <f t="shared" si="636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7"/>
        <v>0.99999999999999989</v>
      </c>
      <c r="AL650" s="98" t="str">
        <f t="shared" si="628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7">I534/$F$534</f>
        <v>0.10311221651137267</v>
      </c>
      <c r="J651" s="118">
        <f t="shared" si="637"/>
        <v>0.10574133652178345</v>
      </c>
      <c r="K651" s="118">
        <f t="shared" si="637"/>
        <v>0.22637866608158227</v>
      </c>
      <c r="L651" s="118">
        <f t="shared" si="637"/>
        <v>0</v>
      </c>
      <c r="M651" s="118">
        <f t="shared" si="637"/>
        <v>0</v>
      </c>
      <c r="N651" s="118"/>
      <c r="O651" s="118">
        <f t="shared" si="637"/>
        <v>6.7445316068513755E-2</v>
      </c>
      <c r="P651" s="118">
        <f t="shared" si="637"/>
        <v>0</v>
      </c>
      <c r="Q651" s="118">
        <f t="shared" si="637"/>
        <v>0</v>
      </c>
      <c r="R651" s="118"/>
      <c r="S651" s="118">
        <f t="shared" si="637"/>
        <v>0</v>
      </c>
      <c r="T651" s="118">
        <f t="shared" si="637"/>
        <v>2.35990863209012E-2</v>
      </c>
      <c r="U651" s="118">
        <f t="shared" si="637"/>
        <v>0</v>
      </c>
      <c r="V651" s="118">
        <f t="shared" si="637"/>
        <v>2.817267733827563E-2</v>
      </c>
      <c r="W651" s="118">
        <f t="shared" si="637"/>
        <v>4.4722160112982585E-2</v>
      </c>
      <c r="X651" s="118">
        <f t="shared" si="637"/>
        <v>1.4331264857421692E-2</v>
      </c>
      <c r="Y651" s="118">
        <f t="shared" si="637"/>
        <v>2.1130208365350581E-2</v>
      </c>
      <c r="Z651" s="118">
        <f t="shared" si="637"/>
        <v>3.7587971989744319E-3</v>
      </c>
      <c r="AA651" s="118">
        <f t="shared" si="637"/>
        <v>3.3448762702911038E-3</v>
      </c>
      <c r="AB651" s="118">
        <f t="shared" si="637"/>
        <v>2.0782431487793704E-3</v>
      </c>
      <c r="AC651" s="118">
        <f t="shared" si="637"/>
        <v>6.3522383211515973E-2</v>
      </c>
      <c r="AD651" s="118">
        <f t="shared" si="637"/>
        <v>2.4596078608551523E-3</v>
      </c>
      <c r="AE651" s="118"/>
      <c r="AF651" s="118">
        <f t="shared" si="637"/>
        <v>0.15903920210728373</v>
      </c>
      <c r="AG651" s="118"/>
      <c r="AH651" s="118">
        <f t="shared" si="637"/>
        <v>2.1862328887175847E-2</v>
      </c>
      <c r="AI651" s="118"/>
      <c r="AJ651" s="118">
        <f t="shared" si="637"/>
        <v>0</v>
      </c>
      <c r="AK651" s="115">
        <f t="shared" si="627"/>
        <v>1.0000000000000002</v>
      </c>
      <c r="AL651" s="98" t="str">
        <f t="shared" si="628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8">H304/$F$304</f>
        <v>2.9538372935310656E-2</v>
      </c>
      <c r="I652" s="118">
        <f t="shared" si="638"/>
        <v>2.81659088678759E-2</v>
      </c>
      <c r="J652" s="118">
        <f t="shared" si="638"/>
        <v>2.8269838939716765E-2</v>
      </c>
      <c r="K652" s="118">
        <f t="shared" si="638"/>
        <v>0.7522802397900149</v>
      </c>
      <c r="L652" s="118">
        <f t="shared" si="638"/>
        <v>0</v>
      </c>
      <c r="M652" s="118">
        <f t="shared" si="638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9">S304/$F$304</f>
        <v>0</v>
      </c>
      <c r="T652" s="118">
        <f t="shared" si="639"/>
        <v>5.5012556449742902E-3</v>
      </c>
      <c r="U652" s="118">
        <f t="shared" si="639"/>
        <v>0</v>
      </c>
      <c r="V652" s="118">
        <f t="shared" si="639"/>
        <v>1.286387579436242E-2</v>
      </c>
      <c r="W652" s="118">
        <f t="shared" si="639"/>
        <v>1.9602803239215361E-2</v>
      </c>
      <c r="X652" s="118">
        <f t="shared" si="639"/>
        <v>6.691820589909774E-3</v>
      </c>
      <c r="Y652" s="118">
        <f t="shared" si="639"/>
        <v>9.7900076496004948E-3</v>
      </c>
      <c r="Z652" s="118">
        <f t="shared" si="639"/>
        <v>9.4778102976250276E-4</v>
      </c>
      <c r="AA652" s="118">
        <f t="shared" si="639"/>
        <v>8.4341083279237234E-4</v>
      </c>
      <c r="AB652" s="118">
        <f t="shared" si="639"/>
        <v>5.2744681503194796E-4</v>
      </c>
      <c r="AC652" s="118">
        <f t="shared" si="639"/>
        <v>1.3640564512974539E-2</v>
      </c>
      <c r="AD652" s="118">
        <f t="shared" si="639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7"/>
        <v>0.99999999999999989</v>
      </c>
      <c r="AL652" s="98" t="str">
        <f t="shared" si="628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0">H366/$F$366</f>
        <v>0.29646080441098488</v>
      </c>
      <c r="I653" s="118">
        <f t="shared" si="640"/>
        <v>0.27946700366294674</v>
      </c>
      <c r="J653" s="118">
        <f t="shared" si="640"/>
        <v>0.28701454203404514</v>
      </c>
      <c r="K653" s="118">
        <f t="shared" si="640"/>
        <v>0.13705764989202335</v>
      </c>
      <c r="L653" s="118">
        <f t="shared" si="640"/>
        <v>0</v>
      </c>
      <c r="M653" s="118">
        <f t="shared" si="640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1">S366/$F$366</f>
        <v>0</v>
      </c>
      <c r="T653" s="118">
        <f t="shared" si="641"/>
        <v>0</v>
      </c>
      <c r="U653" s="118">
        <f t="shared" si="641"/>
        <v>0</v>
      </c>
      <c r="V653" s="118">
        <f t="shared" si="641"/>
        <v>0</v>
      </c>
      <c r="W653" s="118">
        <f t="shared" si="641"/>
        <v>0</v>
      </c>
      <c r="X653" s="118">
        <f t="shared" si="641"/>
        <v>0</v>
      </c>
      <c r="Y653" s="118">
        <f t="shared" si="641"/>
        <v>0</v>
      </c>
      <c r="Z653" s="118">
        <f t="shared" si="641"/>
        <v>0</v>
      </c>
      <c r="AA653" s="118">
        <f t="shared" si="641"/>
        <v>0</v>
      </c>
      <c r="AB653" s="118">
        <f t="shared" si="641"/>
        <v>0</v>
      </c>
      <c r="AC653" s="118">
        <f t="shared" si="641"/>
        <v>0</v>
      </c>
      <c r="AD653" s="118">
        <f t="shared" si="641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7"/>
        <v>1</v>
      </c>
      <c r="AL653" s="98" t="str">
        <f t="shared" si="628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2">H375/$F$375</f>
        <v>3.314107135453747E-2</v>
      </c>
      <c r="I654" s="118">
        <f t="shared" si="642"/>
        <v>3.1241350532101971E-2</v>
      </c>
      <c r="J654" s="118">
        <f t="shared" si="642"/>
        <v>3.2085082667972858E-2</v>
      </c>
      <c r="K654" s="118">
        <f t="shared" si="642"/>
        <v>0.90353249544538761</v>
      </c>
      <c r="L654" s="118">
        <f t="shared" si="642"/>
        <v>0</v>
      </c>
      <c r="M654" s="118">
        <f t="shared" si="642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3">S375/$F$375</f>
        <v>0</v>
      </c>
      <c r="T654" s="118">
        <f t="shared" si="643"/>
        <v>0</v>
      </c>
      <c r="U654" s="118">
        <f t="shared" si="643"/>
        <v>0</v>
      </c>
      <c r="V654" s="118">
        <f t="shared" si="643"/>
        <v>0</v>
      </c>
      <c r="W654" s="118">
        <f t="shared" si="643"/>
        <v>0</v>
      </c>
      <c r="X654" s="118">
        <f t="shared" si="643"/>
        <v>0</v>
      </c>
      <c r="Y654" s="118">
        <f t="shared" si="643"/>
        <v>0</v>
      </c>
      <c r="Z654" s="118">
        <f t="shared" si="643"/>
        <v>0</v>
      </c>
      <c r="AA654" s="118">
        <f t="shared" si="643"/>
        <v>0</v>
      </c>
      <c r="AB654" s="118">
        <f t="shared" si="643"/>
        <v>0</v>
      </c>
      <c r="AC654" s="118">
        <f t="shared" si="643"/>
        <v>0</v>
      </c>
      <c r="AD654" s="118">
        <f t="shared" si="643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7"/>
        <v>0.99999999999999989</v>
      </c>
      <c r="AL654" s="98" t="str">
        <f t="shared" si="628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4">H387/$F$387</f>
        <v>#DIV/0!</v>
      </c>
      <c r="I655" s="118" t="e">
        <f t="shared" si="644"/>
        <v>#DIV/0!</v>
      </c>
      <c r="J655" s="118" t="e">
        <f t="shared" si="644"/>
        <v>#DIV/0!</v>
      </c>
      <c r="K655" s="118" t="e">
        <f t="shared" si="644"/>
        <v>#DIV/0!</v>
      </c>
      <c r="L655" s="118" t="e">
        <f t="shared" si="644"/>
        <v>#DIV/0!</v>
      </c>
      <c r="M655" s="118" t="e">
        <f t="shared" si="644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5">S387/$F$387</f>
        <v>#DIV/0!</v>
      </c>
      <c r="T655" s="118" t="e">
        <f t="shared" si="645"/>
        <v>#DIV/0!</v>
      </c>
      <c r="U655" s="118" t="e">
        <f t="shared" si="645"/>
        <v>#DIV/0!</v>
      </c>
      <c r="V655" s="118" t="e">
        <f t="shared" si="645"/>
        <v>#DIV/0!</v>
      </c>
      <c r="W655" s="118" t="e">
        <f t="shared" si="645"/>
        <v>#DIV/0!</v>
      </c>
      <c r="X655" s="118" t="e">
        <f t="shared" si="645"/>
        <v>#DIV/0!</v>
      </c>
      <c r="Y655" s="118" t="e">
        <f t="shared" si="645"/>
        <v>#DIV/0!</v>
      </c>
      <c r="Z655" s="118" t="e">
        <f t="shared" si="645"/>
        <v>#DIV/0!</v>
      </c>
      <c r="AA655" s="118" t="e">
        <f t="shared" si="645"/>
        <v>#DIV/0!</v>
      </c>
      <c r="AB655" s="118" t="e">
        <f t="shared" si="645"/>
        <v>#DIV/0!</v>
      </c>
      <c r="AC655" s="118" t="e">
        <f t="shared" si="645"/>
        <v>#DIV/0!</v>
      </c>
      <c r="AD655" s="118" t="e">
        <f t="shared" si="645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7"/>
        <v>#DIV/0!</v>
      </c>
      <c r="AL655" s="98" t="e">
        <f t="shared" si="628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6">H396/$F$396</f>
        <v>0.34354647720544701</v>
      </c>
      <c r="I656" s="118">
        <f t="shared" si="646"/>
        <v>0.32385361968615639</v>
      </c>
      <c r="J656" s="118">
        <f t="shared" si="646"/>
        <v>0.3325999031083966</v>
      </c>
      <c r="K656" s="118">
        <f t="shared" si="646"/>
        <v>0</v>
      </c>
      <c r="L656" s="118">
        <f t="shared" si="646"/>
        <v>0</v>
      </c>
      <c r="M656" s="118">
        <f t="shared" si="646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7">S396/$F$396</f>
        <v>0</v>
      </c>
      <c r="T656" s="118">
        <f t="shared" si="647"/>
        <v>0</v>
      </c>
      <c r="U656" s="118">
        <f t="shared" si="647"/>
        <v>0</v>
      </c>
      <c r="V656" s="118">
        <f t="shared" si="647"/>
        <v>0</v>
      </c>
      <c r="W656" s="118">
        <f t="shared" si="647"/>
        <v>0</v>
      </c>
      <c r="X656" s="118">
        <f t="shared" si="647"/>
        <v>0</v>
      </c>
      <c r="Y656" s="118">
        <f t="shared" si="647"/>
        <v>0</v>
      </c>
      <c r="Z656" s="118">
        <f t="shared" si="647"/>
        <v>0</v>
      </c>
      <c r="AA656" s="118">
        <f t="shared" si="647"/>
        <v>0</v>
      </c>
      <c r="AB656" s="118">
        <f t="shared" si="647"/>
        <v>0</v>
      </c>
      <c r="AC656" s="118">
        <f t="shared" si="647"/>
        <v>0</v>
      </c>
      <c r="AD656" s="118">
        <f t="shared" si="647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7"/>
        <v>1</v>
      </c>
      <c r="AL656" s="98" t="str">
        <f t="shared" si="628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8">H407/$F$407</f>
        <v>0.34354647720544707</v>
      </c>
      <c r="I657" s="118">
        <f t="shared" si="648"/>
        <v>0.32385361968615645</v>
      </c>
      <c r="J657" s="118">
        <f t="shared" si="648"/>
        <v>0.3325999031083966</v>
      </c>
      <c r="K657" s="118">
        <f t="shared" si="648"/>
        <v>0</v>
      </c>
      <c r="L657" s="118">
        <f t="shared" si="648"/>
        <v>0</v>
      </c>
      <c r="M657" s="118">
        <f t="shared" si="648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9">S407/$F$407</f>
        <v>0</v>
      </c>
      <c r="T657" s="118">
        <f t="shared" si="649"/>
        <v>0</v>
      </c>
      <c r="U657" s="118">
        <f t="shared" si="649"/>
        <v>0</v>
      </c>
      <c r="V657" s="118">
        <f t="shared" si="649"/>
        <v>0</v>
      </c>
      <c r="W657" s="118">
        <f t="shared" si="649"/>
        <v>0</v>
      </c>
      <c r="X657" s="118">
        <f t="shared" si="649"/>
        <v>0</v>
      </c>
      <c r="Y657" s="118">
        <f t="shared" si="649"/>
        <v>0</v>
      </c>
      <c r="Z657" s="118">
        <f t="shared" si="649"/>
        <v>0</v>
      </c>
      <c r="AA657" s="118">
        <f t="shared" si="649"/>
        <v>0</v>
      </c>
      <c r="AB657" s="118">
        <f t="shared" si="649"/>
        <v>0</v>
      </c>
      <c r="AC657" s="118">
        <f t="shared" si="649"/>
        <v>0</v>
      </c>
      <c r="AD657" s="118">
        <f t="shared" si="649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7"/>
        <v>1</v>
      </c>
      <c r="AL657" s="98" t="str">
        <f t="shared" si="628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0">H440/$F$440</f>
        <v>0</v>
      </c>
      <c r="I658" s="119">
        <f t="shared" si="650"/>
        <v>0</v>
      </c>
      <c r="J658" s="119">
        <f t="shared" si="650"/>
        <v>0</v>
      </c>
      <c r="K658" s="119">
        <f t="shared" si="650"/>
        <v>0</v>
      </c>
      <c r="L658" s="119">
        <f t="shared" si="650"/>
        <v>0</v>
      </c>
      <c r="M658" s="119">
        <f t="shared" si="650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1">S440/$F$440</f>
        <v>0</v>
      </c>
      <c r="T658" s="119">
        <f t="shared" si="651"/>
        <v>0</v>
      </c>
      <c r="U658" s="119">
        <f t="shared" si="651"/>
        <v>0</v>
      </c>
      <c r="V658" s="119">
        <f t="shared" si="651"/>
        <v>0</v>
      </c>
      <c r="W658" s="119">
        <f t="shared" si="651"/>
        <v>0</v>
      </c>
      <c r="X658" s="119">
        <f t="shared" si="651"/>
        <v>0</v>
      </c>
      <c r="Y658" s="119">
        <f t="shared" si="651"/>
        <v>0</v>
      </c>
      <c r="Z658" s="119">
        <f t="shared" si="651"/>
        <v>0</v>
      </c>
      <c r="AA658" s="119">
        <f t="shared" si="651"/>
        <v>0</v>
      </c>
      <c r="AB658" s="119">
        <f t="shared" si="651"/>
        <v>0</v>
      </c>
      <c r="AC658" s="119">
        <f t="shared" si="651"/>
        <v>0</v>
      </c>
      <c r="AD658" s="119">
        <f t="shared" si="651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7"/>
        <v>1</v>
      </c>
      <c r="AL658" s="98" t="str">
        <f t="shared" si="628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2">H455/$F$455</f>
        <v>0</v>
      </c>
      <c r="I659" s="118">
        <f t="shared" si="652"/>
        <v>0</v>
      </c>
      <c r="J659" s="118">
        <f t="shared" si="652"/>
        <v>0</v>
      </c>
      <c r="K659" s="118">
        <f t="shared" si="652"/>
        <v>0</v>
      </c>
      <c r="L659" s="118">
        <f t="shared" si="652"/>
        <v>0</v>
      </c>
      <c r="M659" s="118">
        <f t="shared" si="652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3">S455/$F$455</f>
        <v>0</v>
      </c>
      <c r="T659" s="118">
        <f t="shared" si="653"/>
        <v>0.13003748699062326</v>
      </c>
      <c r="U659" s="118">
        <f t="shared" si="653"/>
        <v>0</v>
      </c>
      <c r="V659" s="118">
        <f t="shared" si="653"/>
        <v>8.1852435518255703E-2</v>
      </c>
      <c r="W659" s="118">
        <f t="shared" si="653"/>
        <v>0.13303692247280255</v>
      </c>
      <c r="X659" s="118">
        <f t="shared" si="653"/>
        <v>4.1076215941821884E-2</v>
      </c>
      <c r="Y659" s="118">
        <f t="shared" si="653"/>
        <v>6.0853526099524879E-2</v>
      </c>
      <c r="Z659" s="118">
        <f t="shared" si="653"/>
        <v>2.5328314545068422E-2</v>
      </c>
      <c r="AA659" s="118">
        <f t="shared" si="653"/>
        <v>2.2539145850003248E-2</v>
      </c>
      <c r="AB659" s="118">
        <f t="shared" si="653"/>
        <v>1.5089334421911089E-2</v>
      </c>
      <c r="AC659" s="118">
        <f t="shared" si="653"/>
        <v>0.47232833936282176</v>
      </c>
      <c r="AD659" s="118">
        <f t="shared" si="653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7"/>
        <v>1</v>
      </c>
      <c r="AL659" s="98" t="str">
        <f t="shared" si="628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4">H479/$F$479</f>
        <v>0</v>
      </c>
      <c r="I660" s="118">
        <f t="shared" si="654"/>
        <v>0</v>
      </c>
      <c r="J660" s="118">
        <f t="shared" si="654"/>
        <v>0</v>
      </c>
      <c r="K660" s="118">
        <f t="shared" si="654"/>
        <v>0</v>
      </c>
      <c r="L660" s="118">
        <f t="shared" si="654"/>
        <v>0</v>
      </c>
      <c r="M660" s="118">
        <f t="shared" si="654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5">S479/$F$479</f>
        <v>0</v>
      </c>
      <c r="T660" s="118">
        <f t="shared" si="655"/>
        <v>8.3729622804535428E-2</v>
      </c>
      <c r="U660" s="118">
        <f t="shared" si="655"/>
        <v>0</v>
      </c>
      <c r="V660" s="118">
        <f t="shared" si="655"/>
        <v>0.23742902336707972</v>
      </c>
      <c r="W660" s="118">
        <f t="shared" si="655"/>
        <v>0.37065901884143954</v>
      </c>
      <c r="X660" s="118">
        <f t="shared" si="655"/>
        <v>0.12190897234748115</v>
      </c>
      <c r="Y660" s="118">
        <f t="shared" si="655"/>
        <v>0.17916013972634273</v>
      </c>
      <c r="Z660" s="118">
        <f t="shared" si="655"/>
        <v>3.7638501371440717E-3</v>
      </c>
      <c r="AA660" s="118">
        <f t="shared" si="655"/>
        <v>3.349372775977414E-3</v>
      </c>
      <c r="AB660" s="118">
        <f t="shared" si="655"/>
        <v>0</v>
      </c>
      <c r="AC660" s="118">
        <f t="shared" si="655"/>
        <v>0</v>
      </c>
      <c r="AD660" s="118">
        <f t="shared" si="655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7"/>
        <v>1</v>
      </c>
      <c r="AL660" s="98" t="str">
        <f t="shared" si="628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6">I510/$F$510</f>
        <v>0.10270833873737889</v>
      </c>
      <c r="J661" s="118">
        <f t="shared" si="656"/>
        <v>0.10548217291991825</v>
      </c>
      <c r="K661" s="118">
        <f t="shared" si="656"/>
        <v>0.2271643081733648</v>
      </c>
      <c r="L661" s="118">
        <f t="shared" si="656"/>
        <v>0</v>
      </c>
      <c r="M661" s="118">
        <f t="shared" si="656"/>
        <v>0</v>
      </c>
      <c r="N661" s="118"/>
      <c r="O661" s="118">
        <f t="shared" si="656"/>
        <v>6.7222219202898781E-2</v>
      </c>
      <c r="P661" s="118">
        <f t="shared" si="656"/>
        <v>0</v>
      </c>
      <c r="Q661" s="118">
        <f t="shared" si="656"/>
        <v>0</v>
      </c>
      <c r="R661" s="118"/>
      <c r="S661" s="118">
        <f t="shared" si="656"/>
        <v>0</v>
      </c>
      <c r="T661" s="118">
        <f t="shared" si="656"/>
        <v>2.357222517054558E-2</v>
      </c>
      <c r="U661" s="118">
        <f t="shared" si="656"/>
        <v>0</v>
      </c>
      <c r="V661" s="118">
        <f t="shared" si="656"/>
        <v>2.8151933724555718E-2</v>
      </c>
      <c r="W661" s="118">
        <f t="shared" si="656"/>
        <v>4.4657589635782022E-2</v>
      </c>
      <c r="X661" s="118">
        <f t="shared" si="656"/>
        <v>1.4326441485396631E-2</v>
      </c>
      <c r="Y661" s="118">
        <f t="shared" si="656"/>
        <v>2.1120136433326966E-2</v>
      </c>
      <c r="Z661" s="118">
        <f t="shared" si="656"/>
        <v>3.6871463965197811E-3</v>
      </c>
      <c r="AA661" s="118">
        <f t="shared" si="656"/>
        <v>3.2811156957798567E-3</v>
      </c>
      <c r="AB661" s="118">
        <f t="shared" si="656"/>
        <v>2.0349982571021092E-3</v>
      </c>
      <c r="AC661" s="118">
        <f t="shared" si="656"/>
        <v>6.3699784265338052E-2</v>
      </c>
      <c r="AD661" s="118">
        <f t="shared" si="656"/>
        <v>2.4084273839346856E-3</v>
      </c>
      <c r="AE661" s="118"/>
      <c r="AF661" s="118">
        <f t="shared" si="656"/>
        <v>0.15959114409714406</v>
      </c>
      <c r="AG661" s="118"/>
      <c r="AH661" s="118">
        <f t="shared" si="656"/>
        <v>2.1938201610058529E-2</v>
      </c>
      <c r="AI661" s="118"/>
      <c r="AJ661" s="118">
        <f t="shared" si="656"/>
        <v>0</v>
      </c>
      <c r="AK661" s="115">
        <f t="shared" si="627"/>
        <v>1</v>
      </c>
      <c r="AL661" s="98" t="str">
        <f t="shared" si="628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7">I57/$F$57</f>
        <v>0.21948748801606224</v>
      </c>
      <c r="J662" s="118">
        <f t="shared" si="657"/>
        <v>0.18041797503286439</v>
      </c>
      <c r="K662" s="118">
        <f t="shared" si="657"/>
        <v>0</v>
      </c>
      <c r="L662" s="118">
        <f t="shared" si="657"/>
        <v>0</v>
      </c>
      <c r="M662" s="118">
        <f t="shared" si="657"/>
        <v>0</v>
      </c>
      <c r="N662" s="118"/>
      <c r="O662" s="118">
        <f t="shared" si="657"/>
        <v>0.13172951287154483</v>
      </c>
      <c r="P662" s="118">
        <f t="shared" si="657"/>
        <v>0</v>
      </c>
      <c r="Q662" s="118">
        <f t="shared" si="657"/>
        <v>0</v>
      </c>
      <c r="R662" s="118"/>
      <c r="S662" s="118">
        <f t="shared" si="657"/>
        <v>0</v>
      </c>
      <c r="T662" s="118">
        <f t="shared" si="657"/>
        <v>3.1338986525490678E-2</v>
      </c>
      <c r="U662" s="118">
        <f t="shared" si="657"/>
        <v>0</v>
      </c>
      <c r="V662" s="118">
        <f t="shared" si="657"/>
        <v>3.4149841307393271E-2</v>
      </c>
      <c r="W662" s="118">
        <f t="shared" si="657"/>
        <v>6.3327805927791941E-2</v>
      </c>
      <c r="X662" s="118">
        <f t="shared" si="657"/>
        <v>1.5721094318532226E-2</v>
      </c>
      <c r="Y662" s="118">
        <f t="shared" si="657"/>
        <v>2.4032382981780013E-2</v>
      </c>
      <c r="Z662" s="118">
        <f t="shared" si="657"/>
        <v>2.4404601761909738E-2</v>
      </c>
      <c r="AA662" s="118">
        <f t="shared" si="657"/>
        <v>2.1717152854532507E-2</v>
      </c>
      <c r="AB662" s="118">
        <f t="shared" si="657"/>
        <v>1.4539032858414855E-2</v>
      </c>
      <c r="AC662" s="118">
        <f t="shared" si="657"/>
        <v>1.2405195950597107E-2</v>
      </c>
      <c r="AD662" s="118">
        <f t="shared" si="657"/>
        <v>1.7206995018264299E-2</v>
      </c>
      <c r="AE662" s="118"/>
      <c r="AF662" s="118">
        <f t="shared" si="657"/>
        <v>0</v>
      </c>
      <c r="AG662" s="118"/>
      <c r="AH662" s="118">
        <f t="shared" si="657"/>
        <v>0</v>
      </c>
      <c r="AI662" s="118"/>
      <c r="AJ662" s="118">
        <f t="shared" si="657"/>
        <v>0</v>
      </c>
      <c r="AK662" s="115">
        <f t="shared" si="627"/>
        <v>0.99999999999999989</v>
      </c>
      <c r="AL662" s="98" t="str">
        <f t="shared" si="628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8">I26/$F$26</f>
        <v>0.36015362760499087</v>
      </c>
      <c r="J663" s="118">
        <f t="shared" si="658"/>
        <v>0.29604506744583836</v>
      </c>
      <c r="K663" s="118">
        <f t="shared" si="658"/>
        <v>0</v>
      </c>
      <c r="L663" s="118">
        <f t="shared" si="658"/>
        <v>0</v>
      </c>
      <c r="M663" s="118">
        <f t="shared" si="658"/>
        <v>0</v>
      </c>
      <c r="N663" s="118"/>
      <c r="O663" s="118">
        <f t="shared" si="658"/>
        <v>0</v>
      </c>
      <c r="P663" s="118">
        <f t="shared" si="658"/>
        <v>0</v>
      </c>
      <c r="Q663" s="118">
        <f t="shared" si="658"/>
        <v>0</v>
      </c>
      <c r="R663" s="118"/>
      <c r="S663" s="118">
        <f t="shared" si="658"/>
        <v>0</v>
      </c>
      <c r="T663" s="118">
        <f t="shared" si="658"/>
        <v>0</v>
      </c>
      <c r="U663" s="118">
        <f t="shared" si="658"/>
        <v>0</v>
      </c>
      <c r="V663" s="118">
        <f t="shared" si="658"/>
        <v>0</v>
      </c>
      <c r="W663" s="118">
        <f t="shared" si="658"/>
        <v>0</v>
      </c>
      <c r="X663" s="118">
        <f t="shared" si="658"/>
        <v>0</v>
      </c>
      <c r="Y663" s="118">
        <f t="shared" si="658"/>
        <v>0</v>
      </c>
      <c r="Z663" s="118">
        <f t="shared" si="658"/>
        <v>0</v>
      </c>
      <c r="AA663" s="118">
        <f t="shared" si="658"/>
        <v>0</v>
      </c>
      <c r="AB663" s="118">
        <f t="shared" si="658"/>
        <v>0</v>
      </c>
      <c r="AC663" s="118">
        <f t="shared" si="658"/>
        <v>0</v>
      </c>
      <c r="AD663" s="118">
        <f t="shared" si="658"/>
        <v>0</v>
      </c>
      <c r="AE663" s="118"/>
      <c r="AF663" s="118">
        <f t="shared" si="658"/>
        <v>0</v>
      </c>
      <c r="AG663" s="118"/>
      <c r="AH663" s="118">
        <f t="shared" si="658"/>
        <v>0</v>
      </c>
      <c r="AI663" s="118"/>
      <c r="AJ663" s="118">
        <f t="shared" si="658"/>
        <v>0</v>
      </c>
      <c r="AK663" s="115">
        <f t="shared" si="627"/>
        <v>1</v>
      </c>
      <c r="AL663" s="98" t="str">
        <f t="shared" si="628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9">I12/$F$12</f>
        <v>0.21948748801606227</v>
      </c>
      <c r="J664" s="118">
        <f t="shared" si="659"/>
        <v>0.18041797503286441</v>
      </c>
      <c r="K664" s="118">
        <f t="shared" si="659"/>
        <v>0</v>
      </c>
      <c r="L664" s="118">
        <f t="shared" si="659"/>
        <v>0</v>
      </c>
      <c r="M664" s="118">
        <f t="shared" si="659"/>
        <v>0</v>
      </c>
      <c r="N664" s="118"/>
      <c r="O664" s="118">
        <f t="shared" si="659"/>
        <v>0.13172951287154486</v>
      </c>
      <c r="P664" s="118">
        <f t="shared" si="659"/>
        <v>0</v>
      </c>
      <c r="Q664" s="118">
        <f t="shared" si="659"/>
        <v>0</v>
      </c>
      <c r="R664" s="118"/>
      <c r="S664" s="118">
        <f t="shared" si="659"/>
        <v>0</v>
      </c>
      <c r="T664" s="118">
        <f t="shared" si="659"/>
        <v>3.1338986525490685E-2</v>
      </c>
      <c r="U664" s="118">
        <f t="shared" si="659"/>
        <v>0</v>
      </c>
      <c r="V664" s="118">
        <f t="shared" si="659"/>
        <v>3.4149841307393271E-2</v>
      </c>
      <c r="W664" s="118">
        <f t="shared" si="659"/>
        <v>6.3327805927791941E-2</v>
      </c>
      <c r="X664" s="118">
        <f t="shared" si="659"/>
        <v>1.572109431853223E-2</v>
      </c>
      <c r="Y664" s="118">
        <f t="shared" si="659"/>
        <v>2.403238298178002E-2</v>
      </c>
      <c r="Z664" s="118">
        <f t="shared" si="659"/>
        <v>2.4404601761909742E-2</v>
      </c>
      <c r="AA664" s="118">
        <f t="shared" si="659"/>
        <v>2.1717152854532511E-2</v>
      </c>
      <c r="AB664" s="118">
        <f t="shared" si="659"/>
        <v>1.4539032858414855E-2</v>
      </c>
      <c r="AC664" s="118">
        <f t="shared" si="659"/>
        <v>1.2405195950597107E-2</v>
      </c>
      <c r="AD664" s="118">
        <f t="shared" si="659"/>
        <v>1.7206995018264299E-2</v>
      </c>
      <c r="AE664" s="118"/>
      <c r="AF664" s="118">
        <f t="shared" si="659"/>
        <v>0</v>
      </c>
      <c r="AG664" s="118"/>
      <c r="AH664" s="118">
        <f t="shared" si="659"/>
        <v>0</v>
      </c>
      <c r="AI664" s="118"/>
      <c r="AJ664" s="118">
        <f t="shared" si="659"/>
        <v>0</v>
      </c>
      <c r="AK664" s="115">
        <f t="shared" si="627"/>
        <v>1</v>
      </c>
      <c r="AL664" s="98" t="str">
        <f t="shared" si="628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topLeftCell="A796" zoomScale="90" zoomScaleNormal="100" zoomScaleSheetLayoutView="90" workbookViewId="0">
      <selection activeCell="I802" sqref="I802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9" width="20.42578125" style="97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396" t="s">
        <v>2454</v>
      </c>
      <c r="J2" s="241" t="s">
        <v>2338</v>
      </c>
      <c r="K2" s="396"/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572177215.05089521</v>
      </c>
      <c r="H8" s="100">
        <f t="shared" si="1"/>
        <v>160757788.07501271</v>
      </c>
      <c r="I8" s="100">
        <f t="shared" si="1"/>
        <v>18551259.731137026</v>
      </c>
      <c r="J8" s="100">
        <f t="shared" si="1"/>
        <v>10716995.432494508</v>
      </c>
      <c r="K8" s="100">
        <f t="shared" si="1"/>
        <v>0</v>
      </c>
      <c r="L8" s="100">
        <f t="shared" si="1"/>
        <v>162469832.26385868</v>
      </c>
      <c r="M8" s="100">
        <f t="shared" si="1"/>
        <v>12379508.888906805</v>
      </c>
      <c r="N8" s="100">
        <f t="shared" si="1"/>
        <v>112455732.63421088</v>
      </c>
      <c r="O8" s="100">
        <f t="shared" si="1"/>
        <v>282706126.02621359</v>
      </c>
      <c r="P8" s="100">
        <f t="shared" si="1"/>
        <v>98052313.722616836</v>
      </c>
      <c r="Q8" s="100">
        <f t="shared" si="1"/>
        <v>30008188.720613349</v>
      </c>
      <c r="R8" s="100">
        <f t="shared" si="1"/>
        <v>188178.67118586978</v>
      </c>
      <c r="S8" s="100">
        <f t="shared" si="1"/>
        <v>715.67972358782936</v>
      </c>
      <c r="T8" s="100">
        <f t="shared" si="1"/>
        <v>74389.912149896118</v>
      </c>
      <c r="U8" s="100"/>
      <c r="V8" s="102">
        <f>SUM(G8:T8)</f>
        <v>1460538244.8090191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599391848.33509421</v>
      </c>
      <c r="H9" s="101">
        <f t="shared" si="1"/>
        <v>168403958.06388813</v>
      </c>
      <c r="I9" s="101">
        <f t="shared" si="1"/>
        <v>19433618.757785641</v>
      </c>
      <c r="J9" s="101">
        <f t="shared" si="1"/>
        <v>11226731.040505098</v>
      </c>
      <c r="K9" s="101">
        <f t="shared" si="1"/>
        <v>0</v>
      </c>
      <c r="L9" s="101">
        <f t="shared" si="1"/>
        <v>170197432.71438161</v>
      </c>
      <c r="M9" s="101">
        <f t="shared" si="1"/>
        <v>12968319.113760155</v>
      </c>
      <c r="N9" s="101">
        <f t="shared" si="1"/>
        <v>117804497.74376485</v>
      </c>
      <c r="O9" s="101">
        <f t="shared" si="1"/>
        <v>296152560.70522398</v>
      </c>
      <c r="P9" s="101">
        <f t="shared" si="1"/>
        <v>102716004.77922575</v>
      </c>
      <c r="Q9" s="101">
        <f t="shared" si="1"/>
        <v>31435477.032822512</v>
      </c>
      <c r="R9" s="101">
        <f t="shared" si="1"/>
        <v>197129.06870873476</v>
      </c>
      <c r="S9" s="101">
        <f t="shared" si="1"/>
        <v>749.719808921614</v>
      </c>
      <c r="T9" s="101">
        <f t="shared" si="1"/>
        <v>77928.14143612019</v>
      </c>
      <c r="U9" s="101"/>
      <c r="V9" s="101">
        <f t="shared" ref="V9:V14" si="4">SUM(G9:T9)</f>
        <v>1530006255.2164056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492698078.16976637</v>
      </c>
      <c r="H10" s="101">
        <f t="shared" si="1"/>
        <v>138427485.66689441</v>
      </c>
      <c r="I10" s="101">
        <f t="shared" si="1"/>
        <v>15974369.08833633</v>
      </c>
      <c r="J10" s="101">
        <f t="shared" si="1"/>
        <v>9228335.0585264582</v>
      </c>
      <c r="K10" s="101">
        <f t="shared" si="1"/>
        <v>0</v>
      </c>
      <c r="L10" s="101">
        <f t="shared" si="1"/>
        <v>139901715.78196651</v>
      </c>
      <c r="M10" s="101">
        <f t="shared" si="1"/>
        <v>10659914.582071193</v>
      </c>
      <c r="N10" s="101">
        <f t="shared" si="1"/>
        <v>96834899.906177402</v>
      </c>
      <c r="O10" s="101">
        <f t="shared" si="1"/>
        <v>243436406.26714829</v>
      </c>
      <c r="P10" s="101">
        <f t="shared" si="1"/>
        <v>84432209.568035886</v>
      </c>
      <c r="Q10" s="101">
        <f t="shared" si="1"/>
        <v>25839856.119902875</v>
      </c>
      <c r="R10" s="101">
        <f t="shared" si="1"/>
        <v>162039.42975529251</v>
      </c>
      <c r="S10" s="101">
        <f t="shared" si="1"/>
        <v>616.2671548629005</v>
      </c>
      <c r="T10" s="101">
        <f t="shared" si="1"/>
        <v>64056.669485189821</v>
      </c>
      <c r="U10" s="101"/>
      <c r="V10" s="101">
        <f t="shared" si="4"/>
        <v>1257659982.5752208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1664267141.5557559</v>
      </c>
      <c r="H14" s="100">
        <f t="shared" si="5"/>
        <v>467589231.80579531</v>
      </c>
      <c r="I14" s="100">
        <f>SUM(I8:I13)</f>
        <v>53959247.577259004</v>
      </c>
      <c r="J14" s="100">
        <f>SUM(J8:J13)</f>
        <v>31172061.531526066</v>
      </c>
      <c r="K14" s="100">
        <f>SUM(K8:K13)</f>
        <v>0</v>
      </c>
      <c r="L14" s="100">
        <f t="shared" si="5"/>
        <v>472568980.76020676</v>
      </c>
      <c r="M14" s="100">
        <f t="shared" si="5"/>
        <v>36007742.58473815</v>
      </c>
      <c r="N14" s="100">
        <f t="shared" si="5"/>
        <v>327095130.2841531</v>
      </c>
      <c r="O14" s="100">
        <f t="shared" si="5"/>
        <v>822295092.99858582</v>
      </c>
      <c r="P14" s="100">
        <f>SUM(P8:P13)</f>
        <v>285200528.06987846</v>
      </c>
      <c r="Q14" s="100">
        <f>SUM(Q8:Q13)</f>
        <v>87283521.873338744</v>
      </c>
      <c r="R14" s="100">
        <f>SUM(R8:R13)</f>
        <v>547347.16964989703</v>
      </c>
      <c r="S14" s="100">
        <f>SUM(S8:S13)</f>
        <v>2081.6666873723439</v>
      </c>
      <c r="T14" s="100">
        <f>SUM(T8:T13)</f>
        <v>216374.72307120613</v>
      </c>
      <c r="U14" s="100"/>
      <c r="V14" s="102">
        <f t="shared" si="4"/>
        <v>4248204482.600646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0.39175777634341491</v>
      </c>
      <c r="H15" s="244">
        <f t="shared" si="6"/>
        <v>0.1100674964495939</v>
      </c>
      <c r="I15" s="244">
        <f>I14/$F$14</f>
        <v>1.270165967722592E-2</v>
      </c>
      <c r="J15" s="244">
        <f t="shared" si="6"/>
        <v>7.3377027069194446E-3</v>
      </c>
      <c r="K15" s="244">
        <f>K14/$F$14</f>
        <v>0</v>
      </c>
      <c r="L15" s="244">
        <f t="shared" si="6"/>
        <v>0.11123969731111245</v>
      </c>
      <c r="M15" s="244">
        <f t="shared" si="6"/>
        <v>8.4759909115050686E-3</v>
      </c>
      <c r="N15" s="244">
        <f t="shared" si="6"/>
        <v>7.6996088965075829E-2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401831864.95773011</v>
      </c>
      <c r="H17" s="100">
        <f t="shared" si="7"/>
        <v>97897486.431947589</v>
      </c>
      <c r="I17" s="100">
        <f t="shared" si="7"/>
        <v>13464771.913823584</v>
      </c>
      <c r="J17" s="100">
        <f t="shared" si="7"/>
        <v>10252540.968148006</v>
      </c>
      <c r="K17" s="100">
        <f t="shared" si="7"/>
        <v>0</v>
      </c>
      <c r="L17" s="100">
        <f t="shared" si="7"/>
        <v>86454929.89092724</v>
      </c>
      <c r="M17" s="100">
        <f t="shared" si="7"/>
        <v>7071984.5657467861</v>
      </c>
      <c r="N17" s="100">
        <f t="shared" si="7"/>
        <v>55960340.762568243</v>
      </c>
      <c r="O17" s="100">
        <f t="shared" si="7"/>
        <v>147297286.69964078</v>
      </c>
      <c r="P17" s="100">
        <f t="shared" si="7"/>
        <v>57603201.886374466</v>
      </c>
      <c r="Q17" s="100">
        <f t="shared" si="7"/>
        <v>33035484.478515755</v>
      </c>
      <c r="R17" s="100">
        <f t="shared" si="7"/>
        <v>7255861.9856935153</v>
      </c>
      <c r="S17" s="100">
        <f t="shared" si="7"/>
        <v>30392.271395653726</v>
      </c>
      <c r="T17" s="100">
        <f t="shared" si="7"/>
        <v>47069.605338670255</v>
      </c>
      <c r="U17" s="100"/>
      <c r="V17" s="102">
        <f>SUM(G17:T17)</f>
        <v>918203216.41785049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401831864.95773011</v>
      </c>
      <c r="H20" s="100">
        <f t="shared" si="8"/>
        <v>97897486.431947589</v>
      </c>
      <c r="I20" s="100">
        <f>SUM(I17:I19)</f>
        <v>13464771.913823584</v>
      </c>
      <c r="J20" s="100">
        <f>SUM(J17:J19)</f>
        <v>10252540.968148006</v>
      </c>
      <c r="K20" s="100">
        <f>SUM(K17:K19)</f>
        <v>0</v>
      </c>
      <c r="L20" s="100">
        <f t="shared" si="8"/>
        <v>86454929.89092724</v>
      </c>
      <c r="M20" s="100">
        <f t="shared" si="8"/>
        <v>7071984.5657467861</v>
      </c>
      <c r="N20" s="100">
        <f t="shared" si="8"/>
        <v>55960340.762568243</v>
      </c>
      <c r="O20" s="100">
        <f t="shared" si="8"/>
        <v>147297286.69964078</v>
      </c>
      <c r="P20" s="100">
        <f>SUM(P17:P19)</f>
        <v>57603201.886374466</v>
      </c>
      <c r="Q20" s="100">
        <f t="shared" si="8"/>
        <v>33035484.478515755</v>
      </c>
      <c r="R20" s="100">
        <f t="shared" si="8"/>
        <v>7255861.9856935153</v>
      </c>
      <c r="S20" s="100">
        <f t="shared" si="8"/>
        <v>30392.271395653726</v>
      </c>
      <c r="T20" s="100">
        <f t="shared" si="8"/>
        <v>47069.605338670255</v>
      </c>
      <c r="U20" s="100"/>
      <c r="V20" s="102">
        <f>SUM(G20:T20)</f>
        <v>918203216.41785049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106074400.98286465</v>
      </c>
      <c r="H26" s="100">
        <f t="shared" si="10"/>
        <v>25842692.27152836</v>
      </c>
      <c r="I26" s="100">
        <f t="shared" si="10"/>
        <v>3554391.1264478252</v>
      </c>
      <c r="J26" s="100">
        <f t="shared" si="10"/>
        <v>2706435.7921514753</v>
      </c>
      <c r="K26" s="100">
        <f t="shared" si="10"/>
        <v>0</v>
      </c>
      <c r="L26" s="100">
        <f t="shared" si="10"/>
        <v>22822119.647381265</v>
      </c>
      <c r="M26" s="100">
        <f t="shared" si="10"/>
        <v>1866841.8111902743</v>
      </c>
      <c r="N26" s="100">
        <f t="shared" si="10"/>
        <v>14772247.158176046</v>
      </c>
      <c r="O26" s="100">
        <f t="shared" si="10"/>
        <v>38883107.129170202</v>
      </c>
      <c r="P26" s="100">
        <f t="shared" si="10"/>
        <v>0</v>
      </c>
      <c r="Q26" s="100">
        <f t="shared" si="10"/>
        <v>0</v>
      </c>
      <c r="R26" s="100">
        <f t="shared" si="10"/>
        <v>1915381.2349544291</v>
      </c>
      <c r="S26" s="100">
        <f t="shared" si="10"/>
        <v>8022.8629532447512</v>
      </c>
      <c r="T26" s="100">
        <f t="shared" si="10"/>
        <v>12425.296812447943</v>
      </c>
      <c r="U26" s="100"/>
      <c r="V26" s="102">
        <f>SUM(G26:T26)</f>
        <v>218458065.31363022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115588420.74855235</v>
      </c>
      <c r="H30" s="101">
        <f t="shared" si="11"/>
        <v>28160573.709384635</v>
      </c>
      <c r="I30" s="101">
        <f t="shared" si="11"/>
        <v>3873191.3941719141</v>
      </c>
      <c r="J30" s="101">
        <f t="shared" si="11"/>
        <v>2949181.2932573766</v>
      </c>
      <c r="K30" s="101">
        <f t="shared" si="11"/>
        <v>0</v>
      </c>
      <c r="L30" s="101">
        <f t="shared" si="11"/>
        <v>24869080.039409783</v>
      </c>
      <c r="M30" s="101">
        <f t="shared" si="11"/>
        <v>2034282.4917550944</v>
      </c>
      <c r="N30" s="101">
        <f t="shared" si="11"/>
        <v>16097198.797254492</v>
      </c>
      <c r="O30" s="101">
        <f t="shared" si="11"/>
        <v>42370608.7916876</v>
      </c>
      <c r="P30" s="101">
        <f t="shared" si="11"/>
        <v>0</v>
      </c>
      <c r="Q30" s="101">
        <f t="shared" si="11"/>
        <v>0</v>
      </c>
      <c r="R30" s="101">
        <f t="shared" si="11"/>
        <v>2087175.5110411495</v>
      </c>
      <c r="S30" s="101">
        <f t="shared" si="11"/>
        <v>8742.4491682723001</v>
      </c>
      <c r="T30" s="101">
        <f t="shared" si="11"/>
        <v>13539.745900755899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352739644.96583778</v>
      </c>
      <c r="H31" s="101">
        <f t="shared" si="11"/>
        <v>68253033.468534604</v>
      </c>
      <c r="I31" s="101">
        <f t="shared" si="11"/>
        <v>188388.16855792049</v>
      </c>
      <c r="J31" s="101">
        <f t="shared" si="11"/>
        <v>485713.84328194289</v>
      </c>
      <c r="K31" s="101">
        <f t="shared" si="11"/>
        <v>0</v>
      </c>
      <c r="L31" s="101">
        <f t="shared" si="11"/>
        <v>3580194.2815942196</v>
      </c>
      <c r="M31" s="101">
        <f t="shared" si="11"/>
        <v>141700.66591530544</v>
      </c>
      <c r="N31" s="101">
        <f t="shared" si="11"/>
        <v>425921.07673964632</v>
      </c>
      <c r="O31" s="101">
        <f t="shared" si="11"/>
        <v>226884.88126323468</v>
      </c>
      <c r="P31" s="101">
        <f t="shared" si="11"/>
        <v>0</v>
      </c>
      <c r="Q31" s="101">
        <f t="shared" si="11"/>
        <v>0</v>
      </c>
      <c r="R31" s="101">
        <f t="shared" si="11"/>
        <v>15333522.797735594</v>
      </c>
      <c r="S31" s="101">
        <f t="shared" si="11"/>
        <v>364.03510832448404</v>
      </c>
      <c r="T31" s="101">
        <f t="shared" si="11"/>
        <v>70622.811014949912</v>
      </c>
      <c r="U31" s="101"/>
      <c r="V31" s="101">
        <f t="shared" si="12"/>
        <v>441445990.99558353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90405010.144708931</v>
      </c>
      <c r="H32" s="101">
        <f t="shared" si="11"/>
        <v>15687823.581450291</v>
      </c>
      <c r="I32" s="101">
        <f t="shared" si="11"/>
        <v>1572895.7257876969</v>
      </c>
      <c r="J32" s="101">
        <f t="shared" si="11"/>
        <v>1197659.2321951154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717688.36128486157</v>
      </c>
      <c r="S32" s="101">
        <f t="shared" si="11"/>
        <v>3006.1458578841325</v>
      </c>
      <c r="T32" s="101">
        <f t="shared" si="11"/>
        <v>4650.5300869226794</v>
      </c>
      <c r="U32" s="101"/>
      <c r="V32" s="101">
        <f t="shared" si="12"/>
        <v>109588733.7213717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135201641.78443301</v>
      </c>
      <c r="H33" s="101">
        <f t="shared" si="11"/>
        <v>26160717.439649969</v>
      </c>
      <c r="I33" s="101">
        <f t="shared" si="11"/>
        <v>72207.334914849489</v>
      </c>
      <c r="J33" s="101">
        <f t="shared" si="11"/>
        <v>186169.34610654673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5877188.703281885</v>
      </c>
      <c r="S33" s="101">
        <f t="shared" si="11"/>
        <v>139.5310819610618</v>
      </c>
      <c r="T33" s="101">
        <f t="shared" si="11"/>
        <v>27069.029900445992</v>
      </c>
      <c r="U33" s="101"/>
      <c r="V33" s="101">
        <f t="shared" si="12"/>
        <v>167525133.16936868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693934717.64353216</v>
      </c>
      <c r="H34" s="100">
        <f t="shared" si="15"/>
        <v>138262148.19901949</v>
      </c>
      <c r="I34" s="100">
        <f>SUM(I29:I33)</f>
        <v>5706682.6234323801</v>
      </c>
      <c r="J34" s="100">
        <f>SUM(J29:J33)</f>
        <v>4818723.7148409821</v>
      </c>
      <c r="K34" s="100">
        <f>SUM(K29:K33)</f>
        <v>0</v>
      </c>
      <c r="L34" s="100">
        <f t="shared" si="15"/>
        <v>28449274.321004003</v>
      </c>
      <c r="M34" s="100">
        <f t="shared" si="15"/>
        <v>2175983.1576703996</v>
      </c>
      <c r="N34" s="100">
        <f t="shared" si="15"/>
        <v>16523119.873994138</v>
      </c>
      <c r="O34" s="100">
        <f t="shared" si="15"/>
        <v>42597493.672950834</v>
      </c>
      <c r="P34" s="100">
        <f>SUM(P29:P33)</f>
        <v>0</v>
      </c>
      <c r="Q34" s="100">
        <f t="shared" si="15"/>
        <v>0</v>
      </c>
      <c r="R34" s="100">
        <f t="shared" si="15"/>
        <v>24015575.37334349</v>
      </c>
      <c r="S34" s="100">
        <f t="shared" si="15"/>
        <v>12252.161216441978</v>
      </c>
      <c r="T34" s="100">
        <f t="shared" si="15"/>
        <v>115882.11690307448</v>
      </c>
      <c r="U34" s="100"/>
      <c r="V34" s="102">
        <f t="shared" si="12"/>
        <v>956611852.85790753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118871252.2779942</v>
      </c>
      <c r="H37" s="100">
        <f t="shared" si="16"/>
        <v>20627520.882507034</v>
      </c>
      <c r="I37" s="100">
        <f t="shared" si="16"/>
        <v>2068160.6509175405</v>
      </c>
      <c r="J37" s="100">
        <f t="shared" si="16"/>
        <v>1574771.7134863527</v>
      </c>
      <c r="K37" s="100">
        <f t="shared" si="16"/>
        <v>0</v>
      </c>
      <c r="L37" s="100">
        <f t="shared" si="16"/>
        <v>16400490.864662914</v>
      </c>
      <c r="M37" s="100">
        <f t="shared" si="16"/>
        <v>0</v>
      </c>
      <c r="N37" s="100">
        <f t="shared" si="16"/>
        <v>9623864.745623067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943670.20273229899</v>
      </c>
      <c r="S37" s="100">
        <f t="shared" si="16"/>
        <v>3952.7048565671339</v>
      </c>
      <c r="T37" s="100">
        <f t="shared" si="16"/>
        <v>6114.8639251753057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121066917.74761425</v>
      </c>
      <c r="H38" s="101">
        <f t="shared" si="16"/>
        <v>23425732.000610579</v>
      </c>
      <c r="I38" s="101">
        <f t="shared" si="16"/>
        <v>64658.382557578188</v>
      </c>
      <c r="J38" s="101">
        <f t="shared" si="16"/>
        <v>166706.177637582</v>
      </c>
      <c r="K38" s="101">
        <f t="shared" si="16"/>
        <v>0</v>
      </c>
      <c r="L38" s="101">
        <f t="shared" si="16"/>
        <v>1228790.39199641</v>
      </c>
      <c r="M38" s="101">
        <f t="shared" si="16"/>
        <v>0</v>
      </c>
      <c r="N38" s="101">
        <f t="shared" si="16"/>
        <v>146184.16926061155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5262755.037116427</v>
      </c>
      <c r="S38" s="101">
        <f t="shared" si="16"/>
        <v>124.94373441077911</v>
      </c>
      <c r="T38" s="101">
        <f t="shared" si="16"/>
        <v>24239.084475691147</v>
      </c>
      <c r="U38" s="101"/>
      <c r="V38" s="101">
        <f>SUM(G38:T38)</f>
        <v>151386107.93500355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239938170.02560845</v>
      </c>
      <c r="H39" s="100">
        <f t="shared" si="17"/>
        <v>44053252.883117616</v>
      </c>
      <c r="I39" s="100">
        <f>I37+I38</f>
        <v>2132819.0334751187</v>
      </c>
      <c r="J39" s="100">
        <f>J37+J38</f>
        <v>1741477.8911239346</v>
      </c>
      <c r="K39" s="100">
        <f>K37+K38</f>
        <v>0</v>
      </c>
      <c r="L39" s="100">
        <f t="shared" si="17"/>
        <v>17629281.256659325</v>
      </c>
      <c r="M39" s="100">
        <f t="shared" si="17"/>
        <v>0</v>
      </c>
      <c r="N39" s="100">
        <f t="shared" si="17"/>
        <v>9770048.9148836788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6206425.2398487255</v>
      </c>
      <c r="S39" s="100">
        <f>S37+S38</f>
        <v>4077.648590977913</v>
      </c>
      <c r="T39" s="100">
        <f>T37+T38</f>
        <v>30353.948400866451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71074108.628733546</v>
      </c>
      <c r="H42" s="100">
        <f t="shared" si="18"/>
        <v>27841408.670920447</v>
      </c>
      <c r="I42" s="100">
        <f t="shared" si="18"/>
        <v>102238.16263456499</v>
      </c>
      <c r="J42" s="100">
        <f t="shared" si="18"/>
        <v>263670.73972204118</v>
      </c>
      <c r="K42" s="100">
        <f t="shared" si="18"/>
        <v>0</v>
      </c>
      <c r="L42" s="100">
        <f t="shared" si="18"/>
        <v>1836125.4814701146</v>
      </c>
      <c r="M42" s="100">
        <f t="shared" si="18"/>
        <v>0</v>
      </c>
      <c r="N42" s="100">
        <f t="shared" si="18"/>
        <v>231258.27874188017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101348809.96222259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53750022.134479418</v>
      </c>
      <c r="H45" s="100">
        <f t="shared" si="19"/>
        <v>20033634.755651612</v>
      </c>
      <c r="I45" s="100">
        <f t="shared" si="19"/>
        <v>301656.79524666525</v>
      </c>
      <c r="J45" s="100">
        <f t="shared" si="19"/>
        <v>424945.52116427396</v>
      </c>
      <c r="K45" s="100">
        <f t="shared" si="19"/>
        <v>0</v>
      </c>
      <c r="L45" s="100">
        <f t="shared" si="19"/>
        <v>5270925.66856925</v>
      </c>
      <c r="M45" s="100">
        <f t="shared" si="19"/>
        <v>1197224.7028868403</v>
      </c>
      <c r="N45" s="100">
        <f t="shared" si="19"/>
        <v>847402.89209313982</v>
      </c>
      <c r="O45" s="100">
        <f t="shared" si="19"/>
        <v>2660084.2834792282</v>
      </c>
      <c r="P45" s="100">
        <f t="shared" si="19"/>
        <v>1814208.1298460837</v>
      </c>
      <c r="Q45" s="100">
        <f t="shared" si="19"/>
        <v>76785.255100094801</v>
      </c>
      <c r="R45" s="100">
        <f t="shared" si="19"/>
        <v>0</v>
      </c>
      <c r="S45" s="100">
        <f t="shared" si="19"/>
        <v>499.24070212080693</v>
      </c>
      <c r="T45" s="100">
        <f t="shared" si="19"/>
        <v>96852.69621143656</v>
      </c>
      <c r="U45" s="100"/>
      <c r="V45" s="102">
        <f>SUM(G45:T45)</f>
        <v>86474242.075430155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3230870425.9287047</v>
      </c>
      <c r="H59" s="100">
        <f t="shared" ref="H59:T59" si="24">H14+H20+H23+H26+H34+H39+H42+H45+H48+H51+H54+H57</f>
        <v>821519855.01798058</v>
      </c>
      <c r="I59" s="100">
        <f>I14+I20+I23+I26+I34+I39+I42+I45+I48+I51+I54+I57</f>
        <v>79221807.232319146</v>
      </c>
      <c r="J59" s="100">
        <f>J14+J20+J23+J26+J34+J39+J42+J45+J48+J51+J54+J57</f>
        <v>51379856.158676781</v>
      </c>
      <c r="K59" s="100">
        <f>K14+K20+K23+K26+K34+K39+K42+K45+K48+K51+K54+K57</f>
        <v>0</v>
      </c>
      <c r="L59" s="100">
        <f t="shared" si="24"/>
        <v>635031637.02621794</v>
      </c>
      <c r="M59" s="100">
        <f t="shared" si="24"/>
        <v>48319776.822232455</v>
      </c>
      <c r="N59" s="100">
        <f t="shared" si="24"/>
        <v>425199548.16461021</v>
      </c>
      <c r="O59" s="100">
        <f>O14+O20+O23+O26+O34+O39+O42+O45+O48+O51+O54+O57</f>
        <v>1053733064.7838268</v>
      </c>
      <c r="P59" s="100">
        <f>P14+P20+P23+P26+P34+P39+P42+P45+P48+P51+P54+P57</f>
        <v>344617938.08609903</v>
      </c>
      <c r="Q59" s="100">
        <f t="shared" si="24"/>
        <v>120395791.6069546</v>
      </c>
      <c r="R59" s="100">
        <f t="shared" si="24"/>
        <v>159887253.55729571</v>
      </c>
      <c r="S59" s="100">
        <f t="shared" si="24"/>
        <v>57325.851545811522</v>
      </c>
      <c r="T59" s="100">
        <f t="shared" si="24"/>
        <v>518958.38673770183</v>
      </c>
      <c r="U59" s="100"/>
      <c r="V59" s="102">
        <f>SUM(G59:T59)</f>
        <v>6970753238.6232014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347811084.63101292</v>
      </c>
      <c r="H66" s="100">
        <f t="shared" si="25"/>
        <v>97720320.142910957</v>
      </c>
      <c r="I66" s="100">
        <f t="shared" si="25"/>
        <v>11276810.04876167</v>
      </c>
      <c r="J66" s="100">
        <f t="shared" si="25"/>
        <v>6514572.2466945248</v>
      </c>
      <c r="K66" s="100">
        <f t="shared" si="25"/>
        <v>0</v>
      </c>
      <c r="L66" s="100">
        <f t="shared" si="25"/>
        <v>98761025.593242064</v>
      </c>
      <c r="M66" s="100">
        <f t="shared" si="25"/>
        <v>7525169.3017292665</v>
      </c>
      <c r="N66" s="100">
        <f t="shared" si="25"/>
        <v>68358804.425654992</v>
      </c>
      <c r="O66" s="100">
        <f t="shared" si="25"/>
        <v>171849423.11319205</v>
      </c>
      <c r="P66" s="100">
        <f t="shared" si="25"/>
        <v>59603354.851189218</v>
      </c>
      <c r="Q66" s="100">
        <f t="shared" si="25"/>
        <v>18241167.93221182</v>
      </c>
      <c r="R66" s="100">
        <f t="shared" si="25"/>
        <v>114388.73483236879</v>
      </c>
      <c r="S66" s="100">
        <f t="shared" si="25"/>
        <v>435.0423861029924</v>
      </c>
      <c r="T66" s="100">
        <f t="shared" si="25"/>
        <v>45219.619638575918</v>
      </c>
      <c r="U66" s="100"/>
      <c r="V66" s="102">
        <f t="shared" ref="V66:V72" si="26">SUM(G66:T66)</f>
        <v>887821775.68345666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364354125.61800951</v>
      </c>
      <c r="H67" s="101">
        <f t="shared" si="25"/>
        <v>102368220.49117509</v>
      </c>
      <c r="I67" s="101">
        <f t="shared" si="25"/>
        <v>11813172.284131914</v>
      </c>
      <c r="J67" s="101">
        <f t="shared" si="25"/>
        <v>6824426.7638504403</v>
      </c>
      <c r="K67" s="101">
        <f t="shared" si="25"/>
        <v>0</v>
      </c>
      <c r="L67" s="101">
        <f t="shared" si="25"/>
        <v>103458425.32114349</v>
      </c>
      <c r="M67" s="101">
        <f t="shared" si="25"/>
        <v>7883091.1440554373</v>
      </c>
      <c r="N67" s="101">
        <f t="shared" si="25"/>
        <v>71610174.360099167</v>
      </c>
      <c r="O67" s="101">
        <f t="shared" si="25"/>
        <v>180023147.80390814</v>
      </c>
      <c r="P67" s="101">
        <f t="shared" si="25"/>
        <v>62438286.760595672</v>
      </c>
      <c r="Q67" s="101">
        <f t="shared" si="25"/>
        <v>19108777.971361108</v>
      </c>
      <c r="R67" s="101">
        <f t="shared" si="25"/>
        <v>119829.43989440014</v>
      </c>
      <c r="S67" s="101">
        <f t="shared" si="25"/>
        <v>455.73443515605152</v>
      </c>
      <c r="T67" s="101">
        <f t="shared" si="25"/>
        <v>47370.413716605297</v>
      </c>
      <c r="U67" s="101"/>
      <c r="V67" s="101">
        <f t="shared" si="26"/>
        <v>930049504.10637629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299497862.64837378</v>
      </c>
      <c r="H68" s="101">
        <f t="shared" si="25"/>
        <v>84146332.055994049</v>
      </c>
      <c r="I68" s="101">
        <f t="shared" si="25"/>
        <v>9710387.7832957264</v>
      </c>
      <c r="J68" s="101">
        <f t="shared" si="25"/>
        <v>5609655.7877771929</v>
      </c>
      <c r="K68" s="101">
        <f t="shared" si="25"/>
        <v>0</v>
      </c>
      <c r="L68" s="101">
        <f t="shared" si="25"/>
        <v>85042476.750034899</v>
      </c>
      <c r="M68" s="101">
        <f t="shared" si="25"/>
        <v>6479874.3384675644</v>
      </c>
      <c r="N68" s="101">
        <f t="shared" si="25"/>
        <v>58863321.8530159</v>
      </c>
      <c r="O68" s="101">
        <f t="shared" si="25"/>
        <v>147978420.45304331</v>
      </c>
      <c r="P68" s="101">
        <f t="shared" si="25"/>
        <v>51324061.174018271</v>
      </c>
      <c r="Q68" s="101">
        <f t="shared" si="25"/>
        <v>15707351.0572652</v>
      </c>
      <c r="R68" s="101">
        <f t="shared" si="25"/>
        <v>98499.395525852902</v>
      </c>
      <c r="S68" s="101">
        <f t="shared" si="25"/>
        <v>374.61216895235492</v>
      </c>
      <c r="T68" s="101">
        <f t="shared" si="25"/>
        <v>38938.320341037012</v>
      </c>
      <c r="U68" s="101"/>
      <c r="V68" s="101">
        <f t="shared" si="26"/>
        <v>764497556.22932148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1011663072.8973963</v>
      </c>
      <c r="H72" s="100">
        <f t="shared" si="29"/>
        <v>284234872.69008011</v>
      </c>
      <c r="I72" s="100">
        <f>SUM(I66:I71)</f>
        <v>32800370.116189308</v>
      </c>
      <c r="J72" s="100">
        <f>SUM(J66:J71)</f>
        <v>18948654.798322156</v>
      </c>
      <c r="K72" s="100">
        <f>SUM(K66:K71)</f>
        <v>0</v>
      </c>
      <c r="L72" s="100">
        <f t="shared" si="29"/>
        <v>287261927.66442049</v>
      </c>
      <c r="M72" s="100">
        <f t="shared" si="29"/>
        <v>21888134.784252267</v>
      </c>
      <c r="N72" s="100">
        <f t="shared" si="29"/>
        <v>198832300.63877004</v>
      </c>
      <c r="O72" s="100">
        <f t="shared" si="29"/>
        <v>499850991.37014353</v>
      </c>
      <c r="P72" s="100">
        <f>SUM(P66:P71)</f>
        <v>173365702.78580317</v>
      </c>
      <c r="Q72" s="100">
        <f t="shared" si="29"/>
        <v>53057296.960838132</v>
      </c>
      <c r="R72" s="100">
        <f t="shared" si="29"/>
        <v>332717.57025262184</v>
      </c>
      <c r="S72" s="100">
        <f t="shared" si="29"/>
        <v>1265.3889902113988</v>
      </c>
      <c r="T72" s="100">
        <f t="shared" si="29"/>
        <v>131528.35369621823</v>
      </c>
      <c r="U72" s="100"/>
      <c r="V72" s="102">
        <f t="shared" si="26"/>
        <v>2582368836.019155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275459929.60840672</v>
      </c>
      <c r="H75" s="100">
        <f t="shared" si="30"/>
        <v>67109746.819657907</v>
      </c>
      <c r="I75" s="100">
        <f t="shared" si="30"/>
        <v>9230241.4194186851</v>
      </c>
      <c r="J75" s="100">
        <f t="shared" si="30"/>
        <v>7028223.6419713451</v>
      </c>
      <c r="K75" s="100">
        <f t="shared" si="30"/>
        <v>0</v>
      </c>
      <c r="L75" s="100">
        <f t="shared" si="30"/>
        <v>59265755.105209768</v>
      </c>
      <c r="M75" s="100">
        <f t="shared" si="30"/>
        <v>4847919.0939157335</v>
      </c>
      <c r="N75" s="100">
        <f t="shared" si="30"/>
        <v>38361396.573019497</v>
      </c>
      <c r="O75" s="100">
        <f t="shared" si="30"/>
        <v>100973824.53743558</v>
      </c>
      <c r="P75" s="100">
        <f t="shared" si="30"/>
        <v>39487594.988288663</v>
      </c>
      <c r="Q75" s="100">
        <f t="shared" si="30"/>
        <v>22646168.765109789</v>
      </c>
      <c r="R75" s="100">
        <f t="shared" si="30"/>
        <v>4973968.9808763647</v>
      </c>
      <c r="S75" s="100">
        <f t="shared" si="30"/>
        <v>20834.218660501272</v>
      </c>
      <c r="T75" s="100">
        <f t="shared" si="30"/>
        <v>32266.704818567596</v>
      </c>
      <c r="U75" s="100"/>
      <c r="V75" s="102">
        <f>SUM(G75:T75)</f>
        <v>629437870.45678914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275459929.60840672</v>
      </c>
      <c r="H78" s="100">
        <f t="shared" si="31"/>
        <v>67109746.819657907</v>
      </c>
      <c r="I78" s="100">
        <f>SUM(I75:I77)</f>
        <v>9230241.4194186851</v>
      </c>
      <c r="J78" s="100">
        <f>SUM(J75:J77)</f>
        <v>7028223.6419713451</v>
      </c>
      <c r="K78" s="100">
        <f>SUM(K75:K77)</f>
        <v>0</v>
      </c>
      <c r="L78" s="100">
        <f t="shared" si="31"/>
        <v>59265755.105209768</v>
      </c>
      <c r="M78" s="100">
        <f t="shared" si="31"/>
        <v>4847919.0939157335</v>
      </c>
      <c r="N78" s="100">
        <f t="shared" si="31"/>
        <v>38361396.573019497</v>
      </c>
      <c r="O78" s="100">
        <f t="shared" si="31"/>
        <v>100973824.53743558</v>
      </c>
      <c r="P78" s="100">
        <f>SUM(P75:P77)</f>
        <v>39487594.988288663</v>
      </c>
      <c r="Q78" s="100">
        <f t="shared" si="31"/>
        <v>22646168.765109789</v>
      </c>
      <c r="R78" s="100">
        <f t="shared" si="31"/>
        <v>4973968.9808763647</v>
      </c>
      <c r="S78" s="100">
        <f t="shared" si="31"/>
        <v>20834.218660501272</v>
      </c>
      <c r="T78" s="100">
        <f t="shared" si="31"/>
        <v>32266.704818567596</v>
      </c>
      <c r="U78" s="100"/>
      <c r="V78" s="102">
        <f>SUM(G78:T78)</f>
        <v>629437870.45678914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69258945.544948712</v>
      </c>
      <c r="H84" s="100">
        <f t="shared" si="33"/>
        <v>16873417.150456324</v>
      </c>
      <c r="I84" s="100">
        <f t="shared" si="33"/>
        <v>2320761.457911659</v>
      </c>
      <c r="J84" s="100">
        <f t="shared" si="33"/>
        <v>1767107.6849144704</v>
      </c>
      <c r="K84" s="100">
        <f t="shared" si="33"/>
        <v>0</v>
      </c>
      <c r="L84" s="100">
        <f t="shared" si="33"/>
        <v>14901200.734884381</v>
      </c>
      <c r="M84" s="100">
        <f t="shared" si="33"/>
        <v>1218913.2735535989</v>
      </c>
      <c r="N84" s="100">
        <f t="shared" si="33"/>
        <v>9645213.661587514</v>
      </c>
      <c r="O84" s="100">
        <f t="shared" si="33"/>
        <v>25387869.027067482</v>
      </c>
      <c r="P84" s="100">
        <f t="shared" si="33"/>
        <v>0</v>
      </c>
      <c r="Q84" s="100">
        <f t="shared" si="33"/>
        <v>0</v>
      </c>
      <c r="R84" s="100">
        <f t="shared" si="33"/>
        <v>1250606.0220029429</v>
      </c>
      <c r="S84" s="100">
        <f t="shared" si="33"/>
        <v>5238.3517912406187</v>
      </c>
      <c r="T84" s="100">
        <f t="shared" si="33"/>
        <v>8112.8240870497402</v>
      </c>
      <c r="U84" s="100"/>
      <c r="V84" s="102">
        <f>SUM(G84:T84)</f>
        <v>142637385.73320535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75470915.358210012</v>
      </c>
      <c r="H88" s="101">
        <f t="shared" si="34"/>
        <v>18386826.821372759</v>
      </c>
      <c r="I88" s="101">
        <f t="shared" si="34"/>
        <v>2528915.0762911253</v>
      </c>
      <c r="J88" s="101">
        <f t="shared" si="34"/>
        <v>1925603.0173094256</v>
      </c>
      <c r="K88" s="101">
        <f t="shared" si="34"/>
        <v>0</v>
      </c>
      <c r="L88" s="101">
        <f t="shared" si="34"/>
        <v>16237718.471591391</v>
      </c>
      <c r="M88" s="101">
        <f t="shared" si="34"/>
        <v>1328239.9807496299</v>
      </c>
      <c r="N88" s="101">
        <f t="shared" si="34"/>
        <v>10510311.673646506</v>
      </c>
      <c r="O88" s="101">
        <f t="shared" si="34"/>
        <v>27664956.481666725</v>
      </c>
      <c r="P88" s="101">
        <f t="shared" si="34"/>
        <v>0</v>
      </c>
      <c r="Q88" s="101">
        <f t="shared" si="34"/>
        <v>0</v>
      </c>
      <c r="R88" s="101">
        <f t="shared" si="34"/>
        <v>1362775.3135773174</v>
      </c>
      <c r="S88" s="101">
        <f t="shared" si="34"/>
        <v>5708.1897730694263</v>
      </c>
      <c r="T88" s="101">
        <f t="shared" si="34"/>
        <v>8840.4790915046506</v>
      </c>
      <c r="U88" s="101"/>
      <c r="V88" s="101">
        <f t="shared" si="35"/>
        <v>155430810.86327949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230313587.78240952</v>
      </c>
      <c r="H89" s="101">
        <f t="shared" si="34"/>
        <v>44564316.031710848</v>
      </c>
      <c r="I89" s="101">
        <f t="shared" si="34"/>
        <v>123003.90845076137</v>
      </c>
      <c r="J89" s="101">
        <f t="shared" si="34"/>
        <v>317136.16396218044</v>
      </c>
      <c r="K89" s="101">
        <f t="shared" si="34"/>
        <v>0</v>
      </c>
      <c r="L89" s="101">
        <f t="shared" si="34"/>
        <v>2337609.060166426</v>
      </c>
      <c r="M89" s="101">
        <f t="shared" si="34"/>
        <v>92520.331139050948</v>
      </c>
      <c r="N89" s="101">
        <f t="shared" si="34"/>
        <v>278095.79301911267</v>
      </c>
      <c r="O89" s="101">
        <f t="shared" si="34"/>
        <v>148139.48974287347</v>
      </c>
      <c r="P89" s="101">
        <f t="shared" si="34"/>
        <v>0</v>
      </c>
      <c r="Q89" s="101">
        <f t="shared" si="34"/>
        <v>0</v>
      </c>
      <c r="R89" s="101">
        <f t="shared" si="34"/>
        <v>10011686.23740004</v>
      </c>
      <c r="S89" s="101">
        <f t="shared" si="34"/>
        <v>237.68871198214757</v>
      </c>
      <c r="T89" s="101">
        <f t="shared" si="34"/>
        <v>46111.610124536637</v>
      </c>
      <c r="U89" s="101"/>
      <c r="V89" s="101">
        <f t="shared" si="35"/>
        <v>288232444.09683734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59027961.66262956</v>
      </c>
      <c r="H90" s="101">
        <f t="shared" si="34"/>
        <v>10243019.136369627</v>
      </c>
      <c r="I90" s="101">
        <f t="shared" si="34"/>
        <v>1026987.6465087034</v>
      </c>
      <c r="J90" s="101">
        <f t="shared" si="34"/>
        <v>781985.23654548987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468598.81999711972</v>
      </c>
      <c r="S90" s="101">
        <f t="shared" si="34"/>
        <v>1962.7967760572451</v>
      </c>
      <c r="T90" s="101">
        <f t="shared" si="34"/>
        <v>3036.4612673830156</v>
      </c>
      <c r="U90" s="101"/>
      <c r="V90" s="101">
        <f t="shared" si="35"/>
        <v>71553551.760093942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88276936.36892055</v>
      </c>
      <c r="H91" s="101">
        <f t="shared" si="34"/>
        <v>17081064.684609409</v>
      </c>
      <c r="I91" s="101">
        <f t="shared" si="34"/>
        <v>47146.190131408803</v>
      </c>
      <c r="J91" s="101">
        <f t="shared" si="34"/>
        <v>121555.17716489315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3837381.0135750151</v>
      </c>
      <c r="S91" s="101">
        <f t="shared" si="34"/>
        <v>91.103749046200576</v>
      </c>
      <c r="T91" s="101">
        <f t="shared" si="34"/>
        <v>17674.127314962912</v>
      </c>
      <c r="U91" s="101"/>
      <c r="V91" s="101">
        <f t="shared" si="35"/>
        <v>109381848.66546531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453089401.17216963</v>
      </c>
      <c r="H92" s="100">
        <f t="shared" si="38"/>
        <v>90275226.674062654</v>
      </c>
      <c r="I92" s="100">
        <f>SUM(I87:I91)</f>
        <v>3726052.8213819987</v>
      </c>
      <c r="J92" s="100">
        <f>SUM(J87:J91)</f>
        <v>3146279.5949819894</v>
      </c>
      <c r="K92" s="100">
        <f>SUM(K87:K91)</f>
        <v>0</v>
      </c>
      <c r="L92" s="100">
        <f t="shared" si="38"/>
        <v>18575327.531757817</v>
      </c>
      <c r="M92" s="100">
        <f t="shared" si="38"/>
        <v>1420760.3118886808</v>
      </c>
      <c r="N92" s="100">
        <f t="shared" si="38"/>
        <v>10788407.466665618</v>
      </c>
      <c r="O92" s="100">
        <f t="shared" si="38"/>
        <v>27813095.9714096</v>
      </c>
      <c r="P92" s="100">
        <f>SUM(P87:P91)</f>
        <v>0</v>
      </c>
      <c r="Q92" s="100">
        <f t="shared" si="38"/>
        <v>0</v>
      </c>
      <c r="R92" s="100">
        <f t="shared" si="38"/>
        <v>15680441.384549493</v>
      </c>
      <c r="S92" s="100">
        <f t="shared" si="38"/>
        <v>7999.7790101550199</v>
      </c>
      <c r="T92" s="100">
        <f t="shared" si="38"/>
        <v>75662.677798387216</v>
      </c>
      <c r="U92" s="100"/>
      <c r="V92" s="102">
        <f t="shared" si="35"/>
        <v>624598655.38567615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77614367.953974217</v>
      </c>
      <c r="H95" s="100">
        <f t="shared" si="39"/>
        <v>13468285.771980282</v>
      </c>
      <c r="I95" s="100">
        <f t="shared" si="39"/>
        <v>1350359.9791550322</v>
      </c>
      <c r="J95" s="100">
        <f t="shared" si="39"/>
        <v>1028212.5313881873</v>
      </c>
      <c r="K95" s="100">
        <f t="shared" si="39"/>
        <v>0</v>
      </c>
      <c r="L95" s="100">
        <f t="shared" si="39"/>
        <v>10708339.553947695</v>
      </c>
      <c r="M95" s="100">
        <f t="shared" si="39"/>
        <v>0</v>
      </c>
      <c r="N95" s="100">
        <f t="shared" si="39"/>
        <v>6283690.6753471363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616148.68976714683</v>
      </c>
      <c r="S95" s="100">
        <f t="shared" si="39"/>
        <v>2580.8316415612935</v>
      </c>
      <c r="T95" s="100">
        <f t="shared" si="39"/>
        <v>3992.5658187492554</v>
      </c>
      <c r="U95" s="100"/>
      <c r="V95" s="102">
        <f>SUM(G95:T95)</f>
        <v>111075978.55302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79047979.398265153</v>
      </c>
      <c r="H96" s="101">
        <f t="shared" si="39"/>
        <v>15295316.136104709</v>
      </c>
      <c r="I96" s="101">
        <f t="shared" si="39"/>
        <v>42217.267833576334</v>
      </c>
      <c r="J96" s="101">
        <f t="shared" si="39"/>
        <v>108847.12967526419</v>
      </c>
      <c r="K96" s="101">
        <f t="shared" si="39"/>
        <v>0</v>
      </c>
      <c r="L96" s="101">
        <f t="shared" si="39"/>
        <v>802311.64217635733</v>
      </c>
      <c r="M96" s="101">
        <f t="shared" si="39"/>
        <v>0</v>
      </c>
      <c r="N96" s="101">
        <f t="shared" si="39"/>
        <v>95447.735971563889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3436200.0742378142</v>
      </c>
      <c r="S96" s="101">
        <f t="shared" si="39"/>
        <v>81.579261514157182</v>
      </c>
      <c r="T96" s="101">
        <f t="shared" si="39"/>
        <v>15826.376733746492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156662347.35223937</v>
      </c>
      <c r="H97" s="100">
        <f t="shared" si="40"/>
        <v>28763601.908084989</v>
      </c>
      <c r="I97" s="100">
        <f>I95+I96</f>
        <v>1392577.2469886085</v>
      </c>
      <c r="J97" s="100">
        <f>J95+J96</f>
        <v>1137059.6610634516</v>
      </c>
      <c r="K97" s="100">
        <f>K95+K96</f>
        <v>0</v>
      </c>
      <c r="L97" s="100">
        <f t="shared" si="40"/>
        <v>11510651.196124053</v>
      </c>
      <c r="M97" s="100">
        <f t="shared" si="40"/>
        <v>0</v>
      </c>
      <c r="N97" s="100">
        <f t="shared" si="40"/>
        <v>6379138.4113186998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4052348.7640049611</v>
      </c>
      <c r="S97" s="100">
        <f t="shared" si="40"/>
        <v>2662.4109030754507</v>
      </c>
      <c r="T97" s="100">
        <f t="shared" si="40"/>
        <v>19818.942552495748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46406274.968909927</v>
      </c>
      <c r="H100" s="100">
        <f t="shared" si="41"/>
        <v>18178435.033966735</v>
      </c>
      <c r="I100" s="100">
        <f t="shared" si="41"/>
        <v>66754.158146665388</v>
      </c>
      <c r="J100" s="100">
        <f t="shared" si="41"/>
        <v>172158.00640868273</v>
      </c>
      <c r="K100" s="100">
        <f t="shared" si="41"/>
        <v>0</v>
      </c>
      <c r="L100" s="100">
        <f t="shared" si="41"/>
        <v>1198857.7220942709</v>
      </c>
      <c r="M100" s="100">
        <f t="shared" si="41"/>
        <v>0</v>
      </c>
      <c r="N100" s="100">
        <f t="shared" si="41"/>
        <v>150995.00337305511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66173474.892899334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35094893.975909054</v>
      </c>
      <c r="H103" s="100">
        <f t="shared" si="42"/>
        <v>13080520.896207616</v>
      </c>
      <c r="I103" s="100">
        <f t="shared" si="42"/>
        <v>196960.16533364644</v>
      </c>
      <c r="J103" s="100">
        <f t="shared" si="42"/>
        <v>277458.8254770409</v>
      </c>
      <c r="K103" s="100">
        <f t="shared" si="42"/>
        <v>0</v>
      </c>
      <c r="L103" s="100">
        <f t="shared" si="42"/>
        <v>3441534.908218638</v>
      </c>
      <c r="M103" s="100">
        <f t="shared" si="42"/>
        <v>781701.52019714727</v>
      </c>
      <c r="N103" s="100">
        <f t="shared" si="42"/>
        <v>553293.06801922631</v>
      </c>
      <c r="O103" s="100">
        <f t="shared" si="42"/>
        <v>1736843.4874708666</v>
      </c>
      <c r="P103" s="100">
        <f t="shared" si="42"/>
        <v>1184547.2697273188</v>
      </c>
      <c r="Q103" s="100">
        <f t="shared" si="42"/>
        <v>50135.242361552875</v>
      </c>
      <c r="R103" s="100">
        <f t="shared" si="42"/>
        <v>0</v>
      </c>
      <c r="S103" s="100">
        <f t="shared" si="42"/>
        <v>325.96822873025235</v>
      </c>
      <c r="T103" s="100">
        <f t="shared" si="42"/>
        <v>63237.836373668957</v>
      </c>
      <c r="U103" s="100"/>
      <c r="V103" s="102">
        <f>SUM(G103:T103)</f>
        <v>56461453.163524501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2047634865.51998</v>
      </c>
      <c r="H117" s="100">
        <f t="shared" si="47"/>
        <v>518515821.17251635</v>
      </c>
      <c r="I117" s="100">
        <f>I72+I78+I81+I84+I92+I97+I100+I103+I106+I109+I112+I115</f>
        <v>49733717.385370567</v>
      </c>
      <c r="J117" s="100">
        <f>J72+J78+J81+J84+J92+J97+J100+J103+J106+J109+J112+J115</f>
        <v>32476942.213139139</v>
      </c>
      <c r="K117" s="100">
        <f>K72+K78+K81+K84+K92+K97+K100+K103+K106+K109+K112+K115</f>
        <v>0</v>
      </c>
      <c r="L117" s="100">
        <f t="shared" si="47"/>
        <v>396155254.86270946</v>
      </c>
      <c r="M117" s="100">
        <f t="shared" si="47"/>
        <v>30157428.983807426</v>
      </c>
      <c r="N117" s="100">
        <f t="shared" si="47"/>
        <v>264710744.82275367</v>
      </c>
      <c r="O117" s="100">
        <f>O72+O78+O81+O84+O92+O97+O100+O103+O106+O109+O112+O115</f>
        <v>655762624.39352703</v>
      </c>
      <c r="P117" s="100">
        <f>P72+P78+P81+P84+P92+P97+P100+P103+P106+P109+P112+P115</f>
        <v>214037845.04381916</v>
      </c>
      <c r="Q117" s="100">
        <f t="shared" si="47"/>
        <v>75753600.968309462</v>
      </c>
      <c r="R117" s="100">
        <f t="shared" si="47"/>
        <v>104606616.14669575</v>
      </c>
      <c r="S117" s="100">
        <f t="shared" si="47"/>
        <v>38326.117583914005</v>
      </c>
      <c r="T117" s="100">
        <f t="shared" si="47"/>
        <v>330627.3393263875</v>
      </c>
      <c r="U117" s="100"/>
      <c r="V117" s="102">
        <f>SUM(G117:T117)</f>
        <v>4389914414.9695387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278593840.77629006</v>
      </c>
      <c r="H123" s="100">
        <f t="shared" si="48"/>
        <v>78273179.07186316</v>
      </c>
      <c r="I123" s="100">
        <f t="shared" si="48"/>
        <v>9032632.8343505822</v>
      </c>
      <c r="J123" s="100">
        <f t="shared" si="48"/>
        <v>5218119.2130396618</v>
      </c>
      <c r="K123" s="100">
        <f t="shared" si="48"/>
        <v>0</v>
      </c>
      <c r="L123" s="100">
        <f t="shared" si="48"/>
        <v>79106775.645796806</v>
      </c>
      <c r="M123" s="100">
        <f t="shared" si="48"/>
        <v>6027599.2080145897</v>
      </c>
      <c r="N123" s="100">
        <f t="shared" si="48"/>
        <v>54754844.56173186</v>
      </c>
      <c r="O123" s="100">
        <f t="shared" si="48"/>
        <v>137649985.68428317</v>
      </c>
      <c r="P123" s="100">
        <f t="shared" si="48"/>
        <v>47741800.89389915</v>
      </c>
      <c r="Q123" s="100">
        <f t="shared" si="48"/>
        <v>14611026.672342742</v>
      </c>
      <c r="R123" s="100">
        <f t="shared" si="48"/>
        <v>91624.443229859826</v>
      </c>
      <c r="S123" s="100">
        <f t="shared" si="48"/>
        <v>348.46540147935076</v>
      </c>
      <c r="T123" s="100">
        <f t="shared" si="48"/>
        <v>36220.54635469347</v>
      </c>
      <c r="U123" s="100"/>
      <c r="V123" s="102">
        <f t="shared" ref="V123:V129" si="49">SUM(G123:T123)</f>
        <v>711137998.01659799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291681288.40817398</v>
      </c>
      <c r="H124" s="101">
        <f t="shared" si="48"/>
        <v>81950202.688859299</v>
      </c>
      <c r="I124" s="101">
        <f t="shared" si="48"/>
        <v>9456957.0364513882</v>
      </c>
      <c r="J124" s="101">
        <f t="shared" si="48"/>
        <v>5463249.7649114886</v>
      </c>
      <c r="K124" s="101">
        <f t="shared" si="48"/>
        <v>0</v>
      </c>
      <c r="L124" s="101">
        <f t="shared" si="48"/>
        <v>82822958.963800967</v>
      </c>
      <c r="M124" s="101">
        <f t="shared" si="48"/>
        <v>6310756.5411453722</v>
      </c>
      <c r="N124" s="101">
        <f t="shared" si="48"/>
        <v>57327052.04053624</v>
      </c>
      <c r="O124" s="101">
        <f t="shared" si="48"/>
        <v>144116341.77511725</v>
      </c>
      <c r="P124" s="101">
        <f t="shared" si="48"/>
        <v>49984558.010530673</v>
      </c>
      <c r="Q124" s="101">
        <f t="shared" si="48"/>
        <v>15297405.975953745</v>
      </c>
      <c r="R124" s="101">
        <f t="shared" si="48"/>
        <v>95928.666536556004</v>
      </c>
      <c r="S124" s="101">
        <f t="shared" si="48"/>
        <v>364.8351915675907</v>
      </c>
      <c r="T124" s="101">
        <f t="shared" si="48"/>
        <v>37922.071780720107</v>
      </c>
      <c r="U124" s="101"/>
      <c r="V124" s="101">
        <f t="shared" si="49"/>
        <v>744544986.7789892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240062098.42758787</v>
      </c>
      <c r="H125" s="101">
        <f t="shared" si="48"/>
        <v>67447376.317549214</v>
      </c>
      <c r="I125" s="101">
        <f t="shared" si="48"/>
        <v>7783347.9250581991</v>
      </c>
      <c r="J125" s="101">
        <f t="shared" si="48"/>
        <v>4496411.8540348737</v>
      </c>
      <c r="K125" s="101">
        <f t="shared" si="48"/>
        <v>0</v>
      </c>
      <c r="L125" s="101">
        <f t="shared" si="48"/>
        <v>68165679.86016506</v>
      </c>
      <c r="M125" s="101">
        <f t="shared" si="48"/>
        <v>5193934.3322323626</v>
      </c>
      <c r="N125" s="101">
        <f t="shared" si="48"/>
        <v>47181814.385913827</v>
      </c>
      <c r="O125" s="101">
        <f t="shared" si="48"/>
        <v>118611898.66875452</v>
      </c>
      <c r="P125" s="101">
        <f t="shared" si="48"/>
        <v>41138730.39463447</v>
      </c>
      <c r="Q125" s="101">
        <f t="shared" si="48"/>
        <v>12590205.560074134</v>
      </c>
      <c r="R125" s="101">
        <f t="shared" si="48"/>
        <v>78952.054531176473</v>
      </c>
      <c r="S125" s="101">
        <f t="shared" si="48"/>
        <v>300.26986696995283</v>
      </c>
      <c r="T125" s="101">
        <f t="shared" si="48"/>
        <v>31210.956925223752</v>
      </c>
      <c r="U125" s="101"/>
      <c r="V125" s="101">
        <f t="shared" si="49"/>
        <v>612781961.00732803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24153447.932479028</v>
      </c>
      <c r="H126" s="101">
        <f t="shared" si="48"/>
        <v>7155603.2069275761</v>
      </c>
      <c r="I126" s="101">
        <f t="shared" si="48"/>
        <v>842637.85257927608</v>
      </c>
      <c r="J126" s="101">
        <f t="shared" si="48"/>
        <v>602132.08770131995</v>
      </c>
      <c r="K126" s="101">
        <f t="shared" si="48"/>
        <v>0</v>
      </c>
      <c r="L126" s="101">
        <f t="shared" si="48"/>
        <v>8221766.7550763367</v>
      </c>
      <c r="M126" s="101">
        <f t="shared" si="48"/>
        <v>656812.91705090401</v>
      </c>
      <c r="N126" s="101">
        <f t="shared" si="48"/>
        <v>6072956.2205806039</v>
      </c>
      <c r="O126" s="101">
        <f t="shared" si="48"/>
        <v>15927713.238484414</v>
      </c>
      <c r="P126" s="101">
        <f t="shared" si="48"/>
        <v>5672395.0788841015</v>
      </c>
      <c r="Q126" s="101">
        <f t="shared" si="48"/>
        <v>2094102.3950426062</v>
      </c>
      <c r="R126" s="101">
        <f t="shared" si="48"/>
        <v>490214.02262106125</v>
      </c>
      <c r="S126" s="101">
        <f t="shared" si="48"/>
        <v>1771.2582450400123</v>
      </c>
      <c r="T126" s="101">
        <f t="shared" si="48"/>
        <v>5904.437650463693</v>
      </c>
      <c r="U126" s="101"/>
      <c r="V126" s="101">
        <f t="shared" si="49"/>
        <v>71897457.403322726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834490675.54453087</v>
      </c>
      <c r="H129" s="100">
        <f t="shared" si="52"/>
        <v>234826361.28519925</v>
      </c>
      <c r="I129" s="100">
        <f>SUM(I123:I128)</f>
        <v>27115575.648439448</v>
      </c>
      <c r="J129" s="100">
        <f>SUM(J123:J128)</f>
        <v>15779912.919687346</v>
      </c>
      <c r="K129" s="100">
        <f>SUM(K123:K128)</f>
        <v>0</v>
      </c>
      <c r="L129" s="100">
        <f t="shared" si="52"/>
        <v>238317181.22483918</v>
      </c>
      <c r="M129" s="100">
        <f t="shared" si="52"/>
        <v>18189102.998443231</v>
      </c>
      <c r="N129" s="100">
        <f t="shared" si="52"/>
        <v>165336667.20876253</v>
      </c>
      <c r="O129" s="100">
        <f t="shared" si="52"/>
        <v>416305939.36663938</v>
      </c>
      <c r="P129" s="100">
        <f>SUM(P123:P128)</f>
        <v>144537484.37794837</v>
      </c>
      <c r="Q129" s="100">
        <f t="shared" si="52"/>
        <v>44592740.603413224</v>
      </c>
      <c r="R129" s="100">
        <f t="shared" si="52"/>
        <v>756719.18691865355</v>
      </c>
      <c r="S129" s="100">
        <f t="shared" si="52"/>
        <v>2784.8287050569065</v>
      </c>
      <c r="T129" s="100">
        <f t="shared" si="52"/>
        <v>111258.01271110102</v>
      </c>
      <c r="U129" s="100"/>
      <c r="V129" s="102">
        <f t="shared" si="49"/>
        <v>2140362403.2062376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227174054.05792984</v>
      </c>
      <c r="H132" s="100">
        <f t="shared" si="53"/>
        <v>55345956.391900823</v>
      </c>
      <c r="I132" s="100">
        <f t="shared" si="53"/>
        <v>7612255.4963390557</v>
      </c>
      <c r="J132" s="100">
        <f t="shared" si="53"/>
        <v>5796233.447972578</v>
      </c>
      <c r="K132" s="100">
        <f t="shared" si="53"/>
        <v>0</v>
      </c>
      <c r="L132" s="100">
        <f t="shared" si="53"/>
        <v>48876952.350909404</v>
      </c>
      <c r="M132" s="100">
        <f t="shared" si="53"/>
        <v>3998118.4772511898</v>
      </c>
      <c r="N132" s="100">
        <f t="shared" si="53"/>
        <v>31636957.110987555</v>
      </c>
      <c r="O132" s="100">
        <f t="shared" si="53"/>
        <v>83273937.906369269</v>
      </c>
      <c r="P132" s="100">
        <f t="shared" si="53"/>
        <v>32565742.143474925</v>
      </c>
      <c r="Q132" s="100">
        <f t="shared" si="53"/>
        <v>18676480.367085103</v>
      </c>
      <c r="R132" s="100">
        <f t="shared" si="53"/>
        <v>4102072.84867319</v>
      </c>
      <c r="S132" s="100">
        <f t="shared" si="53"/>
        <v>17182.150314798459</v>
      </c>
      <c r="T132" s="100">
        <f t="shared" si="53"/>
        <v>26610.61503625982</v>
      </c>
      <c r="U132" s="100"/>
      <c r="V132" s="102">
        <f>SUM(G132:T132)</f>
        <v>519102553.36424398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227174054.05792984</v>
      </c>
      <c r="H135" s="100">
        <f t="shared" si="54"/>
        <v>55345956.391900823</v>
      </c>
      <c r="I135" s="100">
        <f>SUM(I132:I134)</f>
        <v>7612255.4963390557</v>
      </c>
      <c r="J135" s="100">
        <f>SUM(J132:J134)</f>
        <v>5796233.447972578</v>
      </c>
      <c r="K135" s="100">
        <f>SUM(K132:K134)</f>
        <v>0</v>
      </c>
      <c r="L135" s="100">
        <f t="shared" si="54"/>
        <v>48876952.350909404</v>
      </c>
      <c r="M135" s="100">
        <f t="shared" si="54"/>
        <v>3998118.4772511898</v>
      </c>
      <c r="N135" s="100">
        <f t="shared" si="54"/>
        <v>31636957.110987555</v>
      </c>
      <c r="O135" s="100">
        <f t="shared" si="54"/>
        <v>83273937.906369269</v>
      </c>
      <c r="P135" s="100">
        <f>SUM(P132:P134)</f>
        <v>32565742.143474925</v>
      </c>
      <c r="Q135" s="100">
        <f t="shared" si="54"/>
        <v>18676480.367085103</v>
      </c>
      <c r="R135" s="100">
        <f t="shared" si="54"/>
        <v>4102072.84867319</v>
      </c>
      <c r="S135" s="100">
        <f t="shared" si="54"/>
        <v>17182.150314798459</v>
      </c>
      <c r="T135" s="100">
        <f t="shared" si="54"/>
        <v>26610.61503625982</v>
      </c>
      <c r="U135" s="100"/>
      <c r="V135" s="102">
        <f>SUM(G135:T135)</f>
        <v>519102553.36424398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117629774.59232309</v>
      </c>
      <c r="G141" s="100">
        <f t="shared" ref="G141:T141" si="56">IF(VLOOKUP($E141,$D$5:$AJ$946,3,)=0,0,(VLOOKUP($E141,$D$5:$AJ$946,G$1,)/VLOOKUP($E141,$D$5:$AJ$946,3,))*$F141)</f>
        <v>57116261.007423446</v>
      </c>
      <c r="H141" s="100">
        <f t="shared" si="56"/>
        <v>13915119.418431398</v>
      </c>
      <c r="I141" s="100">
        <f t="shared" si="56"/>
        <v>1913878.649509968</v>
      </c>
      <c r="J141" s="100">
        <f t="shared" si="56"/>
        <v>1457293.1043874358</v>
      </c>
      <c r="K141" s="100">
        <f t="shared" si="56"/>
        <v>0</v>
      </c>
      <c r="L141" s="100">
        <f t="shared" si="56"/>
        <v>12288677.856715363</v>
      </c>
      <c r="M141" s="100">
        <f t="shared" si="56"/>
        <v>1005209.7693649898</v>
      </c>
      <c r="N141" s="100">
        <f t="shared" si="56"/>
        <v>7954186.0857536215</v>
      </c>
      <c r="O141" s="100">
        <f t="shared" si="56"/>
        <v>20936792.241966579</v>
      </c>
      <c r="P141" s="100">
        <f t="shared" si="56"/>
        <v>0</v>
      </c>
      <c r="Q141" s="100">
        <f t="shared" si="56"/>
        <v>0</v>
      </c>
      <c r="R141" s="100">
        <f t="shared" si="56"/>
        <v>1031346.0507974087</v>
      </c>
      <c r="S141" s="100">
        <f t="shared" si="56"/>
        <v>4319.9483590611007</v>
      </c>
      <c r="T141" s="100">
        <f t="shared" si="56"/>
        <v>6690.4596138056595</v>
      </c>
      <c r="U141" s="100"/>
      <c r="V141" s="102">
        <f>SUM(G141:T141)</f>
        <v>117629774.59232305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128503614.63788348</v>
      </c>
      <c r="G145" s="101">
        <f t="shared" si="57"/>
        <v>62396157.941237122</v>
      </c>
      <c r="H145" s="101">
        <f t="shared" si="57"/>
        <v>15201450.054491032</v>
      </c>
      <c r="I145" s="101">
        <f t="shared" si="57"/>
        <v>2090799.9296323797</v>
      </c>
      <c r="J145" s="101">
        <f t="shared" si="57"/>
        <v>1592007.0590092728</v>
      </c>
      <c r="K145" s="101">
        <f t="shared" si="57"/>
        <v>0</v>
      </c>
      <c r="L145" s="101">
        <f t="shared" si="57"/>
        <v>13424658.248146491</v>
      </c>
      <c r="M145" s="101">
        <f t="shared" si="57"/>
        <v>1098132.5882872571</v>
      </c>
      <c r="N145" s="101">
        <f t="shared" si="57"/>
        <v>8689480.7633883413</v>
      </c>
      <c r="O145" s="101">
        <f t="shared" si="57"/>
        <v>22872214.890656516</v>
      </c>
      <c r="P145" s="101">
        <f t="shared" si="57"/>
        <v>0</v>
      </c>
      <c r="Q145" s="101">
        <f t="shared" si="57"/>
        <v>0</v>
      </c>
      <c r="R145" s="101">
        <f t="shared" si="57"/>
        <v>1126684.9395001957</v>
      </c>
      <c r="S145" s="101">
        <f t="shared" si="57"/>
        <v>4719.2896620969495</v>
      </c>
      <c r="T145" s="101">
        <f t="shared" si="57"/>
        <v>7308.9338727587356</v>
      </c>
      <c r="U145" s="101"/>
      <c r="V145" s="101">
        <f t="shared" si="58"/>
        <v>128503614.63788345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237784208.72506231</v>
      </c>
      <c r="G146" s="101">
        <f t="shared" si="57"/>
        <v>190002670.93828985</v>
      </c>
      <c r="H146" s="101">
        <f t="shared" si="57"/>
        <v>36764392.2188503</v>
      </c>
      <c r="I146" s="101">
        <f t="shared" si="57"/>
        <v>101474.99922398647</v>
      </c>
      <c r="J146" s="101">
        <f t="shared" si="57"/>
        <v>261629.01973836514</v>
      </c>
      <c r="K146" s="101">
        <f t="shared" si="57"/>
        <v>0</v>
      </c>
      <c r="L146" s="101">
        <f t="shared" si="57"/>
        <v>1928466.1809045428</v>
      </c>
      <c r="M146" s="101">
        <f t="shared" si="57"/>
        <v>76326.847242389835</v>
      </c>
      <c r="N146" s="101">
        <f t="shared" si="57"/>
        <v>229421.73737596939</v>
      </c>
      <c r="O146" s="101">
        <f t="shared" si="57"/>
        <v>122211.1947175837</v>
      </c>
      <c r="P146" s="101">
        <f t="shared" si="57"/>
        <v>0</v>
      </c>
      <c r="Q146" s="101">
        <f t="shared" si="57"/>
        <v>0</v>
      </c>
      <c r="R146" s="101">
        <f t="shared" si="57"/>
        <v>8259378.6324899215</v>
      </c>
      <c r="S146" s="101">
        <f t="shared" si="57"/>
        <v>196.08695502219607</v>
      </c>
      <c r="T146" s="101">
        <f t="shared" si="57"/>
        <v>38040.869274306046</v>
      </c>
      <c r="U146" s="101"/>
      <c r="V146" s="101">
        <f t="shared" si="58"/>
        <v>237784208.72506222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59250540.333276063</v>
      </c>
      <c r="G147" s="101">
        <f t="shared" si="57"/>
        <v>48878616.606048875</v>
      </c>
      <c r="H147" s="101">
        <f t="shared" si="57"/>
        <v>8481821.0074159168</v>
      </c>
      <c r="I147" s="101">
        <f t="shared" si="57"/>
        <v>850406.04518497898</v>
      </c>
      <c r="J147" s="101">
        <f t="shared" si="57"/>
        <v>647529.67055096372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388027.32500903675</v>
      </c>
      <c r="S147" s="101">
        <f t="shared" si="57"/>
        <v>1625.3109270623761</v>
      </c>
      <c r="T147" s="101">
        <f t="shared" si="57"/>
        <v>2514.3681392185817</v>
      </c>
      <c r="U147" s="101"/>
      <c r="V147" s="101">
        <f t="shared" si="58"/>
        <v>59250540.333276048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90521434.52698794</v>
      </c>
      <c r="G148" s="101">
        <f t="shared" si="57"/>
        <v>73055584.754303738</v>
      </c>
      <c r="H148" s="101">
        <f t="shared" si="57"/>
        <v>14135823.24091121</v>
      </c>
      <c r="I148" s="101">
        <f t="shared" si="57"/>
        <v>39016.901023768172</v>
      </c>
      <c r="J148" s="101">
        <f t="shared" si="57"/>
        <v>100595.74916128056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3175711.8609123463</v>
      </c>
      <c r="S148" s="101">
        <f t="shared" si="57"/>
        <v>75.394977823706611</v>
      </c>
      <c r="T148" s="101">
        <f t="shared" si="57"/>
        <v>14626.625697799083</v>
      </c>
      <c r="U148" s="101"/>
      <c r="V148" s="101">
        <f t="shared" si="58"/>
        <v>90521434.526987985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516059798.22320974</v>
      </c>
      <c r="G149" s="100">
        <f t="shared" ref="G149:T149" si="61">SUM(G144:G148)</f>
        <v>374333030.23987961</v>
      </c>
      <c r="H149" s="100">
        <f t="shared" si="61"/>
        <v>74583486.521668464</v>
      </c>
      <c r="I149" s="100">
        <f>SUM(I144:I148)</f>
        <v>3081697.8750651139</v>
      </c>
      <c r="J149" s="100">
        <f>SUM(J144:J148)</f>
        <v>2601761.4984598826</v>
      </c>
      <c r="K149" s="100">
        <f>SUM(K144:K148)</f>
        <v>0</v>
      </c>
      <c r="L149" s="100">
        <f t="shared" si="61"/>
        <v>15353124.429051034</v>
      </c>
      <c r="M149" s="100">
        <f t="shared" si="61"/>
        <v>1174459.4355296469</v>
      </c>
      <c r="N149" s="100">
        <f t="shared" si="61"/>
        <v>8918902.5007643104</v>
      </c>
      <c r="O149" s="100">
        <f t="shared" si="61"/>
        <v>22994426.085374098</v>
      </c>
      <c r="P149" s="100">
        <f>SUM(P144:P148)</f>
        <v>0</v>
      </c>
      <c r="Q149" s="100">
        <f t="shared" si="61"/>
        <v>0</v>
      </c>
      <c r="R149" s="100">
        <f t="shared" si="61"/>
        <v>12949802.7579115</v>
      </c>
      <c r="S149" s="100">
        <f t="shared" si="61"/>
        <v>6616.0825220052284</v>
      </c>
      <c r="T149" s="100">
        <f t="shared" si="61"/>
        <v>62490.796984082452</v>
      </c>
      <c r="U149" s="100"/>
      <c r="V149" s="102">
        <f t="shared" si="58"/>
        <v>516059798.22320974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91089035.518814862</v>
      </c>
      <c r="G152" s="100">
        <f t="shared" ref="G152:T153" si="62">IF(VLOOKUP($E152,$D$5:$AJ$946,3,)=0,0,(VLOOKUP($E152,$D$5:$AJ$946,G$1,)/VLOOKUP($E152,$D$5:$AJ$946,3,))*$F152)</f>
        <v>63648486.481307752</v>
      </c>
      <c r="H152" s="100">
        <f t="shared" si="62"/>
        <v>11044810.741648024</v>
      </c>
      <c r="I152" s="100">
        <f t="shared" si="62"/>
        <v>1107377.0378329433</v>
      </c>
      <c r="J152" s="100">
        <f t="shared" si="62"/>
        <v>843196.60301532119</v>
      </c>
      <c r="K152" s="100">
        <f t="shared" si="62"/>
        <v>0</v>
      </c>
      <c r="L152" s="100">
        <f t="shared" si="62"/>
        <v>8781487.5428846851</v>
      </c>
      <c r="M152" s="100">
        <f t="shared" si="62"/>
        <v>0</v>
      </c>
      <c r="N152" s="100">
        <f t="shared" si="62"/>
        <v>5153007.2529834034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505279.2747648941</v>
      </c>
      <c r="S152" s="100">
        <f t="shared" si="62"/>
        <v>2116.43838864804</v>
      </c>
      <c r="T152" s="100">
        <f t="shared" si="62"/>
        <v>3274.1459891947911</v>
      </c>
      <c r="U152" s="100"/>
      <c r="V152" s="102">
        <f>SUM(G152:T152)</f>
        <v>91089035.518814862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81058258.070884496</v>
      </c>
      <c r="G153" s="101">
        <f t="shared" si="62"/>
        <v>64824134.76701574</v>
      </c>
      <c r="H153" s="101">
        <f t="shared" si="62"/>
        <v>12543086.389539292</v>
      </c>
      <c r="I153" s="101">
        <f t="shared" si="62"/>
        <v>34620.718712501497</v>
      </c>
      <c r="J153" s="101">
        <f t="shared" si="62"/>
        <v>89261.244332666902</v>
      </c>
      <c r="K153" s="101">
        <f t="shared" si="62"/>
        <v>0</v>
      </c>
      <c r="L153" s="101">
        <f t="shared" si="62"/>
        <v>657944.18040149589</v>
      </c>
      <c r="M153" s="101">
        <f t="shared" si="62"/>
        <v>0</v>
      </c>
      <c r="N153" s="101">
        <f t="shared" si="62"/>
        <v>78272.929263046855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2817892.3534092284</v>
      </c>
      <c r="S153" s="101">
        <f t="shared" si="62"/>
        <v>66.899939541065692</v>
      </c>
      <c r="T153" s="101">
        <f t="shared" si="62"/>
        <v>12978.588270966744</v>
      </c>
      <c r="U153" s="101"/>
      <c r="V153" s="101">
        <f>SUM(G153:T153)</f>
        <v>81058258.070884466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172147293.58969936</v>
      </c>
      <c r="G154" s="100">
        <f t="shared" si="63"/>
        <v>128472621.2483235</v>
      </c>
      <c r="H154" s="100">
        <f t="shared" si="63"/>
        <v>23587897.131187316</v>
      </c>
      <c r="I154" s="100">
        <f>I152+I153</f>
        <v>1141997.7565454447</v>
      </c>
      <c r="J154" s="100">
        <f>J152+J153</f>
        <v>932457.84734798805</v>
      </c>
      <c r="K154" s="100">
        <f>K152+K153</f>
        <v>0</v>
      </c>
      <c r="L154" s="100">
        <f t="shared" si="63"/>
        <v>9439431.7232861817</v>
      </c>
      <c r="M154" s="100">
        <f t="shared" si="63"/>
        <v>0</v>
      </c>
      <c r="N154" s="100">
        <f t="shared" si="63"/>
        <v>5231280.1822464503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3323171.6281741224</v>
      </c>
      <c r="S154" s="100">
        <f t="shared" si="63"/>
        <v>2183.3383281891056</v>
      </c>
      <c r="T154" s="100">
        <f t="shared" si="63"/>
        <v>16252.734260161535</v>
      </c>
      <c r="U154" s="100"/>
      <c r="V154" s="102">
        <f>SUM(G154:T154)</f>
        <v>172147293.58969936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54260568.084280506</v>
      </c>
      <c r="G157" s="100">
        <f t="shared" ref="G157:T157" si="64">IF(VLOOKUP($E157,$D$5:$AJ$946,3,)=0,0,(VLOOKUP($E157,$D$5:$AJ$946,G$1,)/VLOOKUP($E157,$D$5:$AJ$946,3,))*$F157)</f>
        <v>38051966.389308862</v>
      </c>
      <c r="H157" s="100">
        <f t="shared" si="64"/>
        <v>14905854.852305233</v>
      </c>
      <c r="I157" s="100">
        <f t="shared" si="64"/>
        <v>54736.713598436603</v>
      </c>
      <c r="J157" s="100">
        <f t="shared" si="64"/>
        <v>141165.1910846637</v>
      </c>
      <c r="K157" s="100">
        <f t="shared" si="64"/>
        <v>0</v>
      </c>
      <c r="L157" s="100">
        <f t="shared" si="64"/>
        <v>983032.8716807618</v>
      </c>
      <c r="M157" s="100">
        <f t="shared" si="64"/>
        <v>0</v>
      </c>
      <c r="N157" s="100">
        <f t="shared" si="64"/>
        <v>123812.06630255064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54260568.084280506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48373891.661168471</v>
      </c>
      <c r="G160" s="100">
        <f t="shared" ref="G160:T160" si="65">IF(VLOOKUP($E160,$D$5:$AJ$946,3,)=0,0,(VLOOKUP($E160,$D$5:$AJ$946,G$1,)/VLOOKUP($E160,$D$5:$AJ$946,3,))*$F160)</f>
        <v>30067887.09695413</v>
      </c>
      <c r="H160" s="100">
        <f t="shared" si="65"/>
        <v>11206861.76588833</v>
      </c>
      <c r="I160" s="100">
        <f t="shared" si="65"/>
        <v>168747.51118823118</v>
      </c>
      <c r="J160" s="100">
        <f t="shared" si="65"/>
        <v>237715.51053050504</v>
      </c>
      <c r="K160" s="100">
        <f t="shared" si="65"/>
        <v>0</v>
      </c>
      <c r="L160" s="100">
        <f t="shared" si="65"/>
        <v>2948568.0490038865</v>
      </c>
      <c r="M160" s="100">
        <f t="shared" si="65"/>
        <v>669730.27668753383</v>
      </c>
      <c r="N160" s="100">
        <f t="shared" si="65"/>
        <v>474039.14404612564</v>
      </c>
      <c r="O160" s="100">
        <f t="shared" si="65"/>
        <v>1488057.3203099798</v>
      </c>
      <c r="P160" s="100">
        <f t="shared" si="65"/>
        <v>1014872.2373008315</v>
      </c>
      <c r="Q160" s="100">
        <f t="shared" si="65"/>
        <v>42953.849866034718</v>
      </c>
      <c r="R160" s="100">
        <f t="shared" si="65"/>
        <v>0</v>
      </c>
      <c r="S160" s="100">
        <f t="shared" si="65"/>
        <v>279.27640714297013</v>
      </c>
      <c r="T160" s="100">
        <f t="shared" si="65"/>
        <v>54179.622985736212</v>
      </c>
      <c r="U160" s="100"/>
      <c r="V160" s="102">
        <f>SUM(G160:T160)</f>
        <v>48373891.661168456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64200371.729934186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64200371.729934186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64200371.729934186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3974752.3115407242</v>
      </c>
      <c r="H166" s="100">
        <f t="shared" si="67"/>
        <v>1538182.0922057012</v>
      </c>
      <c r="I166" s="100">
        <f t="shared" si="67"/>
        <v>28703.970447021631</v>
      </c>
      <c r="J166" s="100">
        <f t="shared" si="67"/>
        <v>54731.364871652178</v>
      </c>
      <c r="K166" s="100">
        <f t="shared" si="67"/>
        <v>0</v>
      </c>
      <c r="L166" s="100">
        <f t="shared" si="67"/>
        <v>201712.30679088671</v>
      </c>
      <c r="M166" s="100">
        <f t="shared" si="67"/>
        <v>7983.5802047182342</v>
      </c>
      <c r="N166" s="100">
        <f t="shared" si="67"/>
        <v>119984.4423830486</v>
      </c>
      <c r="O166" s="100">
        <f t="shared" si="67"/>
        <v>63914.789500200895</v>
      </c>
      <c r="P166" s="100">
        <f t="shared" si="67"/>
        <v>5537.743494602244</v>
      </c>
      <c r="Q166" s="100">
        <f t="shared" si="67"/>
        <v>461.47862455018691</v>
      </c>
      <c r="R166" s="100">
        <f t="shared" si="67"/>
        <v>172777.59703159</v>
      </c>
      <c r="S166" s="100">
        <f t="shared" si="67"/>
        <v>0</v>
      </c>
      <c r="T166" s="100">
        <f t="shared" si="67"/>
        <v>793.74323422632165</v>
      </c>
      <c r="U166" s="100"/>
      <c r="V166" s="102">
        <f>SUM(G166:T166)</f>
        <v>6169535.4203289216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498375.79451496393</v>
      </c>
      <c r="H169" s="100">
        <f t="shared" si="68"/>
        <v>192865.53279959052</v>
      </c>
      <c r="I169" s="100">
        <f t="shared" si="68"/>
        <v>3599.0579930559984</v>
      </c>
      <c r="J169" s="100">
        <f t="shared" si="68"/>
        <v>6862.5125076598306</v>
      </c>
      <c r="K169" s="100">
        <f t="shared" si="68"/>
        <v>0</v>
      </c>
      <c r="L169" s="100">
        <f t="shared" si="68"/>
        <v>25291.772488179689</v>
      </c>
      <c r="M169" s="100">
        <f t="shared" si="68"/>
        <v>1001.0241684866362</v>
      </c>
      <c r="N169" s="100">
        <f t="shared" si="68"/>
        <v>15044.293861648866</v>
      </c>
      <c r="O169" s="100">
        <f t="shared" si="68"/>
        <v>8013.979614762955</v>
      </c>
      <c r="P169" s="100">
        <f t="shared" si="68"/>
        <v>694.35202438379395</v>
      </c>
      <c r="Q169" s="100">
        <f t="shared" si="68"/>
        <v>57.862668698649486</v>
      </c>
      <c r="R169" s="100">
        <f t="shared" si="68"/>
        <v>21663.783160774368</v>
      </c>
      <c r="S169" s="100">
        <f t="shared" si="68"/>
        <v>0</v>
      </c>
      <c r="T169" s="100">
        <f t="shared" si="68"/>
        <v>99.523790161677127</v>
      </c>
      <c r="U169" s="100"/>
      <c r="V169" s="102">
        <f>SUM(G169:T169)</f>
        <v>773569.48959236708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1694179623.6904061</v>
      </c>
      <c r="H174" s="100">
        <f t="shared" si="70"/>
        <v>430102584.99158609</v>
      </c>
      <c r="I174" s="100">
        <f>I129+I135+I138+I141+I149+I154+I157+I160+I163+I166+I169+I172</f>
        <v>41121192.679125771</v>
      </c>
      <c r="J174" s="100">
        <f>J129+J135+J138+J141+J149+J154+J157+J160+J163+J166+J169+J172</f>
        <v>27008133.39684971</v>
      </c>
      <c r="K174" s="100">
        <f>K129+K135+K138+K141+K149+K154+K157+K160+K163+K166+K169+K172</f>
        <v>0</v>
      </c>
      <c r="L174" s="100">
        <f t="shared" si="70"/>
        <v>328433972.5847649</v>
      </c>
      <c r="M174" s="100">
        <f t="shared" si="70"/>
        <v>25045605.561649796</v>
      </c>
      <c r="N174" s="100">
        <f t="shared" si="70"/>
        <v>219810873.03510782</v>
      </c>
      <c r="O174" s="100">
        <f>O129+O135+O138+O141+O149+O154+O157+O160+O163+O166+O169+O172</f>
        <v>545071081.68977427</v>
      </c>
      <c r="P174" s="100">
        <f>P129+P135+P138+P141+P149+P154+P157+P160+P163+P166+P169+P172</f>
        <v>178124330.85424313</v>
      </c>
      <c r="Q174" s="100">
        <f t="shared" si="70"/>
        <v>63312694.161657609</v>
      </c>
      <c r="R174" s="100">
        <f t="shared" si="70"/>
        <v>86557925.582601428</v>
      </c>
      <c r="S174" s="100">
        <f t="shared" si="70"/>
        <v>33365.624636253771</v>
      </c>
      <c r="T174" s="100">
        <f t="shared" si="70"/>
        <v>278375.50861553469</v>
      </c>
      <c r="U174" s="100"/>
      <c r="V174" s="102">
        <f>SUM(G174:T174)</f>
        <v>3639079759.3610182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14739984.338414332</v>
      </c>
      <c r="H180" s="100">
        <f t="shared" si="71"/>
        <v>4141317.0887852372</v>
      </c>
      <c r="I180" s="100">
        <f t="shared" si="71"/>
        <v>477903.12284716417</v>
      </c>
      <c r="J180" s="100">
        <f t="shared" si="71"/>
        <v>276082.89997317648</v>
      </c>
      <c r="K180" s="100">
        <f t="shared" si="71"/>
        <v>0</v>
      </c>
      <c r="L180" s="100">
        <f t="shared" si="71"/>
        <v>4185421.4394417345</v>
      </c>
      <c r="M180" s="100">
        <f t="shared" si="71"/>
        <v>318911.27842886274</v>
      </c>
      <c r="N180" s="100">
        <f t="shared" si="71"/>
        <v>2896997.1089214636</v>
      </c>
      <c r="O180" s="100">
        <f t="shared" si="71"/>
        <v>7282855.3119325349</v>
      </c>
      <c r="P180" s="100">
        <f t="shared" si="71"/>
        <v>2525947.4348137095</v>
      </c>
      <c r="Q180" s="100">
        <f t="shared" si="71"/>
        <v>773047.61554805702</v>
      </c>
      <c r="R180" s="100">
        <f t="shared" si="71"/>
        <v>4847.7125497851493</v>
      </c>
      <c r="S180" s="100">
        <f t="shared" si="71"/>
        <v>18.436784337990389</v>
      </c>
      <c r="T180" s="100">
        <f t="shared" si="71"/>
        <v>1916.3750516139523</v>
      </c>
      <c r="U180" s="100"/>
      <c r="V180" s="102">
        <f t="shared" ref="V180:V186" si="72">SUM(G180:T180)</f>
        <v>37625250.163492009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14084193.244267352</v>
      </c>
      <c r="H181" s="101">
        <f t="shared" si="71"/>
        <v>3957067.3092392557</v>
      </c>
      <c r="I181" s="101">
        <f t="shared" si="71"/>
        <v>456640.91492124205</v>
      </c>
      <c r="J181" s="101">
        <f t="shared" si="71"/>
        <v>263799.79960536712</v>
      </c>
      <c r="K181" s="101">
        <f t="shared" si="71"/>
        <v>0</v>
      </c>
      <c r="L181" s="101">
        <f t="shared" si="71"/>
        <v>3999209.4298343351</v>
      </c>
      <c r="M181" s="101">
        <f t="shared" si="71"/>
        <v>304722.71679846587</v>
      </c>
      <c r="N181" s="101">
        <f t="shared" si="71"/>
        <v>2768107.9011596171</v>
      </c>
      <c r="O181" s="101">
        <f t="shared" si="71"/>
        <v>6958836.5379722789</v>
      </c>
      <c r="P181" s="101">
        <f t="shared" si="71"/>
        <v>2413566.4584162515</v>
      </c>
      <c r="Q181" s="101">
        <f t="shared" si="71"/>
        <v>738654.24510825437</v>
      </c>
      <c r="R181" s="101">
        <f t="shared" si="71"/>
        <v>4632.0347957153208</v>
      </c>
      <c r="S181" s="101">
        <f t="shared" si="71"/>
        <v>17.616520306769356</v>
      </c>
      <c r="T181" s="101">
        <f t="shared" si="71"/>
        <v>1831.1143306362064</v>
      </c>
      <c r="U181" s="101"/>
      <c r="V181" s="101">
        <f t="shared" si="72"/>
        <v>35951279.322969079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14077289.070796646</v>
      </c>
      <c r="H182" s="101">
        <f t="shared" si="71"/>
        <v>3955127.5262027397</v>
      </c>
      <c r="I182" s="101">
        <f t="shared" si="71"/>
        <v>456417.06623954914</v>
      </c>
      <c r="J182" s="101">
        <f t="shared" si="71"/>
        <v>263670.48303419939</v>
      </c>
      <c r="K182" s="101">
        <f t="shared" si="71"/>
        <v>0</v>
      </c>
      <c r="L182" s="101">
        <f t="shared" si="71"/>
        <v>3997248.9884252758</v>
      </c>
      <c r="M182" s="101">
        <f t="shared" si="71"/>
        <v>304573.33951708715</v>
      </c>
      <c r="N182" s="101">
        <f t="shared" si="71"/>
        <v>2766750.954630712</v>
      </c>
      <c r="O182" s="101">
        <f t="shared" si="71"/>
        <v>6955425.2659328245</v>
      </c>
      <c r="P182" s="101">
        <f t="shared" si="71"/>
        <v>2412383.3106687749</v>
      </c>
      <c r="Q182" s="101">
        <f t="shared" si="71"/>
        <v>738292.15145087172</v>
      </c>
      <c r="R182" s="101">
        <f t="shared" si="71"/>
        <v>4629.7641387314725</v>
      </c>
      <c r="S182" s="101">
        <f t="shared" si="71"/>
        <v>17.607884561005385</v>
      </c>
      <c r="T182" s="101">
        <f t="shared" si="71"/>
        <v>1830.2167051375964</v>
      </c>
      <c r="U182" s="101"/>
      <c r="V182" s="101">
        <f t="shared" si="72"/>
        <v>35933655.745627113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215133717.18701735</v>
      </c>
      <c r="H183" s="101">
        <f t="shared" si="71"/>
        <v>63734648.606902696</v>
      </c>
      <c r="I183" s="101">
        <f t="shared" si="71"/>
        <v>7505338.9468300082</v>
      </c>
      <c r="J183" s="101">
        <f t="shared" si="71"/>
        <v>5363164.4900922701</v>
      </c>
      <c r="K183" s="101">
        <f t="shared" si="71"/>
        <v>0</v>
      </c>
      <c r="L183" s="101">
        <f t="shared" si="71"/>
        <v>73230921.266762272</v>
      </c>
      <c r="M183" s="101">
        <f t="shared" si="71"/>
        <v>5850204.2746286383</v>
      </c>
      <c r="N183" s="101">
        <f t="shared" si="71"/>
        <v>54091558.675177142</v>
      </c>
      <c r="O183" s="101">
        <f t="shared" si="71"/>
        <v>141867453.65974441</v>
      </c>
      <c r="P183" s="101">
        <f t="shared" si="71"/>
        <v>50523777.892294951</v>
      </c>
      <c r="Q183" s="101">
        <f t="shared" si="71"/>
        <v>18652079.557136446</v>
      </c>
      <c r="R183" s="101">
        <f t="shared" si="71"/>
        <v>4366315.119832471</v>
      </c>
      <c r="S183" s="101">
        <f t="shared" si="71"/>
        <v>15776.520661516181</v>
      </c>
      <c r="T183" s="101">
        <f t="shared" si="71"/>
        <v>52590.571051975669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258035183.84049568</v>
      </c>
      <c r="H186" s="100">
        <f t="shared" si="75"/>
        <v>75788160.531129926</v>
      </c>
      <c r="I186" s="100">
        <f>SUM(I180:I185)</f>
        <v>8896300.0508379638</v>
      </c>
      <c r="J186" s="100">
        <f>SUM(J180:J185)</f>
        <v>6166717.6727050133</v>
      </c>
      <c r="K186" s="100">
        <f>SUM(K180:K185)</f>
        <v>0</v>
      </c>
      <c r="L186" s="100">
        <f t="shared" si="75"/>
        <v>85412801.124463618</v>
      </c>
      <c r="M186" s="100">
        <f t="shared" si="75"/>
        <v>6778411.6093730535</v>
      </c>
      <c r="N186" s="100">
        <f t="shared" si="75"/>
        <v>62523414.639888935</v>
      </c>
      <c r="O186" s="100">
        <f t="shared" si="75"/>
        <v>163064570.77558205</v>
      </c>
      <c r="P186" s="100">
        <f>SUM(P180:P185)</f>
        <v>57875675.096193686</v>
      </c>
      <c r="Q186" s="100">
        <f t="shared" si="75"/>
        <v>20902073.569243629</v>
      </c>
      <c r="R186" s="100">
        <f t="shared" si="75"/>
        <v>4380424.6313167028</v>
      </c>
      <c r="S186" s="100">
        <f t="shared" si="75"/>
        <v>15830.181850721945</v>
      </c>
      <c r="T186" s="100">
        <f t="shared" si="75"/>
        <v>58168.277139363425</v>
      </c>
      <c r="U186" s="100"/>
      <c r="V186" s="102">
        <f t="shared" si="72"/>
        <v>749897732.00022018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0.3440938315045069</v>
      </c>
      <c r="H187" s="244">
        <f t="shared" ref="H187:Q187" si="76">H186/$F$186</f>
        <v>0.10106466161589572</v>
      </c>
      <c r="I187" s="244">
        <f>I186/$F$186</f>
        <v>1.1863351056028197E-2</v>
      </c>
      <c r="J187" s="244">
        <f t="shared" si="76"/>
        <v>8.2234115527411705E-3</v>
      </c>
      <c r="K187" s="244">
        <f>K186/$F$186</f>
        <v>0</v>
      </c>
      <c r="L187" s="244">
        <f t="shared" si="76"/>
        <v>0.11389926583274228</v>
      </c>
      <c r="M187" s="244">
        <f t="shared" si="76"/>
        <v>9.0391146954036418E-3</v>
      </c>
      <c r="N187" s="244">
        <f t="shared" si="76"/>
        <v>8.337592177151773E-2</v>
      </c>
      <c r="O187" s="244">
        <f t="shared" si="76"/>
        <v>0.21744907847718914</v>
      </c>
      <c r="P187" s="244">
        <f t="shared" si="76"/>
        <v>7.7178090593527343E-2</v>
      </c>
      <c r="Q187" s="244">
        <f t="shared" si="76"/>
        <v>2.7873232145256693E-2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19267437.605426922</v>
      </c>
      <c r="H189" s="100">
        <f t="shared" si="77"/>
        <v>4694086.9454295198</v>
      </c>
      <c r="I189" s="100">
        <f t="shared" si="77"/>
        <v>645622.39917979413</v>
      </c>
      <c r="J189" s="100">
        <f t="shared" si="77"/>
        <v>491599.12547417032</v>
      </c>
      <c r="K189" s="100">
        <f t="shared" si="77"/>
        <v>0</v>
      </c>
      <c r="L189" s="100">
        <f t="shared" si="77"/>
        <v>4145427.7587722577</v>
      </c>
      <c r="M189" s="100">
        <f t="shared" si="77"/>
        <v>339094.61456323753</v>
      </c>
      <c r="N189" s="100">
        <f t="shared" si="77"/>
        <v>2683242.5898693544</v>
      </c>
      <c r="O189" s="100">
        <f t="shared" si="77"/>
        <v>7062758.1544150347</v>
      </c>
      <c r="P189" s="100">
        <f t="shared" si="77"/>
        <v>2762016.1440787688</v>
      </c>
      <c r="Q189" s="100">
        <f t="shared" si="77"/>
        <v>1584018.5696119647</v>
      </c>
      <c r="R189" s="100">
        <f t="shared" si="77"/>
        <v>347911.35366441152</v>
      </c>
      <c r="S189" s="100">
        <f t="shared" si="77"/>
        <v>1457.2791355522754</v>
      </c>
      <c r="T189" s="100">
        <f t="shared" si="77"/>
        <v>2256.9406835625136</v>
      </c>
      <c r="U189" s="100"/>
      <c r="V189" s="102">
        <f>SUM(G189:T189)</f>
        <v>44026929.480304562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19267437.605426922</v>
      </c>
      <c r="H192" s="100">
        <f t="shared" si="78"/>
        <v>4694086.9454295198</v>
      </c>
      <c r="I192" s="100">
        <f>SUM(I189:I191)</f>
        <v>645622.39917979413</v>
      </c>
      <c r="J192" s="100">
        <f>SUM(J189:J191)</f>
        <v>491599.12547417032</v>
      </c>
      <c r="K192" s="100">
        <f>SUM(K189:K191)</f>
        <v>0</v>
      </c>
      <c r="L192" s="100">
        <f t="shared" si="78"/>
        <v>4145427.7587722577</v>
      </c>
      <c r="M192" s="100">
        <f t="shared" si="78"/>
        <v>339094.61456323753</v>
      </c>
      <c r="N192" s="100">
        <f t="shared" si="78"/>
        <v>2683242.5898693544</v>
      </c>
      <c r="O192" s="100">
        <f t="shared" si="78"/>
        <v>7062758.1544150347</v>
      </c>
      <c r="P192" s="100">
        <f>SUM(P189:P191)</f>
        <v>2762016.1440787688</v>
      </c>
      <c r="Q192" s="100">
        <f t="shared" si="78"/>
        <v>1584018.5696119647</v>
      </c>
      <c r="R192" s="100">
        <f t="shared" si="78"/>
        <v>347911.35366441152</v>
      </c>
      <c r="S192" s="100">
        <f t="shared" si="78"/>
        <v>1457.2791355522754</v>
      </c>
      <c r="T192" s="100">
        <f t="shared" si="78"/>
        <v>2256.9406835625136</v>
      </c>
      <c r="U192" s="100"/>
      <c r="V192" s="102">
        <f>SUM(G192:T192)</f>
        <v>44026929.480304562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7273698.7604337949</v>
      </c>
      <c r="G198" s="100">
        <f t="shared" ref="G198:T198" si="80">IF(VLOOKUP($E198,$D$5:$AJ$946,3,)=0,0,(VLOOKUP($E198,$D$5:$AJ$946,G$1,)/VLOOKUP($E198,$D$5:$AJ$946,3,))*$F198)</f>
        <v>3531813.9334207517</v>
      </c>
      <c r="H198" s="100">
        <f t="shared" si="80"/>
        <v>860448.7020052342</v>
      </c>
      <c r="I198" s="100">
        <f t="shared" si="80"/>
        <v>118345.68933595397</v>
      </c>
      <c r="J198" s="100">
        <f t="shared" si="80"/>
        <v>90112.482861659708</v>
      </c>
      <c r="K198" s="100">
        <f t="shared" si="80"/>
        <v>0</v>
      </c>
      <c r="L198" s="100">
        <f t="shared" si="80"/>
        <v>759876.83563574776</v>
      </c>
      <c r="M198" s="100">
        <f t="shared" si="80"/>
        <v>62157.672908464847</v>
      </c>
      <c r="N198" s="100">
        <f t="shared" si="80"/>
        <v>491851.26531715511</v>
      </c>
      <c r="O198" s="100">
        <f t="shared" si="80"/>
        <v>1294637.5210327997</v>
      </c>
      <c r="P198" s="100">
        <f t="shared" si="80"/>
        <v>0</v>
      </c>
      <c r="Q198" s="100">
        <f t="shared" si="80"/>
        <v>0</v>
      </c>
      <c r="R198" s="100">
        <f t="shared" si="80"/>
        <v>63773.823568586406</v>
      </c>
      <c r="S198" s="100">
        <f t="shared" si="80"/>
        <v>267.12627082166858</v>
      </c>
      <c r="T198" s="100">
        <f t="shared" si="80"/>
        <v>413.70807661860971</v>
      </c>
      <c r="U198" s="100"/>
      <c r="V198" s="102">
        <f>SUM(G198:T198)</f>
        <v>7273698.7604337931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13814191.157278344</v>
      </c>
      <c r="G202" s="101">
        <f t="shared" si="81"/>
        <v>6707612.5112038134</v>
      </c>
      <c r="H202" s="101">
        <f t="shared" si="81"/>
        <v>1634162.1012943138</v>
      </c>
      <c r="I202" s="101">
        <f t="shared" si="81"/>
        <v>224761.8479912474</v>
      </c>
      <c r="J202" s="101">
        <f t="shared" si="81"/>
        <v>171141.41029311687</v>
      </c>
      <c r="K202" s="101">
        <f t="shared" si="81"/>
        <v>0</v>
      </c>
      <c r="L202" s="101">
        <f t="shared" si="81"/>
        <v>1443156.2550486985</v>
      </c>
      <c r="M202" s="101">
        <f t="shared" si="81"/>
        <v>118049.70259696394</v>
      </c>
      <c r="N202" s="101">
        <f t="shared" si="81"/>
        <v>934122.73780158465</v>
      </c>
      <c r="O202" s="101">
        <f t="shared" si="81"/>
        <v>2458772.4600606714</v>
      </c>
      <c r="P202" s="101">
        <f t="shared" si="81"/>
        <v>0</v>
      </c>
      <c r="Q202" s="101">
        <f t="shared" si="81"/>
        <v>0</v>
      </c>
      <c r="R202" s="101">
        <f t="shared" si="81"/>
        <v>121119.0920359829</v>
      </c>
      <c r="S202" s="101">
        <f t="shared" si="81"/>
        <v>507.32556980973453</v>
      </c>
      <c r="T202" s="101">
        <f t="shared" si="81"/>
        <v>785.71338213882689</v>
      </c>
      <c r="U202" s="101"/>
      <c r="V202" s="101">
        <f t="shared" si="82"/>
        <v>13814191.15727834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21347292.750939507</v>
      </c>
      <c r="G203" s="101">
        <f t="shared" si="81"/>
        <v>17057661.910046741</v>
      </c>
      <c r="H203" s="101">
        <f t="shared" si="81"/>
        <v>3300556.6169181871</v>
      </c>
      <c r="I203" s="101">
        <f t="shared" si="81"/>
        <v>9110.0099832133237</v>
      </c>
      <c r="J203" s="101">
        <f t="shared" si="81"/>
        <v>23487.982261067398</v>
      </c>
      <c r="K203" s="101">
        <f t="shared" si="81"/>
        <v>0</v>
      </c>
      <c r="L203" s="101">
        <f t="shared" si="81"/>
        <v>173129.7984201106</v>
      </c>
      <c r="M203" s="101">
        <f t="shared" si="81"/>
        <v>6852.3118569387179</v>
      </c>
      <c r="N203" s="101">
        <f t="shared" si="81"/>
        <v>20596.544309873603</v>
      </c>
      <c r="O203" s="101">
        <f t="shared" si="81"/>
        <v>10971.620718913438</v>
      </c>
      <c r="P203" s="101">
        <f t="shared" si="81"/>
        <v>0</v>
      </c>
      <c r="Q203" s="101">
        <f t="shared" si="81"/>
        <v>0</v>
      </c>
      <c r="R203" s="101">
        <f t="shared" si="81"/>
        <v>741493.19903947529</v>
      </c>
      <c r="S203" s="101">
        <f t="shared" si="81"/>
        <v>17.603884025532992</v>
      </c>
      <c r="T203" s="101">
        <f t="shared" si="81"/>
        <v>3415.1535009534009</v>
      </c>
      <c r="U203" s="101"/>
      <c r="V203" s="101">
        <f t="shared" si="82"/>
        <v>21347292.7509395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7132524.2301955046</v>
      </c>
      <c r="G204" s="101">
        <f t="shared" si="81"/>
        <v>5883961.8224592777</v>
      </c>
      <c r="H204" s="101">
        <f t="shared" si="81"/>
        <v>1021033.6228376856</v>
      </c>
      <c r="I204" s="101">
        <f t="shared" si="81"/>
        <v>102371.078620866</v>
      </c>
      <c r="J204" s="101">
        <f t="shared" si="81"/>
        <v>77949.011755786894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46710.363855543845</v>
      </c>
      <c r="S204" s="101">
        <f t="shared" si="81"/>
        <v>195.65339832628229</v>
      </c>
      <c r="T204" s="101">
        <f t="shared" si="81"/>
        <v>302.6772680170177</v>
      </c>
      <c r="U204" s="101"/>
      <c r="V204" s="101">
        <f t="shared" si="82"/>
        <v>7132524.2301955037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10461859.976506073</v>
      </c>
      <c r="G205" s="101">
        <f t="shared" si="81"/>
        <v>8443274.260898184</v>
      </c>
      <c r="H205" s="101">
        <f t="shared" si="81"/>
        <v>1633723.5945477921</v>
      </c>
      <c r="I205" s="101">
        <f t="shared" si="81"/>
        <v>4509.3116051553734</v>
      </c>
      <c r="J205" s="101">
        <f t="shared" si="81"/>
        <v>11626.181660248421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367027.46689999907</v>
      </c>
      <c r="S205" s="101">
        <f t="shared" si="81"/>
        <v>8.7136456138268077</v>
      </c>
      <c r="T205" s="101">
        <f t="shared" si="81"/>
        <v>1690.447249082401</v>
      </c>
      <c r="U205" s="101"/>
      <c r="V205" s="101">
        <f t="shared" si="82"/>
        <v>10461859.976506075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52755868.114919424</v>
      </c>
      <c r="G206" s="100">
        <f t="shared" ref="G206:T206" si="85">SUM(G201:G205)</f>
        <v>38092510.50460802</v>
      </c>
      <c r="H206" s="100">
        <f t="shared" si="85"/>
        <v>7589475.9355979795</v>
      </c>
      <c r="I206" s="100">
        <f>SUM(I201:I205)</f>
        <v>340752.24820048211</v>
      </c>
      <c r="J206" s="100">
        <f>SUM(J201:J205)</f>
        <v>284204.58597021957</v>
      </c>
      <c r="K206" s="100">
        <f>SUM(K201:K205)</f>
        <v>0</v>
      </c>
      <c r="L206" s="100">
        <f t="shared" si="85"/>
        <v>1616286.053468809</v>
      </c>
      <c r="M206" s="100">
        <f t="shared" si="85"/>
        <v>124902.01445390265</v>
      </c>
      <c r="N206" s="100">
        <f t="shared" si="85"/>
        <v>954719.28211145825</v>
      </c>
      <c r="O206" s="100">
        <f t="shared" si="85"/>
        <v>2469744.0807795851</v>
      </c>
      <c r="P206" s="100">
        <f>SUM(P201:P205)</f>
        <v>0</v>
      </c>
      <c r="Q206" s="100">
        <f t="shared" si="85"/>
        <v>0</v>
      </c>
      <c r="R206" s="100">
        <f t="shared" si="85"/>
        <v>1276350.1218310012</v>
      </c>
      <c r="S206" s="100">
        <f t="shared" si="85"/>
        <v>729.29649777537657</v>
      </c>
      <c r="T206" s="100">
        <f t="shared" si="85"/>
        <v>6193.9914001916468</v>
      </c>
      <c r="U206" s="100"/>
      <c r="V206" s="102">
        <f t="shared" si="82"/>
        <v>52755868.114919424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1406013.0594503474</v>
      </c>
      <c r="G209" s="100">
        <f t="shared" ref="G209:T210" si="86">IF(VLOOKUP($E209,$D$5:$AJ$946,3,)=0,0,(VLOOKUP($E209,$D$5:$AJ$946,G$1,)/VLOOKUP($E209,$D$5:$AJ$946,3,))*$F209)</f>
        <v>982451.97895945329</v>
      </c>
      <c r="H209" s="100">
        <f t="shared" si="86"/>
        <v>170483.17674531729</v>
      </c>
      <c r="I209" s="100">
        <f t="shared" si="86"/>
        <v>17093.018584074885</v>
      </c>
      <c r="J209" s="100">
        <f t="shared" si="86"/>
        <v>13015.237550504438</v>
      </c>
      <c r="K209" s="100">
        <f t="shared" si="86"/>
        <v>0</v>
      </c>
      <c r="L209" s="100">
        <f t="shared" si="86"/>
        <v>135547.44647774982</v>
      </c>
      <c r="M209" s="100">
        <f t="shared" si="86"/>
        <v>0</v>
      </c>
      <c r="N209" s="100">
        <f t="shared" si="86"/>
        <v>79539.710261181739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7799.2840185721261</v>
      </c>
      <c r="S209" s="100">
        <f t="shared" si="86"/>
        <v>32.668476474828211</v>
      </c>
      <c r="T209" s="100">
        <f t="shared" si="86"/>
        <v>50.538377019086781</v>
      </c>
      <c r="U209" s="100"/>
      <c r="V209" s="102">
        <f>SUM(G209:T209)</f>
        <v>1406013.0594503479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1251182.0854708615</v>
      </c>
      <c r="G210" s="101">
        <f t="shared" si="86"/>
        <v>1000598.804574754</v>
      </c>
      <c r="H210" s="101">
        <f t="shared" si="86"/>
        <v>193609.94623621207</v>
      </c>
      <c r="I210" s="101">
        <f t="shared" si="86"/>
        <v>534.39123995642308</v>
      </c>
      <c r="J210" s="101">
        <f t="shared" si="86"/>
        <v>1377.8000230180819</v>
      </c>
      <c r="K210" s="101">
        <f t="shared" si="86"/>
        <v>0</v>
      </c>
      <c r="L210" s="101">
        <f t="shared" si="86"/>
        <v>10155.756999345762</v>
      </c>
      <c r="M210" s="101">
        <f t="shared" si="86"/>
        <v>0</v>
      </c>
      <c r="N210" s="101">
        <f t="shared" si="86"/>
        <v>1208.1888903362608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43495.832692182601</v>
      </c>
      <c r="S210" s="101">
        <f t="shared" si="86"/>
        <v>1.0326400772104793</v>
      </c>
      <c r="T210" s="101">
        <f t="shared" si="86"/>
        <v>200.332174978833</v>
      </c>
      <c r="U210" s="101"/>
      <c r="V210" s="101">
        <f>SUM(G210:T210)</f>
        <v>1251182.0854708615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2657195.1449212087</v>
      </c>
      <c r="G211" s="100">
        <f t="shared" si="87"/>
        <v>1983050.7835342074</v>
      </c>
      <c r="H211" s="100">
        <f t="shared" si="87"/>
        <v>364093.12298152933</v>
      </c>
      <c r="I211" s="100">
        <f>I209+I210</f>
        <v>17627.409824031307</v>
      </c>
      <c r="J211" s="100">
        <f>J209+J210</f>
        <v>14393.037573522521</v>
      </c>
      <c r="K211" s="100">
        <f>K209+K210</f>
        <v>0</v>
      </c>
      <c r="L211" s="100">
        <f t="shared" si="87"/>
        <v>145703.20347709558</v>
      </c>
      <c r="M211" s="100">
        <f t="shared" si="87"/>
        <v>0</v>
      </c>
      <c r="N211" s="100">
        <f t="shared" si="87"/>
        <v>80747.899151517995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51295.11671075473</v>
      </c>
      <c r="S211" s="100">
        <f t="shared" si="87"/>
        <v>33.701116552038691</v>
      </c>
      <c r="T211" s="100">
        <f t="shared" si="87"/>
        <v>250.87055199791979</v>
      </c>
      <c r="U211" s="100"/>
      <c r="V211" s="102">
        <f>SUM(G211:T211)</f>
        <v>2657195.1449212087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790358.70275707357</v>
      </c>
      <c r="G214" s="100">
        <f t="shared" ref="G214:T214" si="88">IF(VLOOKUP($E214,$D$5:$AJ$946,3,)=0,0,(VLOOKUP($E214,$D$5:$AJ$946,G$1,)/VLOOKUP($E214,$D$5:$AJ$946,3,))*$F214)</f>
        <v>554264.42911722255</v>
      </c>
      <c r="H214" s="100">
        <f t="shared" si="88"/>
        <v>217118.48070323074</v>
      </c>
      <c r="I214" s="100">
        <f t="shared" si="88"/>
        <v>797.29423189321312</v>
      </c>
      <c r="J214" s="100">
        <f t="shared" si="88"/>
        <v>2056.2102690637289</v>
      </c>
      <c r="K214" s="100">
        <f t="shared" si="88"/>
        <v>0</v>
      </c>
      <c r="L214" s="100">
        <f t="shared" si="88"/>
        <v>14318.843548087596</v>
      </c>
      <c r="M214" s="100">
        <f t="shared" si="88"/>
        <v>0</v>
      </c>
      <c r="N214" s="100">
        <f t="shared" si="88"/>
        <v>1803.4448875758444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790358.70275707368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17921938.677439213</v>
      </c>
      <c r="G217" s="100">
        <f t="shared" ref="G217:T217" si="89">IF(VLOOKUP($E217,$D$5:$AJ$946,3,)=0,0,(VLOOKUP($E217,$D$5:$AJ$946,G$1,)/VLOOKUP($E217,$D$5:$AJ$946,3,))*$F217)</f>
        <v>11139786.570952129</v>
      </c>
      <c r="H217" s="100">
        <f t="shared" si="89"/>
        <v>4152006.0189000159</v>
      </c>
      <c r="I217" s="100">
        <f t="shared" si="89"/>
        <v>62518.901077245173</v>
      </c>
      <c r="J217" s="100">
        <f t="shared" si="89"/>
        <v>88070.706244703222</v>
      </c>
      <c r="K217" s="100">
        <f t="shared" si="89"/>
        <v>0</v>
      </c>
      <c r="L217" s="100">
        <f t="shared" si="89"/>
        <v>1092408.6102198828</v>
      </c>
      <c r="M217" s="100">
        <f t="shared" si="89"/>
        <v>248126.92419480332</v>
      </c>
      <c r="N217" s="100">
        <f t="shared" si="89"/>
        <v>175625.73897936466</v>
      </c>
      <c r="O217" s="100">
        <f t="shared" si="89"/>
        <v>551307.1437359273</v>
      </c>
      <c r="P217" s="100">
        <f t="shared" si="89"/>
        <v>375997.82398614852</v>
      </c>
      <c r="Q217" s="100">
        <f t="shared" si="89"/>
        <v>15913.879095176562</v>
      </c>
      <c r="R217" s="100">
        <f t="shared" si="89"/>
        <v>0</v>
      </c>
      <c r="S217" s="100">
        <f t="shared" si="89"/>
        <v>103.46851309649122</v>
      </c>
      <c r="T217" s="100">
        <f t="shared" si="89"/>
        <v>20072.891540719298</v>
      </c>
      <c r="U217" s="100"/>
      <c r="V217" s="102">
        <f>SUM(G217:T217)</f>
        <v>17921938.677439217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792592.22267536237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792592.22267536237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792592.22267536237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33007707.002699856</v>
      </c>
      <c r="H223" s="100">
        <f t="shared" si="91"/>
        <v>12773591.871098267</v>
      </c>
      <c r="I223" s="100">
        <f t="shared" si="91"/>
        <v>238367.61943090404</v>
      </c>
      <c r="J223" s="100">
        <f t="shared" si="91"/>
        <v>454508.03319140233</v>
      </c>
      <c r="K223" s="100">
        <f t="shared" si="91"/>
        <v>0</v>
      </c>
      <c r="L223" s="100">
        <f t="shared" si="91"/>
        <v>1675088.206643861</v>
      </c>
      <c r="M223" s="100">
        <f t="shared" si="91"/>
        <v>66298.389327245022</v>
      </c>
      <c r="N223" s="100">
        <f t="shared" si="91"/>
        <v>996391.97832853778</v>
      </c>
      <c r="O223" s="100">
        <f t="shared" si="91"/>
        <v>530770.34230193263</v>
      </c>
      <c r="P223" s="100">
        <f t="shared" si="91"/>
        <v>45987.322076701748</v>
      </c>
      <c r="Q223" s="100">
        <f t="shared" si="91"/>
        <v>3832.2768397251452</v>
      </c>
      <c r="R223" s="100">
        <f t="shared" si="91"/>
        <v>1434804.4487930946</v>
      </c>
      <c r="S223" s="100">
        <f t="shared" si="91"/>
        <v>0</v>
      </c>
      <c r="T223" s="100">
        <f t="shared" si="91"/>
        <v>6591.5161643272504</v>
      </c>
      <c r="U223" s="100"/>
      <c r="V223" s="102">
        <f>SUM(G223:T223)</f>
        <v>51233939.006895863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4138683.5991828409</v>
      </c>
      <c r="H226" s="100">
        <f t="shared" si="92"/>
        <v>1601621.5599358508</v>
      </c>
      <c r="I226" s="100">
        <f t="shared" si="92"/>
        <v>29887.812474651659</v>
      </c>
      <c r="J226" s="100">
        <f t="shared" si="92"/>
        <v>56988.658512760245</v>
      </c>
      <c r="K226" s="100">
        <f t="shared" si="92"/>
        <v>0</v>
      </c>
      <c r="L226" s="100">
        <f t="shared" si="92"/>
        <v>210031.55679534146</v>
      </c>
      <c r="M226" s="100">
        <f t="shared" si="92"/>
        <v>8312.8481641716025</v>
      </c>
      <c r="N226" s="100">
        <f t="shared" si="92"/>
        <v>124932.97818986223</v>
      </c>
      <c r="O226" s="100">
        <f t="shared" si="92"/>
        <v>66550.836458830468</v>
      </c>
      <c r="P226" s="100">
        <f t="shared" si="92"/>
        <v>5766.1374549167194</v>
      </c>
      <c r="Q226" s="100">
        <f t="shared" si="92"/>
        <v>480.51145457639319</v>
      </c>
      <c r="R226" s="100">
        <f t="shared" si="92"/>
        <v>179903.48859340162</v>
      </c>
      <c r="S226" s="100">
        <f t="shared" si="92"/>
        <v>0</v>
      </c>
      <c r="T226" s="100">
        <f t="shared" si="92"/>
        <v>826.4797018713964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933774238.57748592</v>
      </c>
      <c r="G231" s="100">
        <f>G186+G192+G195+G198+G206+G211+G214+G217+G220+G223+G226+G229</f>
        <v>369750438.26943767</v>
      </c>
      <c r="H231" s="100">
        <f t="shared" ref="H231:T231" si="94">H186+H192+H195+H198+H206+H211+H214+H217+H220+H223+H226+H229</f>
        <v>108040603.16778158</v>
      </c>
      <c r="I231" s="100">
        <f>I186+I192+I195+I198+I206+I211+I214+I217+I220+I223+I226+I229</f>
        <v>10350219.424592916</v>
      </c>
      <c r="J231" s="100">
        <f>J186+J192+J195+J198+J206+J211+J214+J217+J220+J223+J226+J229</f>
        <v>7648650.5128025142</v>
      </c>
      <c r="K231" s="100">
        <f>K186+K192+K195+K198+K206+K211+K214+K217+K220+K223+K226+K229</f>
        <v>0</v>
      </c>
      <c r="L231" s="100">
        <f t="shared" si="94"/>
        <v>95071942.19302471</v>
      </c>
      <c r="M231" s="100">
        <f t="shared" si="94"/>
        <v>7627304.0729848789</v>
      </c>
      <c r="N231" s="100">
        <f t="shared" si="94"/>
        <v>68032729.816723764</v>
      </c>
      <c r="O231" s="100">
        <f>O186+O192+O195+O198+O206+O211+O214+O217+O220+O223+O226+O229</f>
        <v>175040338.85430616</v>
      </c>
      <c r="P231" s="100">
        <f>P186+P192+P195+P198+P206+P211+P214+P217+P220+P223+P226+P229</f>
        <v>61065442.523790225</v>
      </c>
      <c r="Q231" s="100">
        <f t="shared" si="94"/>
        <v>22506318.80624507</v>
      </c>
      <c r="R231" s="100">
        <f t="shared" si="94"/>
        <v>8527055.2071533166</v>
      </c>
      <c r="S231" s="100">
        <f t="shared" si="94"/>
        <v>18421.053384519793</v>
      </c>
      <c r="T231" s="100">
        <f t="shared" si="94"/>
        <v>94774.67525865206</v>
      </c>
      <c r="U231" s="100"/>
      <c r="V231" s="102">
        <f>SUM(G231:T231)</f>
        <v>933774238.57748616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7342586.0711666821</v>
      </c>
      <c r="H237" s="100">
        <f t="shared" si="95"/>
        <v>2062958.5808413553</v>
      </c>
      <c r="I237" s="100">
        <f t="shared" si="95"/>
        <v>238062.99468308227</v>
      </c>
      <c r="J237" s="100">
        <f t="shared" si="95"/>
        <v>137528.12820481081</v>
      </c>
      <c r="K237" s="100">
        <f t="shared" si="95"/>
        <v>0</v>
      </c>
      <c r="L237" s="100">
        <f t="shared" si="95"/>
        <v>2084928.7528153022</v>
      </c>
      <c r="M237" s="100">
        <f t="shared" si="95"/>
        <v>158862.68649737455</v>
      </c>
      <c r="N237" s="100">
        <f t="shared" si="95"/>
        <v>1443112.1588603519</v>
      </c>
      <c r="O237" s="100">
        <f t="shared" si="95"/>
        <v>3627886.6207717238</v>
      </c>
      <c r="P237" s="100">
        <f t="shared" si="95"/>
        <v>1258277.2156023581</v>
      </c>
      <c r="Q237" s="100">
        <f t="shared" si="95"/>
        <v>385086.47797399212</v>
      </c>
      <c r="R237" s="100">
        <f t="shared" si="95"/>
        <v>2414.8429080964338</v>
      </c>
      <c r="S237" s="100">
        <f t="shared" si="95"/>
        <v>9.1841125993893158</v>
      </c>
      <c r="T237" s="100">
        <f t="shared" si="95"/>
        <v>954.62440380215867</v>
      </c>
      <c r="U237" s="100"/>
      <c r="V237" s="102">
        <f t="shared" ref="V237:V243" si="96">SUM(G237:T237)</f>
        <v>18742668.338841535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6926798.1703636609</v>
      </c>
      <c r="H238" s="101">
        <f t="shared" si="95"/>
        <v>1946139.6277561632</v>
      </c>
      <c r="I238" s="101">
        <f t="shared" si="95"/>
        <v>224582.22484820697</v>
      </c>
      <c r="J238" s="101">
        <f t="shared" si="95"/>
        <v>129740.33638685789</v>
      </c>
      <c r="K238" s="101">
        <f t="shared" si="95"/>
        <v>0</v>
      </c>
      <c r="L238" s="101">
        <f t="shared" si="95"/>
        <v>1966865.6969580364</v>
      </c>
      <c r="M238" s="101">
        <f t="shared" si="95"/>
        <v>149866.7847409003</v>
      </c>
      <c r="N238" s="101">
        <f t="shared" si="95"/>
        <v>1361393.1882769372</v>
      </c>
      <c r="O238" s="101">
        <f t="shared" si="95"/>
        <v>3422450.6411615647</v>
      </c>
      <c r="P238" s="101">
        <f t="shared" si="95"/>
        <v>1187024.8752099157</v>
      </c>
      <c r="Q238" s="101">
        <f t="shared" si="95"/>
        <v>363280.223780639</v>
      </c>
      <c r="R238" s="101">
        <f t="shared" si="95"/>
        <v>2278.0978357479748</v>
      </c>
      <c r="S238" s="101">
        <f t="shared" si="95"/>
        <v>8.66404475661197</v>
      </c>
      <c r="T238" s="101">
        <f t="shared" si="95"/>
        <v>900.56698138107333</v>
      </c>
      <c r="U238" s="101"/>
      <c r="V238" s="101">
        <f t="shared" si="96"/>
        <v>17681329.098344773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7103415.2996809352</v>
      </c>
      <c r="H239" s="101">
        <f t="shared" si="95"/>
        <v>1995761.6299931414</v>
      </c>
      <c r="I239" s="101">
        <f t="shared" si="95"/>
        <v>230308.5455627449</v>
      </c>
      <c r="J239" s="101">
        <f t="shared" si="95"/>
        <v>133048.41108540239</v>
      </c>
      <c r="K239" s="101">
        <f t="shared" si="95"/>
        <v>0</v>
      </c>
      <c r="L239" s="101">
        <f t="shared" si="95"/>
        <v>2017016.1654148228</v>
      </c>
      <c r="M239" s="101">
        <f t="shared" si="95"/>
        <v>153688.03673207216</v>
      </c>
      <c r="N239" s="101">
        <f t="shared" si="95"/>
        <v>1396105.5259070867</v>
      </c>
      <c r="O239" s="101">
        <f t="shared" si="95"/>
        <v>3509715.1164076054</v>
      </c>
      <c r="P239" s="101">
        <f t="shared" si="95"/>
        <v>1217291.2292643408</v>
      </c>
      <c r="Q239" s="101">
        <f t="shared" si="95"/>
        <v>372543.01860789245</v>
      </c>
      <c r="R239" s="101">
        <f t="shared" si="95"/>
        <v>2336.1839947723797</v>
      </c>
      <c r="S239" s="101">
        <f t="shared" si="95"/>
        <v>8.8849576048794745</v>
      </c>
      <c r="T239" s="101">
        <f t="shared" si="95"/>
        <v>923.52933008786374</v>
      </c>
      <c r="U239" s="101"/>
      <c r="V239" s="101">
        <f t="shared" si="96"/>
        <v>18132161.57693851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13040849.56225881</v>
      </c>
      <c r="H240" s="101">
        <f t="shared" si="95"/>
        <v>3863429.5695431032</v>
      </c>
      <c r="I240" s="101">
        <f t="shared" si="95"/>
        <v>454954.23683070461</v>
      </c>
      <c r="J240" s="101">
        <f t="shared" si="95"/>
        <v>325101.16130305233</v>
      </c>
      <c r="K240" s="101">
        <f t="shared" si="95"/>
        <v>0</v>
      </c>
      <c r="L240" s="101">
        <f t="shared" si="95"/>
        <v>4439069.059153026</v>
      </c>
      <c r="M240" s="101">
        <f t="shared" si="95"/>
        <v>354624.2534711312</v>
      </c>
      <c r="N240" s="101">
        <f t="shared" si="95"/>
        <v>3278890.3966079443</v>
      </c>
      <c r="O240" s="101">
        <f t="shared" si="95"/>
        <v>8599638.1466749273</v>
      </c>
      <c r="P240" s="101">
        <f t="shared" si="95"/>
        <v>3062620.7524580299</v>
      </c>
      <c r="Q240" s="101">
        <f t="shared" si="95"/>
        <v>1130640.8251964052</v>
      </c>
      <c r="R240" s="101">
        <f t="shared" si="95"/>
        <v>264674.73050564423</v>
      </c>
      <c r="S240" s="101">
        <f t="shared" si="95"/>
        <v>956.33188164479918</v>
      </c>
      <c r="T240" s="101">
        <f t="shared" si="95"/>
        <v>3187.904408707373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34413649.103470087</v>
      </c>
      <c r="H243" s="100">
        <f t="shared" si="99"/>
        <v>9868289.4081337638</v>
      </c>
      <c r="I243" s="100">
        <f>SUM(I237:I242)</f>
        <v>1147908.0019247388</v>
      </c>
      <c r="J243" s="100">
        <f>SUM(J237:J242)</f>
        <v>725418.03698012338</v>
      </c>
      <c r="K243" s="100">
        <f>SUM(K237:K242)</f>
        <v>0</v>
      </c>
      <c r="L243" s="100">
        <f t="shared" si="99"/>
        <v>10507879.674341187</v>
      </c>
      <c r="M243" s="100">
        <f t="shared" si="99"/>
        <v>817041.76144147816</v>
      </c>
      <c r="N243" s="100">
        <f t="shared" si="99"/>
        <v>7479501.2696523201</v>
      </c>
      <c r="O243" s="100">
        <f t="shared" si="99"/>
        <v>19159690.525015824</v>
      </c>
      <c r="P243" s="100">
        <f>SUM(P237:P242)</f>
        <v>6725214.072534645</v>
      </c>
      <c r="Q243" s="100">
        <f t="shared" si="99"/>
        <v>2251550.5455589285</v>
      </c>
      <c r="R243" s="100">
        <f t="shared" si="99"/>
        <v>271703.85524426104</v>
      </c>
      <c r="S243" s="100">
        <f t="shared" si="99"/>
        <v>983.06499660567999</v>
      </c>
      <c r="T243" s="100">
        <f t="shared" si="99"/>
        <v>5966.6251239784688</v>
      </c>
      <c r="U243" s="100"/>
      <c r="V243" s="102">
        <f t="shared" si="96"/>
        <v>93374795.944417939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5061300.7271829089</v>
      </c>
      <c r="H246" s="100">
        <f t="shared" si="100"/>
        <v>1233074.4833277897</v>
      </c>
      <c r="I246" s="100">
        <f t="shared" si="100"/>
        <v>169596.45518892867</v>
      </c>
      <c r="J246" s="100">
        <f t="shared" si="100"/>
        <v>129136.5807015296</v>
      </c>
      <c r="K246" s="100">
        <f t="shared" si="100"/>
        <v>0</v>
      </c>
      <c r="L246" s="100">
        <f t="shared" si="100"/>
        <v>1088948.9801201485</v>
      </c>
      <c r="M246" s="100">
        <f t="shared" si="100"/>
        <v>89075.665089441653</v>
      </c>
      <c r="N246" s="100">
        <f t="shared" si="100"/>
        <v>704852.29792511358</v>
      </c>
      <c r="O246" s="100">
        <f t="shared" si="100"/>
        <v>1855293.0449241109</v>
      </c>
      <c r="P246" s="100">
        <f t="shared" si="100"/>
        <v>725545.06752778217</v>
      </c>
      <c r="Q246" s="100">
        <f t="shared" si="100"/>
        <v>416100.70329176111</v>
      </c>
      <c r="R246" s="100">
        <f t="shared" si="100"/>
        <v>91391.705703559681</v>
      </c>
      <c r="S246" s="100">
        <f t="shared" si="100"/>
        <v>382.80793219757163</v>
      </c>
      <c r="T246" s="100">
        <f t="shared" si="100"/>
        <v>592.86843205897765</v>
      </c>
      <c r="U246" s="100"/>
      <c r="V246" s="102">
        <f>SUM(G246:T246)</f>
        <v>11565291.387347333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5061300.7271829089</v>
      </c>
      <c r="H249" s="100">
        <f t="shared" si="101"/>
        <v>1233074.4833277897</v>
      </c>
      <c r="I249" s="100">
        <f>SUM(I246:I248)</f>
        <v>169596.45518892867</v>
      </c>
      <c r="J249" s="100">
        <f>SUM(J246:J248)</f>
        <v>129136.5807015296</v>
      </c>
      <c r="K249" s="100">
        <f>SUM(K246:K248)</f>
        <v>0</v>
      </c>
      <c r="L249" s="100">
        <f t="shared" si="101"/>
        <v>1088948.9801201485</v>
      </c>
      <c r="M249" s="100">
        <f t="shared" si="101"/>
        <v>89075.665089441653</v>
      </c>
      <c r="N249" s="100">
        <f t="shared" si="101"/>
        <v>704852.29792511358</v>
      </c>
      <c r="O249" s="100">
        <f t="shared" si="101"/>
        <v>1855293.0449241109</v>
      </c>
      <c r="P249" s="100">
        <f>SUM(P246:P248)</f>
        <v>725545.06752778217</v>
      </c>
      <c r="Q249" s="100">
        <f t="shared" si="101"/>
        <v>416100.70329176111</v>
      </c>
      <c r="R249" s="100">
        <f t="shared" si="101"/>
        <v>91391.705703559681</v>
      </c>
      <c r="S249" s="100">
        <f t="shared" si="101"/>
        <v>382.80793219757163</v>
      </c>
      <c r="T249" s="100">
        <f t="shared" si="101"/>
        <v>592.86843205897765</v>
      </c>
      <c r="U249" s="100"/>
      <c r="V249" s="102">
        <f>SUM(G249:T249)</f>
        <v>11565291.387347333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4046690.3513230029</v>
      </c>
      <c r="G255" s="100">
        <f t="shared" ref="G255:T255" si="103">IF(VLOOKUP($E255,$D$5:$AJ$946,3,)=0,0,(VLOOKUP($E255,$D$5:$AJ$946,G$1,)/VLOOKUP($E255,$D$5:$AJ$946,3,))*$F255)</f>
        <v>1964909.1662670851</v>
      </c>
      <c r="H255" s="100">
        <f t="shared" si="103"/>
        <v>478706.8553283505</v>
      </c>
      <c r="I255" s="100">
        <f t="shared" si="103"/>
        <v>65841.104358288416</v>
      </c>
      <c r="J255" s="100">
        <f t="shared" si="103"/>
        <v>50133.683967452351</v>
      </c>
      <c r="K255" s="100">
        <f t="shared" si="103"/>
        <v>0</v>
      </c>
      <c r="L255" s="100">
        <f t="shared" si="103"/>
        <v>422754.13929537649</v>
      </c>
      <c r="M255" s="100">
        <f t="shared" si="103"/>
        <v>34581.148258107787</v>
      </c>
      <c r="N255" s="100">
        <f t="shared" si="103"/>
        <v>273639.29071022436</v>
      </c>
      <c r="O255" s="100">
        <f t="shared" si="103"/>
        <v>720265.89736192406</v>
      </c>
      <c r="P255" s="100">
        <f t="shared" si="103"/>
        <v>0</v>
      </c>
      <c r="Q255" s="100">
        <f t="shared" si="103"/>
        <v>0</v>
      </c>
      <c r="R255" s="100">
        <f t="shared" si="103"/>
        <v>35480.286577964216</v>
      </c>
      <c r="S255" s="100">
        <f t="shared" si="103"/>
        <v>148.61452726074589</v>
      </c>
      <c r="T255" s="100">
        <f t="shared" si="103"/>
        <v>230.16467096818306</v>
      </c>
      <c r="U255" s="100"/>
      <c r="V255" s="102">
        <f>SUM(G255:T255)</f>
        <v>4046690.351323002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4830954.0465032104</v>
      </c>
      <c r="G259" s="101">
        <f t="shared" si="104"/>
        <v>2345715.897112275</v>
      </c>
      <c r="H259" s="101">
        <f t="shared" si="104"/>
        <v>571482.0307615702</v>
      </c>
      <c r="I259" s="101">
        <f t="shared" si="104"/>
        <v>78601.356148222141</v>
      </c>
      <c r="J259" s="101">
        <f t="shared" si="104"/>
        <v>59849.779054504535</v>
      </c>
      <c r="K259" s="101">
        <f t="shared" si="104"/>
        <v>0</v>
      </c>
      <c r="L259" s="101">
        <f t="shared" si="104"/>
        <v>504685.46950652666</v>
      </c>
      <c r="M259" s="101">
        <f t="shared" si="104"/>
        <v>41283.103871690008</v>
      </c>
      <c r="N259" s="101">
        <f t="shared" si="104"/>
        <v>326671.60666410747</v>
      </c>
      <c r="O259" s="101">
        <f t="shared" si="104"/>
        <v>859856.11680944683</v>
      </c>
      <c r="P259" s="101">
        <f t="shared" si="104"/>
        <v>0</v>
      </c>
      <c r="Q259" s="101">
        <f t="shared" si="104"/>
        <v>0</v>
      </c>
      <c r="R259" s="101">
        <f t="shared" si="104"/>
        <v>42356.498554151047</v>
      </c>
      <c r="S259" s="101">
        <f t="shared" si="104"/>
        <v>177.41657737779204</v>
      </c>
      <c r="T259" s="101">
        <f t="shared" si="104"/>
        <v>274.7714433382086</v>
      </c>
      <c r="U259" s="101"/>
      <c r="V259" s="101">
        <f t="shared" si="105"/>
        <v>4830954.0465032104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7668802.5696673645</v>
      </c>
      <c r="G260" s="101">
        <f t="shared" si="104"/>
        <v>6127795.3609610042</v>
      </c>
      <c r="H260" s="101">
        <f t="shared" si="104"/>
        <v>1185692.1325089736</v>
      </c>
      <c r="I260" s="101">
        <f t="shared" si="104"/>
        <v>3272.6804651089528</v>
      </c>
      <c r="J260" s="101">
        <f t="shared" si="104"/>
        <v>8437.8239817809099</v>
      </c>
      <c r="K260" s="101">
        <f t="shared" si="104"/>
        <v>0</v>
      </c>
      <c r="L260" s="101">
        <f t="shared" si="104"/>
        <v>62195.15788257058</v>
      </c>
      <c r="M260" s="101">
        <f t="shared" si="104"/>
        <v>2461.6248715819515</v>
      </c>
      <c r="N260" s="101">
        <f t="shared" si="104"/>
        <v>7399.1036602463282</v>
      </c>
      <c r="O260" s="101">
        <f t="shared" si="104"/>
        <v>3941.4456036312172</v>
      </c>
      <c r="P260" s="101">
        <f t="shared" si="104"/>
        <v>0</v>
      </c>
      <c r="Q260" s="101">
        <f t="shared" si="104"/>
        <v>0</v>
      </c>
      <c r="R260" s="101">
        <f t="shared" si="104"/>
        <v>266374.05578909029</v>
      </c>
      <c r="S260" s="101">
        <f t="shared" si="104"/>
        <v>6.3240202224327584</v>
      </c>
      <c r="T260" s="101">
        <f t="shared" si="104"/>
        <v>1226.8599231519554</v>
      </c>
      <c r="U260" s="101"/>
      <c r="V260" s="101">
        <f t="shared" si="105"/>
        <v>7668802.5696673626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2457476.1256506187</v>
      </c>
      <c r="G261" s="101">
        <f t="shared" si="104"/>
        <v>2027290.0920151565</v>
      </c>
      <c r="H261" s="101">
        <f t="shared" si="104"/>
        <v>351792.11042671686</v>
      </c>
      <c r="I261" s="101">
        <f t="shared" si="104"/>
        <v>35271.451389234877</v>
      </c>
      <c r="J261" s="101">
        <f t="shared" si="104"/>
        <v>26856.948427451054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16093.82601316535</v>
      </c>
      <c r="S261" s="101">
        <f t="shared" si="104"/>
        <v>67.411415618292295</v>
      </c>
      <c r="T261" s="101">
        <f t="shared" si="104"/>
        <v>104.28596327510635</v>
      </c>
      <c r="U261" s="101"/>
      <c r="V261" s="101">
        <f t="shared" si="105"/>
        <v>2457476.1256506182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3623335.6304890811</v>
      </c>
      <c r="G262" s="101">
        <f t="shared" si="104"/>
        <v>2924223.46850419</v>
      </c>
      <c r="H262" s="101">
        <f t="shared" si="104"/>
        <v>565819.93295542512</v>
      </c>
      <c r="I262" s="101">
        <f t="shared" si="104"/>
        <v>1561.7442256567074</v>
      </c>
      <c r="J262" s="101">
        <f t="shared" si="104"/>
        <v>4026.5840252801199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127115.41744712305</v>
      </c>
      <c r="S262" s="101">
        <f t="shared" si="104"/>
        <v>3.0178632379839754</v>
      </c>
      <c r="T262" s="101">
        <f t="shared" si="104"/>
        <v>585.46546816889133</v>
      </c>
      <c r="U262" s="101"/>
      <c r="V262" s="101">
        <f t="shared" si="105"/>
        <v>3623335.6304890816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18580568.372310273</v>
      </c>
      <c r="G263" s="100">
        <f t="shared" ref="G263:T263" si="108">SUM(G258:G262)</f>
        <v>13425024.818592627</v>
      </c>
      <c r="H263" s="100">
        <f t="shared" si="108"/>
        <v>2674786.206652686</v>
      </c>
      <c r="I263" s="100">
        <f>SUM(I258:I262)</f>
        <v>118707.23222822267</v>
      </c>
      <c r="J263" s="100">
        <f>SUM(J258:J262)</f>
        <v>99171.135489016626</v>
      </c>
      <c r="K263" s="100">
        <f>SUM(K258:K262)</f>
        <v>0</v>
      </c>
      <c r="L263" s="100">
        <f t="shared" si="108"/>
        <v>566880.62738909724</v>
      </c>
      <c r="M263" s="100">
        <f t="shared" si="108"/>
        <v>43744.72874327196</v>
      </c>
      <c r="N263" s="100">
        <f t="shared" si="108"/>
        <v>334070.71032435377</v>
      </c>
      <c r="O263" s="100">
        <f t="shared" si="108"/>
        <v>863797.56241307803</v>
      </c>
      <c r="P263" s="100">
        <f>SUM(P258:P262)</f>
        <v>0</v>
      </c>
      <c r="Q263" s="100">
        <f t="shared" si="108"/>
        <v>0</v>
      </c>
      <c r="R263" s="100">
        <f t="shared" si="108"/>
        <v>451939.79780352971</v>
      </c>
      <c r="S263" s="100">
        <f t="shared" si="108"/>
        <v>254.16987645650107</v>
      </c>
      <c r="T263" s="100">
        <f t="shared" si="108"/>
        <v>2191.3827979341618</v>
      </c>
      <c r="U263" s="100"/>
      <c r="V263" s="102">
        <f t="shared" si="105"/>
        <v>18580568.372310273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644545.6468455724</v>
      </c>
      <c r="G266" s="100">
        <f t="shared" ref="G266:T267" si="109">IF(VLOOKUP($E266,$D$5:$AJ$946,3,)=0,0,(VLOOKUP($E266,$D$5:$AJ$946,G$1,)/VLOOKUP($E266,$D$5:$AJ$946,3,))*$F266)</f>
        <v>450376.43286235479</v>
      </c>
      <c r="H266" s="100">
        <f t="shared" si="109"/>
        <v>78153.036127954314</v>
      </c>
      <c r="I266" s="100">
        <f t="shared" si="109"/>
        <v>7835.7954399960563</v>
      </c>
      <c r="J266" s="100">
        <f t="shared" si="109"/>
        <v>5966.4557519246264</v>
      </c>
      <c r="K266" s="100">
        <f t="shared" si="109"/>
        <v>0</v>
      </c>
      <c r="L266" s="100">
        <f t="shared" si="109"/>
        <v>62137.770329402949</v>
      </c>
      <c r="M266" s="100">
        <f t="shared" si="109"/>
        <v>0</v>
      </c>
      <c r="N266" s="100">
        <f t="shared" si="109"/>
        <v>36462.658476475735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3575.3541042130214</v>
      </c>
      <c r="S266" s="100">
        <f t="shared" si="109"/>
        <v>14.975909476373612</v>
      </c>
      <c r="T266" s="100">
        <f t="shared" si="109"/>
        <v>23.167843774528642</v>
      </c>
      <c r="U266" s="100"/>
      <c r="V266" s="102">
        <f>SUM(G266:T266)</f>
        <v>644545.64684557263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573567.9062018611</v>
      </c>
      <c r="G267" s="101">
        <f t="shared" si="109"/>
        <v>458695.31537613476</v>
      </c>
      <c r="H267" s="101">
        <f t="shared" si="109"/>
        <v>88754.828551407714</v>
      </c>
      <c r="I267" s="101">
        <f t="shared" si="109"/>
        <v>244.97606555729422</v>
      </c>
      <c r="J267" s="101">
        <f t="shared" si="109"/>
        <v>631.6122038064151</v>
      </c>
      <c r="K267" s="101">
        <f t="shared" si="109"/>
        <v>0</v>
      </c>
      <c r="L267" s="101">
        <f t="shared" si="109"/>
        <v>4655.6103589171007</v>
      </c>
      <c r="M267" s="101">
        <f t="shared" si="109"/>
        <v>0</v>
      </c>
      <c r="N267" s="101">
        <f t="shared" si="109"/>
        <v>553.85893082518703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19939.394893408291</v>
      </c>
      <c r="S267" s="101">
        <f t="shared" si="109"/>
        <v>0.47338370155998888</v>
      </c>
      <c r="T267" s="101">
        <f t="shared" si="109"/>
        <v>91.836438102637842</v>
      </c>
      <c r="U267" s="101"/>
      <c r="V267" s="101">
        <f>SUM(G267:T267)</f>
        <v>573567.90620186098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1218113.5530474335</v>
      </c>
      <c r="G268" s="100">
        <f t="shared" si="110"/>
        <v>909071.7482384895</v>
      </c>
      <c r="H268" s="100">
        <f t="shared" si="110"/>
        <v>166907.86467936204</v>
      </c>
      <c r="I268" s="100">
        <f>I266+I267</f>
        <v>8080.7715055533508</v>
      </c>
      <c r="J268" s="100">
        <f>J266+J267</f>
        <v>6598.0679557310414</v>
      </c>
      <c r="K268" s="100">
        <f>K266+K267</f>
        <v>0</v>
      </c>
      <c r="L268" s="100">
        <f t="shared" si="110"/>
        <v>66793.380688320045</v>
      </c>
      <c r="M268" s="100">
        <f t="shared" si="110"/>
        <v>0</v>
      </c>
      <c r="N268" s="100">
        <f t="shared" si="110"/>
        <v>37016.517407300926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23514.748997621311</v>
      </c>
      <c r="S268" s="100">
        <f t="shared" si="110"/>
        <v>15.449293177933601</v>
      </c>
      <c r="T268" s="100">
        <f t="shared" si="110"/>
        <v>115.00428187716648</v>
      </c>
      <c r="U268" s="100"/>
      <c r="V268" s="102">
        <f>SUM(G268:T268)</f>
        <v>1218113.5530474333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356370.0044785231</v>
      </c>
      <c r="G271" s="100">
        <f t="shared" ref="G271:T271" si="111">IF(VLOOKUP($E271,$D$5:$AJ$946,3,)=0,0,(VLOOKUP($E271,$D$5:$AJ$946,G$1,)/VLOOKUP($E271,$D$5:$AJ$946,3,))*$F271)</f>
        <v>249915.91336661958</v>
      </c>
      <c r="H271" s="100">
        <f t="shared" si="111"/>
        <v>97897.971731909274</v>
      </c>
      <c r="I271" s="100">
        <f t="shared" si="111"/>
        <v>359.49721056948539</v>
      </c>
      <c r="J271" s="100">
        <f t="shared" si="111"/>
        <v>927.13809595420196</v>
      </c>
      <c r="K271" s="100">
        <f t="shared" si="111"/>
        <v>0</v>
      </c>
      <c r="L271" s="100">
        <f t="shared" si="111"/>
        <v>6456.3170134759157</v>
      </c>
      <c r="M271" s="100">
        <f t="shared" si="111"/>
        <v>0</v>
      </c>
      <c r="N271" s="100">
        <f t="shared" si="111"/>
        <v>813.16705999467308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356370.00447852316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10892600.321030885</v>
      </c>
      <c r="G274" s="100">
        <f t="shared" ref="G274:T274" si="112">IF(VLOOKUP($E274,$D$5:$AJ$946,3,)=0,0,(VLOOKUP($E274,$D$5:$AJ$946,G$1,)/VLOOKUP($E274,$D$5:$AJ$946,3,))*$F274)</f>
        <v>6770542.2366899103</v>
      </c>
      <c r="H274" s="100">
        <f t="shared" si="112"/>
        <v>2523507.2448565396</v>
      </c>
      <c r="I274" s="100">
        <f t="shared" si="112"/>
        <v>37997.753156122453</v>
      </c>
      <c r="J274" s="100">
        <f t="shared" si="112"/>
        <v>53527.635619136265</v>
      </c>
      <c r="K274" s="100">
        <f t="shared" si="112"/>
        <v>0</v>
      </c>
      <c r="L274" s="100">
        <f t="shared" si="112"/>
        <v>663944.37524535821</v>
      </c>
      <c r="M274" s="100">
        <f t="shared" si="112"/>
        <v>150806.64334283417</v>
      </c>
      <c r="N274" s="100">
        <f t="shared" si="112"/>
        <v>106741.85506482588</v>
      </c>
      <c r="O274" s="100">
        <f t="shared" si="112"/>
        <v>335073.59214458789</v>
      </c>
      <c r="P274" s="100">
        <f t="shared" si="112"/>
        <v>228524.05043736243</v>
      </c>
      <c r="Q274" s="100">
        <f t="shared" si="112"/>
        <v>9672.1413715792951</v>
      </c>
      <c r="R274" s="100">
        <f t="shared" si="112"/>
        <v>0</v>
      </c>
      <c r="S274" s="100">
        <f t="shared" si="112"/>
        <v>62.886118475016822</v>
      </c>
      <c r="T274" s="100">
        <f t="shared" si="112"/>
        <v>12199.906984153264</v>
      </c>
      <c r="U274" s="100"/>
      <c r="V274" s="102">
        <f>SUM(G274:T274)</f>
        <v>10892600.321030887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421765.11680222803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421765.11680222803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421765.11680222803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17569790.454219982</v>
      </c>
      <c r="H280" s="100">
        <f t="shared" si="114"/>
        <v>6799300.9179512886</v>
      </c>
      <c r="I280" s="100">
        <f t="shared" si="114"/>
        <v>126881.55296972547</v>
      </c>
      <c r="J280" s="100">
        <f t="shared" si="114"/>
        <v>241931.70710947656</v>
      </c>
      <c r="K280" s="100">
        <f t="shared" si="114"/>
        <v>0</v>
      </c>
      <c r="L280" s="100">
        <f t="shared" si="114"/>
        <v>891638.6945830707</v>
      </c>
      <c r="M280" s="100">
        <f t="shared" si="114"/>
        <v>35290.206854923643</v>
      </c>
      <c r="N280" s="100">
        <f t="shared" si="114"/>
        <v>530373.05099885236</v>
      </c>
      <c r="O280" s="100">
        <f t="shared" si="114"/>
        <v>282525.64447438868</v>
      </c>
      <c r="P280" s="100">
        <f t="shared" si="114"/>
        <v>24478.756199947034</v>
      </c>
      <c r="Q280" s="100">
        <f t="shared" si="114"/>
        <v>2039.8963499955862</v>
      </c>
      <c r="R280" s="100">
        <f t="shared" si="114"/>
        <v>763737.19343834743</v>
      </c>
      <c r="S280" s="100">
        <f t="shared" si="114"/>
        <v>0</v>
      </c>
      <c r="T280" s="100">
        <f t="shared" si="114"/>
        <v>3508.6217219924083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2415231.7937926077</v>
      </c>
      <c r="H283" s="100">
        <f t="shared" si="115"/>
        <v>934666.11314393557</v>
      </c>
      <c r="I283" s="100">
        <f t="shared" si="115"/>
        <v>17441.776643651308</v>
      </c>
      <c r="J283" s="100">
        <f t="shared" si="115"/>
        <v>33257.14967744446</v>
      </c>
      <c r="K283" s="100">
        <f t="shared" si="115"/>
        <v>0</v>
      </c>
      <c r="L283" s="100">
        <f t="shared" si="115"/>
        <v>122569.14101189688</v>
      </c>
      <c r="M283" s="100">
        <f t="shared" si="115"/>
        <v>4851.1693880252033</v>
      </c>
      <c r="N283" s="100">
        <f t="shared" si="115"/>
        <v>72907.748028124435</v>
      </c>
      <c r="O283" s="100">
        <f t="shared" si="115"/>
        <v>38837.396545750904</v>
      </c>
      <c r="P283" s="100">
        <f t="shared" si="115"/>
        <v>3364.9729859134359</v>
      </c>
      <c r="Q283" s="100">
        <f t="shared" si="115"/>
        <v>280.4144154927863</v>
      </c>
      <c r="R283" s="100">
        <f t="shared" si="115"/>
        <v>104987.15716049919</v>
      </c>
      <c r="S283" s="100">
        <f t="shared" si="115"/>
        <v>0</v>
      </c>
      <c r="T283" s="100">
        <f t="shared" si="115"/>
        <v>482.31279464759245</v>
      </c>
      <c r="U283" s="100"/>
      <c r="V283" s="102">
        <f>SUM(G283:T283)</f>
        <v>3748877.1455879891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82779435.961820304</v>
      </c>
      <c r="H288" s="100">
        <f t="shared" si="117"/>
        <v>24777137.065805625</v>
      </c>
      <c r="I288" s="100">
        <f>I243+I249+I252+I255+I263+I268+I271+I274+I277+I280+I283+I286</f>
        <v>1692814.1451858007</v>
      </c>
      <c r="J288" s="100">
        <f>J243+J249+J252+J255+J263+J268+J271+J274+J277+J280+J283+J286</f>
        <v>1340101.1355958644</v>
      </c>
      <c r="K288" s="100">
        <f>K243+K249+K252+K255+K263+K268+K271+K274+K277+K280+K283+K286</f>
        <v>0</v>
      </c>
      <c r="L288" s="100">
        <f t="shared" si="117"/>
        <v>14337865.329687934</v>
      </c>
      <c r="M288" s="100">
        <f t="shared" si="117"/>
        <v>1175391.3231180827</v>
      </c>
      <c r="N288" s="100">
        <f t="shared" si="117"/>
        <v>9539915.9071711116</v>
      </c>
      <c r="O288" s="100">
        <f>O243+O249+O252+O255+O263+O268+O271+O274+O277+O280+O283+O286</f>
        <v>23255483.662879657</v>
      </c>
      <c r="P288" s="100">
        <f>P243+P249+P252+P255+P263+P268+P271+P274+P277+P280+P283+P286</f>
        <v>7707126.9196856497</v>
      </c>
      <c r="Q288" s="100">
        <f t="shared" si="117"/>
        <v>2679643.7009877572</v>
      </c>
      <c r="R288" s="100">
        <f t="shared" si="117"/>
        <v>2164519.8617280107</v>
      </c>
      <c r="S288" s="100">
        <f t="shared" si="117"/>
        <v>1846.9927441734492</v>
      </c>
      <c r="T288" s="100">
        <f t="shared" si="117"/>
        <v>25286.886807610223</v>
      </c>
      <c r="U288" s="100"/>
      <c r="V288" s="102">
        <f>SUM(G288:T288)</f>
        <v>171476568.89321759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20702716.343329754</v>
      </c>
      <c r="H294" s="100">
        <f t="shared" si="118"/>
        <v>5816594.577611886</v>
      </c>
      <c r="I294" s="100">
        <f t="shared" si="118"/>
        <v>671228.17533201375</v>
      </c>
      <c r="J294" s="100">
        <f t="shared" si="118"/>
        <v>387766.0813039522</v>
      </c>
      <c r="K294" s="100">
        <f t="shared" si="118"/>
        <v>0</v>
      </c>
      <c r="L294" s="100">
        <f t="shared" si="118"/>
        <v>5878540.3599264985</v>
      </c>
      <c r="M294" s="100">
        <f t="shared" si="118"/>
        <v>447919.72531442012</v>
      </c>
      <c r="N294" s="100">
        <f t="shared" si="118"/>
        <v>4068912.6946453303</v>
      </c>
      <c r="O294" s="100">
        <f t="shared" si="118"/>
        <v>10228972.041680699</v>
      </c>
      <c r="P294" s="100">
        <f t="shared" si="118"/>
        <v>3547763.1482161549</v>
      </c>
      <c r="Q294" s="100">
        <f t="shared" si="118"/>
        <v>1085766.791683072</v>
      </c>
      <c r="R294" s="100">
        <f t="shared" si="118"/>
        <v>6808.7465717754067</v>
      </c>
      <c r="S294" s="100">
        <f t="shared" si="118"/>
        <v>25.894974354743479</v>
      </c>
      <c r="T294" s="100">
        <f t="shared" si="118"/>
        <v>2691.6018491011205</v>
      </c>
      <c r="U294" s="100"/>
      <c r="V294" s="102">
        <f t="shared" ref="V294:V300" si="119">SUM(G294:T294)</f>
        <v>52845706.182439014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21687405.734046582</v>
      </c>
      <c r="H295" s="101">
        <f t="shared" si="118"/>
        <v>6093250.9774625655</v>
      </c>
      <c r="I295" s="101">
        <f t="shared" si="118"/>
        <v>703153.99859300826</v>
      </c>
      <c r="J295" s="101">
        <f t="shared" si="118"/>
        <v>406209.51355736575</v>
      </c>
      <c r="K295" s="101">
        <f t="shared" si="118"/>
        <v>0</v>
      </c>
      <c r="L295" s="101">
        <f t="shared" si="118"/>
        <v>6158143.1052534571</v>
      </c>
      <c r="M295" s="101">
        <f t="shared" si="118"/>
        <v>469224.26304248552</v>
      </c>
      <c r="N295" s="101">
        <f t="shared" si="118"/>
        <v>4262443.5867140507</v>
      </c>
      <c r="O295" s="101">
        <f t="shared" si="118"/>
        <v>10715495.649517663</v>
      </c>
      <c r="P295" s="101">
        <f t="shared" si="118"/>
        <v>3716506.4510219307</v>
      </c>
      <c r="Q295" s="101">
        <f t="shared" si="118"/>
        <v>1137409.4371616899</v>
      </c>
      <c r="R295" s="101">
        <f t="shared" si="118"/>
        <v>7132.5929889373238</v>
      </c>
      <c r="S295" s="101">
        <f t="shared" si="118"/>
        <v>27.126624641456491</v>
      </c>
      <c r="T295" s="101">
        <f t="shared" si="118"/>
        <v>2819.6233000493967</v>
      </c>
      <c r="U295" s="101"/>
      <c r="V295" s="101">
        <f t="shared" si="119"/>
        <v>55359222.059284434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17826974.383006629</v>
      </c>
      <c r="H296" s="101">
        <f t="shared" si="118"/>
        <v>5008631.7569061974</v>
      </c>
      <c r="I296" s="101">
        <f t="shared" si="118"/>
        <v>577990.21579365979</v>
      </c>
      <c r="J296" s="101">
        <f t="shared" si="118"/>
        <v>333902.85039729276</v>
      </c>
      <c r="K296" s="101">
        <f t="shared" si="118"/>
        <v>0</v>
      </c>
      <c r="L296" s="101">
        <f t="shared" si="118"/>
        <v>5061972.8671327159</v>
      </c>
      <c r="M296" s="101">
        <f t="shared" si="118"/>
        <v>385700.76198702556</v>
      </c>
      <c r="N296" s="101">
        <f t="shared" si="118"/>
        <v>3503714.2552312184</v>
      </c>
      <c r="O296" s="101">
        <f t="shared" si="118"/>
        <v>8808101.2910310701</v>
      </c>
      <c r="P296" s="101">
        <f t="shared" si="118"/>
        <v>3054955.7706035832</v>
      </c>
      <c r="Q296" s="101">
        <f t="shared" si="118"/>
        <v>934946.7219788162</v>
      </c>
      <c r="R296" s="101">
        <f t="shared" si="118"/>
        <v>5862.9673856557383</v>
      </c>
      <c r="S296" s="101">
        <f t="shared" si="118"/>
        <v>22.297993983739179</v>
      </c>
      <c r="T296" s="101">
        <f t="shared" si="118"/>
        <v>2317.7208448126526</v>
      </c>
      <c r="U296" s="101"/>
      <c r="V296" s="101">
        <f t="shared" si="119"/>
        <v>45505093.860292651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60217096.460382968</v>
      </c>
      <c r="H300" s="100">
        <f t="shared" si="122"/>
        <v>16918477.31198065</v>
      </c>
      <c r="I300" s="100">
        <f>SUM(I294:I299)</f>
        <v>1952372.389718682</v>
      </c>
      <c r="J300" s="100">
        <f>SUM(J294:J299)</f>
        <v>1127878.4452586106</v>
      </c>
      <c r="K300" s="100">
        <f>SUM(K294:K299)</f>
        <v>0</v>
      </c>
      <c r="L300" s="100">
        <f t="shared" si="122"/>
        <v>17098656.332312673</v>
      </c>
      <c r="M300" s="100">
        <f t="shared" si="122"/>
        <v>1302844.7503439311</v>
      </c>
      <c r="N300" s="100">
        <f t="shared" si="122"/>
        <v>11835070.536590599</v>
      </c>
      <c r="O300" s="100">
        <f t="shared" si="122"/>
        <v>29752568.982229434</v>
      </c>
      <c r="P300" s="100">
        <f>SUM(P294:P299)</f>
        <v>10319225.369841669</v>
      </c>
      <c r="Q300" s="100">
        <f t="shared" si="122"/>
        <v>3158122.9508235781</v>
      </c>
      <c r="R300" s="100">
        <f t="shared" si="122"/>
        <v>19804.30694636847</v>
      </c>
      <c r="S300" s="100">
        <f t="shared" si="122"/>
        <v>75.319592979939145</v>
      </c>
      <c r="T300" s="100">
        <f t="shared" si="122"/>
        <v>7828.9459939631706</v>
      </c>
      <c r="U300" s="100"/>
      <c r="V300" s="102">
        <f t="shared" si="119"/>
        <v>153710022.10201612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10528466.523045922</v>
      </c>
      <c r="H303" s="100">
        <f t="shared" si="123"/>
        <v>2565029.0543720964</v>
      </c>
      <c r="I303" s="100">
        <f t="shared" si="123"/>
        <v>352792.82878686854</v>
      </c>
      <c r="J303" s="100">
        <f t="shared" si="123"/>
        <v>268628.60756614711</v>
      </c>
      <c r="K303" s="100">
        <f t="shared" si="123"/>
        <v>0</v>
      </c>
      <c r="L303" s="100">
        <f t="shared" si="123"/>
        <v>2265220.6419833335</v>
      </c>
      <c r="M303" s="100">
        <f t="shared" si="123"/>
        <v>185294.29655807622</v>
      </c>
      <c r="N303" s="100">
        <f t="shared" si="123"/>
        <v>1466226.6129614161</v>
      </c>
      <c r="O303" s="100">
        <f t="shared" si="123"/>
        <v>3859361.8057537572</v>
      </c>
      <c r="P303" s="100">
        <f t="shared" si="123"/>
        <v>1509271.5027583637</v>
      </c>
      <c r="Q303" s="100">
        <f t="shared" si="123"/>
        <v>865568.4696415097</v>
      </c>
      <c r="R303" s="100">
        <f t="shared" si="123"/>
        <v>190112.10079183662</v>
      </c>
      <c r="S303" s="100">
        <f t="shared" si="123"/>
        <v>796.31318432679916</v>
      </c>
      <c r="T303" s="100">
        <f t="shared" si="123"/>
        <v>1233.2789091111626</v>
      </c>
      <c r="U303" s="100"/>
      <c r="V303" s="102">
        <f>SUM(G303:T303)</f>
        <v>24058002.03631277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10528466.523045922</v>
      </c>
      <c r="H306" s="100">
        <f t="shared" si="124"/>
        <v>2565029.0543720964</v>
      </c>
      <c r="I306" s="100">
        <f>SUM(I303:I305)</f>
        <v>352792.82878686854</v>
      </c>
      <c r="J306" s="100">
        <f>SUM(J303:J305)</f>
        <v>268628.60756614711</v>
      </c>
      <c r="K306" s="100">
        <f>SUM(K303:K305)</f>
        <v>0</v>
      </c>
      <c r="L306" s="100">
        <f t="shared" si="124"/>
        <v>2265220.6419833335</v>
      </c>
      <c r="M306" s="100">
        <f t="shared" si="124"/>
        <v>185294.29655807622</v>
      </c>
      <c r="N306" s="100">
        <f t="shared" si="124"/>
        <v>1466226.6129614161</v>
      </c>
      <c r="O306" s="100">
        <f t="shared" si="124"/>
        <v>3859361.8057537572</v>
      </c>
      <c r="P306" s="100">
        <f>SUM(P303:P305)</f>
        <v>1509271.5027583637</v>
      </c>
      <c r="Q306" s="100">
        <f t="shared" si="124"/>
        <v>865568.4696415097</v>
      </c>
      <c r="R306" s="100">
        <f t="shared" si="124"/>
        <v>190112.10079183662</v>
      </c>
      <c r="S306" s="100">
        <f t="shared" si="124"/>
        <v>796.31318432679916</v>
      </c>
      <c r="T306" s="100">
        <f t="shared" si="124"/>
        <v>1233.2789091111626</v>
      </c>
      <c r="U306" s="100"/>
      <c r="V306" s="102">
        <f>SUM(G306:T306)</f>
        <v>24058002.03631277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2956746.3553215209</v>
      </c>
      <c r="H312" s="100">
        <f t="shared" si="126"/>
        <v>720346.14834054536</v>
      </c>
      <c r="I312" s="100">
        <f t="shared" si="126"/>
        <v>99076.053327979345</v>
      </c>
      <c r="J312" s="100">
        <f t="shared" si="126"/>
        <v>75439.918493136516</v>
      </c>
      <c r="K312" s="100">
        <f t="shared" si="126"/>
        <v>0</v>
      </c>
      <c r="L312" s="100">
        <f t="shared" si="126"/>
        <v>636149.89538340061</v>
      </c>
      <c r="M312" s="100">
        <f t="shared" si="126"/>
        <v>52036.850267863781</v>
      </c>
      <c r="N312" s="100">
        <f t="shared" si="126"/>
        <v>411765.5866084171</v>
      </c>
      <c r="O312" s="100">
        <f t="shared" si="126"/>
        <v>1083838.1760583515</v>
      </c>
      <c r="P312" s="100">
        <f t="shared" si="126"/>
        <v>0</v>
      </c>
      <c r="Q312" s="100">
        <f t="shared" si="126"/>
        <v>0</v>
      </c>
      <c r="R312" s="100">
        <f t="shared" si="126"/>
        <v>53389.851208470136</v>
      </c>
      <c r="S312" s="100">
        <f t="shared" si="126"/>
        <v>223.63143771212506</v>
      </c>
      <c r="T312" s="100">
        <f t="shared" si="126"/>
        <v>346.34606204307795</v>
      </c>
      <c r="U312" s="100"/>
      <c r="V312" s="102">
        <f>SUM(G312:T312)</f>
        <v>6089358.8125094408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3221942.6986993942</v>
      </c>
      <c r="H316" s="101">
        <f t="shared" si="127"/>
        <v>784955.39835701289</v>
      </c>
      <c r="I316" s="101">
        <f t="shared" si="127"/>
        <v>107962.37765255406</v>
      </c>
      <c r="J316" s="101">
        <f t="shared" si="127"/>
        <v>82206.271816984285</v>
      </c>
      <c r="K316" s="101">
        <f t="shared" si="127"/>
        <v>0</v>
      </c>
      <c r="L316" s="101">
        <f t="shared" si="127"/>
        <v>693207.41937163903</v>
      </c>
      <c r="M316" s="101">
        <f t="shared" si="127"/>
        <v>56704.136789449338</v>
      </c>
      <c r="N316" s="101">
        <f t="shared" si="127"/>
        <v>448697.64461226395</v>
      </c>
      <c r="O316" s="101">
        <f t="shared" si="127"/>
        <v>1181049.7344954507</v>
      </c>
      <c r="P316" s="101">
        <f t="shared" si="127"/>
        <v>0</v>
      </c>
      <c r="Q316" s="101">
        <f t="shared" si="127"/>
        <v>0</v>
      </c>
      <c r="R316" s="101">
        <f t="shared" si="127"/>
        <v>58178.491021449743</v>
      </c>
      <c r="S316" s="101">
        <f t="shared" si="127"/>
        <v>243.68937722352527</v>
      </c>
      <c r="T316" s="101">
        <f t="shared" si="127"/>
        <v>377.41051538444759</v>
      </c>
      <c r="U316" s="101"/>
      <c r="V316" s="101">
        <f t="shared" si="128"/>
        <v>6635525.2727088062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9832359.6453646608</v>
      </c>
      <c r="H317" s="101">
        <f t="shared" si="127"/>
        <v>1902503.3945779952</v>
      </c>
      <c r="I317" s="101">
        <f t="shared" si="127"/>
        <v>5251.1824305216533</v>
      </c>
      <c r="J317" s="101">
        <f t="shared" si="127"/>
        <v>13538.918179562352</v>
      </c>
      <c r="K317" s="101">
        <f t="shared" si="127"/>
        <v>0</v>
      </c>
      <c r="L317" s="101">
        <f t="shared" si="127"/>
        <v>99795.29740787021</v>
      </c>
      <c r="M317" s="101">
        <f t="shared" si="127"/>
        <v>3949.8024368706356</v>
      </c>
      <c r="N317" s="101">
        <f t="shared" si="127"/>
        <v>11872.238538570695</v>
      </c>
      <c r="O317" s="101">
        <f t="shared" si="127"/>
        <v>6324.2501445847738</v>
      </c>
      <c r="P317" s="101">
        <f t="shared" si="127"/>
        <v>0</v>
      </c>
      <c r="Q317" s="101">
        <f t="shared" si="127"/>
        <v>0</v>
      </c>
      <c r="R317" s="101">
        <f t="shared" si="127"/>
        <v>427410.73460097122</v>
      </c>
      <c r="S317" s="101">
        <f t="shared" si="127"/>
        <v>10.147212426128798</v>
      </c>
      <c r="T317" s="101">
        <f t="shared" si="127"/>
        <v>1968.5592106689874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2519973.5447137137</v>
      </c>
      <c r="H318" s="101">
        <f t="shared" si="127"/>
        <v>437286.60984730156</v>
      </c>
      <c r="I318" s="101">
        <f t="shared" si="127"/>
        <v>43843.318099668948</v>
      </c>
      <c r="J318" s="101">
        <f t="shared" si="127"/>
        <v>33383.875250750862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20005.038226220884</v>
      </c>
      <c r="S318" s="101">
        <f t="shared" si="127"/>
        <v>83.794117397840751</v>
      </c>
      <c r="T318" s="101">
        <f t="shared" si="127"/>
        <v>129.63012524617477</v>
      </c>
      <c r="U318" s="101"/>
      <c r="V318" s="101">
        <f t="shared" si="128"/>
        <v>3054705.8103802991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3768646.8919507279</v>
      </c>
      <c r="H319" s="101">
        <f t="shared" si="127"/>
        <v>729210.86733053031</v>
      </c>
      <c r="I319" s="101">
        <f t="shared" si="127"/>
        <v>2012.7266556183558</v>
      </c>
      <c r="J319" s="101">
        <f t="shared" si="127"/>
        <v>5189.334377311674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163822.3371232865</v>
      </c>
      <c r="S319" s="101">
        <f t="shared" si="127"/>
        <v>3.8893268707601076</v>
      </c>
      <c r="T319" s="101">
        <f t="shared" si="127"/>
        <v>754.52941292746095</v>
      </c>
      <c r="U319" s="101"/>
      <c r="V319" s="101">
        <f t="shared" si="128"/>
        <v>4669640.5761772729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19342922.780728497</v>
      </c>
      <c r="H320" s="100">
        <f t="shared" si="131"/>
        <v>3853956.27011284</v>
      </c>
      <c r="I320" s="100">
        <f>SUM(I315:I319)</f>
        <v>159069.60483836301</v>
      </c>
      <c r="J320" s="100">
        <f>SUM(J315:J319)</f>
        <v>134318.39962460916</v>
      </c>
      <c r="K320" s="100">
        <f>SUM(K315:K319)</f>
        <v>0</v>
      </c>
      <c r="L320" s="100">
        <f t="shared" si="131"/>
        <v>793002.71677950921</v>
      </c>
      <c r="M320" s="100">
        <f t="shared" si="131"/>
        <v>60653.93922631997</v>
      </c>
      <c r="N320" s="100">
        <f t="shared" si="131"/>
        <v>460569.88315083465</v>
      </c>
      <c r="O320" s="100">
        <f t="shared" si="131"/>
        <v>1187373.9846400355</v>
      </c>
      <c r="P320" s="100">
        <f>SUM(P315:P319)</f>
        <v>0</v>
      </c>
      <c r="Q320" s="100">
        <f t="shared" si="131"/>
        <v>0</v>
      </c>
      <c r="R320" s="100">
        <f t="shared" si="131"/>
        <v>669416.60097192833</v>
      </c>
      <c r="S320" s="100">
        <f t="shared" si="131"/>
        <v>341.52003391825491</v>
      </c>
      <c r="T320" s="100">
        <f t="shared" si="131"/>
        <v>3230.129264227071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3313449.2268520221</v>
      </c>
      <c r="H323" s="100">
        <f t="shared" si="132"/>
        <v>574977.05971984367</v>
      </c>
      <c r="I323" s="100">
        <f t="shared" si="132"/>
        <v>57648.465701047389</v>
      </c>
      <c r="J323" s="100">
        <f t="shared" si="132"/>
        <v>43895.609884861515</v>
      </c>
      <c r="K323" s="100">
        <f t="shared" si="132"/>
        <v>0</v>
      </c>
      <c r="L323" s="100">
        <f t="shared" si="132"/>
        <v>457151.68919416668</v>
      </c>
      <c r="M323" s="100">
        <f t="shared" si="132"/>
        <v>0</v>
      </c>
      <c r="N323" s="100">
        <f t="shared" si="132"/>
        <v>268258.1918640763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26304.116796332179</v>
      </c>
      <c r="S323" s="100">
        <f t="shared" si="132"/>
        <v>110.17875726872589</v>
      </c>
      <c r="T323" s="100">
        <f t="shared" si="132"/>
        <v>170.44736012197515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3374651.7961302903</v>
      </c>
      <c r="H324" s="101">
        <f t="shared" si="132"/>
        <v>652975.14830871404</v>
      </c>
      <c r="I324" s="101">
        <f t="shared" si="132"/>
        <v>1802.305129198769</v>
      </c>
      <c r="J324" s="101">
        <f t="shared" si="132"/>
        <v>4646.8127896298693</v>
      </c>
      <c r="K324" s="101">
        <f t="shared" si="132"/>
        <v>0</v>
      </c>
      <c r="L324" s="101">
        <f t="shared" si="132"/>
        <v>34251.633564034004</v>
      </c>
      <c r="M324" s="101">
        <f t="shared" si="132"/>
        <v>0</v>
      </c>
      <c r="N324" s="101">
        <f t="shared" si="132"/>
        <v>4074.7768138406955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146695.44801349053</v>
      </c>
      <c r="S324" s="101">
        <f t="shared" si="132"/>
        <v>3.4827152255048679</v>
      </c>
      <c r="T324" s="101">
        <f t="shared" si="132"/>
        <v>675.64675374794433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6688101.0229823124</v>
      </c>
      <c r="H325" s="100">
        <f t="shared" si="133"/>
        <v>1227952.2080285577</v>
      </c>
      <c r="I325" s="100">
        <f>I323+I324</f>
        <v>59450.770830246161</v>
      </c>
      <c r="J325" s="100">
        <f>J323+J324</f>
        <v>48542.422674491383</v>
      </c>
      <c r="K325" s="100">
        <f>K323+K324</f>
        <v>0</v>
      </c>
      <c r="L325" s="100">
        <f t="shared" si="133"/>
        <v>491403.32275820069</v>
      </c>
      <c r="M325" s="100">
        <f t="shared" si="133"/>
        <v>0</v>
      </c>
      <c r="N325" s="100">
        <f t="shared" si="133"/>
        <v>272332.96867791697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172999.56480982271</v>
      </c>
      <c r="S325" s="100">
        <f t="shared" si="133"/>
        <v>113.66147249423075</v>
      </c>
      <c r="T325" s="100">
        <f t="shared" si="133"/>
        <v>846.09411386991951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1981138.8016198296</v>
      </c>
      <c r="H328" s="100">
        <f t="shared" si="134"/>
        <v>776058.90631481435</v>
      </c>
      <c r="I328" s="100">
        <f t="shared" si="134"/>
        <v>2849.8140167989391</v>
      </c>
      <c r="J328" s="100">
        <f t="shared" si="134"/>
        <v>7349.6290476720478</v>
      </c>
      <c r="K328" s="100">
        <f t="shared" si="134"/>
        <v>0</v>
      </c>
      <c r="L328" s="100">
        <f t="shared" si="134"/>
        <v>51180.65503972755</v>
      </c>
      <c r="M328" s="100">
        <f t="shared" si="134"/>
        <v>0</v>
      </c>
      <c r="N328" s="100">
        <f t="shared" si="134"/>
        <v>6446.1554010419495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2825023.9614398847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1498242.5596751284</v>
      </c>
      <c r="H331" s="100">
        <f t="shared" si="135"/>
        <v>558422.91824192542</v>
      </c>
      <c r="I331" s="100">
        <f t="shared" si="135"/>
        <v>8408.4625662663857</v>
      </c>
      <c r="J331" s="100">
        <f t="shared" si="135"/>
        <v>11845.045640329756</v>
      </c>
      <c r="K331" s="100">
        <f t="shared" si="135"/>
        <v>0</v>
      </c>
      <c r="L331" s="100">
        <f t="shared" si="135"/>
        <v>146923.19839006549</v>
      </c>
      <c r="M331" s="100">
        <f t="shared" si="135"/>
        <v>33371.763064053433</v>
      </c>
      <c r="N331" s="100">
        <f t="shared" si="135"/>
        <v>23620.735912428641</v>
      </c>
      <c r="O331" s="100">
        <f t="shared" si="135"/>
        <v>74147.904085697519</v>
      </c>
      <c r="P331" s="100">
        <f t="shared" si="135"/>
        <v>50569.724891339334</v>
      </c>
      <c r="Q331" s="100">
        <f t="shared" si="135"/>
        <v>2140.332832954804</v>
      </c>
      <c r="R331" s="100">
        <f t="shared" si="135"/>
        <v>0</v>
      </c>
      <c r="S331" s="100">
        <f t="shared" si="135"/>
        <v>13.915969477520857</v>
      </c>
      <c r="T331" s="100">
        <f t="shared" si="135"/>
        <v>2699.6980786390463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103212714.50375618</v>
      </c>
      <c r="H345" s="100">
        <f t="shared" si="140"/>
        <v>26620242.817391425</v>
      </c>
      <c r="I345" s="100">
        <f>I300+I306+I309+I312+I320+I325+I328+I331+I334+I337+I340+I343</f>
        <v>2634019.9240852045</v>
      </c>
      <c r="J345" s="100">
        <f>J300+J306+J309+J312+J320+J325+J328+J331+J334+J337+J340+J343</f>
        <v>1674002.4683049966</v>
      </c>
      <c r="K345" s="100">
        <f>K300+K306+K309+K312+K320+K325+K328+K331+K334+K337+K340+K343</f>
        <v>0</v>
      </c>
      <c r="L345" s="100">
        <f t="shared" si="140"/>
        <v>21482536.76264691</v>
      </c>
      <c r="M345" s="100">
        <f t="shared" si="140"/>
        <v>1634201.5994602446</v>
      </c>
      <c r="N345" s="100">
        <f t="shared" si="140"/>
        <v>14476032.479302654</v>
      </c>
      <c r="O345" s="100">
        <f>O300+O306+O309+O312+O320+O325+O328+O331+O334+O337+O340+O343</f>
        <v>35957290.852767274</v>
      </c>
      <c r="P345" s="100">
        <f>P300+P306+P309+P312+P320+P325+P328+P331+P334+P337+P340+P343</f>
        <v>11879066.597491371</v>
      </c>
      <c r="Q345" s="100">
        <f t="shared" si="140"/>
        <v>4025831.7532980423</v>
      </c>
      <c r="R345" s="100">
        <f t="shared" si="140"/>
        <v>4449147.9265725138</v>
      </c>
      <c r="S345" s="100">
        <f t="shared" si="140"/>
        <v>1564.3616909088698</v>
      </c>
      <c r="T345" s="100">
        <f t="shared" si="140"/>
        <v>16184.492421853449</v>
      </c>
      <c r="U345" s="100"/>
      <c r="V345" s="102">
        <f>SUM(G345:T345)</f>
        <v>228062836.53918955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2030396.1278549721</v>
      </c>
      <c r="H408" s="100">
        <f t="shared" si="164"/>
        <v>570456.1136727588</v>
      </c>
      <c r="I408" s="100">
        <f t="shared" si="164"/>
        <v>65829.964797850364</v>
      </c>
      <c r="J408" s="100">
        <f t="shared" si="164"/>
        <v>38029.731796364424</v>
      </c>
      <c r="K408" s="100">
        <f t="shared" si="164"/>
        <v>0</v>
      </c>
      <c r="L408" s="100">
        <f t="shared" si="164"/>
        <v>576531.37811935204</v>
      </c>
      <c r="M408" s="100">
        <f t="shared" si="164"/>
        <v>43929.234250522888</v>
      </c>
      <c r="N408" s="100">
        <f t="shared" si="164"/>
        <v>399054.13583322405</v>
      </c>
      <c r="O408" s="100">
        <f t="shared" si="164"/>
        <v>1003195.1788808051</v>
      </c>
      <c r="P408" s="100">
        <f t="shared" si="164"/>
        <v>347942.96744569519</v>
      </c>
      <c r="Q408" s="100">
        <f t="shared" si="164"/>
        <v>106485.38351331414</v>
      </c>
      <c r="R408" s="100">
        <f t="shared" si="164"/>
        <v>667.76032891610021</v>
      </c>
      <c r="S408" s="100">
        <f t="shared" si="164"/>
        <v>2.539621119704655</v>
      </c>
      <c r="T408" s="100">
        <f t="shared" si="164"/>
        <v>263.9758899997189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2126968.4564757752</v>
      </c>
      <c r="H409" s="101">
        <f t="shared" si="164"/>
        <v>597588.88570555043</v>
      </c>
      <c r="I409" s="101">
        <f t="shared" si="164"/>
        <v>68961.054788782407</v>
      </c>
      <c r="J409" s="101">
        <f t="shared" si="164"/>
        <v>39838.551122807614</v>
      </c>
      <c r="K409" s="101">
        <f t="shared" si="164"/>
        <v>0</v>
      </c>
      <c r="L409" s="101">
        <f t="shared" si="164"/>
        <v>603953.10974310513</v>
      </c>
      <c r="M409" s="101">
        <f t="shared" si="164"/>
        <v>46018.653348550615</v>
      </c>
      <c r="N409" s="101">
        <f t="shared" si="164"/>
        <v>418034.46514654381</v>
      </c>
      <c r="O409" s="101">
        <f t="shared" si="164"/>
        <v>1050910.4464370101</v>
      </c>
      <c r="P409" s="101">
        <f t="shared" si="164"/>
        <v>364492.28121382266</v>
      </c>
      <c r="Q409" s="101">
        <f t="shared" si="164"/>
        <v>111550.17915042173</v>
      </c>
      <c r="R409" s="101">
        <f t="shared" si="164"/>
        <v>699.52120997734869</v>
      </c>
      <c r="S409" s="101">
        <f t="shared" si="164"/>
        <v>2.6604138664892703</v>
      </c>
      <c r="T409" s="101">
        <f t="shared" si="164"/>
        <v>276.53145294986786</v>
      </c>
      <c r="U409" s="101"/>
      <c r="V409" s="101">
        <f t="shared" si="165"/>
        <v>5429294.7962091649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1748360.8990415614</v>
      </c>
      <c r="H410" s="101">
        <f t="shared" si="164"/>
        <v>491216.04896790849</v>
      </c>
      <c r="I410" s="101">
        <f t="shared" si="164"/>
        <v>56685.75449827937</v>
      </c>
      <c r="J410" s="101">
        <f t="shared" si="164"/>
        <v>32747.154686531398</v>
      </c>
      <c r="K410" s="101">
        <f t="shared" si="164"/>
        <v>0</v>
      </c>
      <c r="L410" s="101">
        <f t="shared" si="164"/>
        <v>496447.41966648365</v>
      </c>
      <c r="M410" s="101">
        <f t="shared" si="164"/>
        <v>37827.177876659909</v>
      </c>
      <c r="N410" s="101">
        <f t="shared" si="164"/>
        <v>343622.92072961631</v>
      </c>
      <c r="O410" s="101">
        <f t="shared" si="164"/>
        <v>863844.84327951109</v>
      </c>
      <c r="P410" s="101">
        <f t="shared" si="164"/>
        <v>299611.42608226859</v>
      </c>
      <c r="Q410" s="101">
        <f t="shared" si="164"/>
        <v>91693.871112140696</v>
      </c>
      <c r="R410" s="101">
        <f t="shared" si="164"/>
        <v>575.00407580142576</v>
      </c>
      <c r="S410" s="101">
        <f t="shared" si="164"/>
        <v>2.1868512272837242</v>
      </c>
      <c r="T410" s="101">
        <f t="shared" si="164"/>
        <v>227.30792185502574</v>
      </c>
      <c r="U410" s="101"/>
      <c r="V410" s="101">
        <f t="shared" si="165"/>
        <v>4462862.0147898449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5905725.4833723083</v>
      </c>
      <c r="H414" s="100">
        <f t="shared" si="168"/>
        <v>1659261.0483462177</v>
      </c>
      <c r="I414" s="100">
        <f>SUM(I408:I413)</f>
        <v>191476.77408491215</v>
      </c>
      <c r="J414" s="100">
        <f>SUM(J408:J413)</f>
        <v>110615.43760570344</v>
      </c>
      <c r="K414" s="100">
        <f>SUM(K408:K413)</f>
        <v>0</v>
      </c>
      <c r="L414" s="100">
        <f t="shared" si="168"/>
        <v>1676931.9075289406</v>
      </c>
      <c r="M414" s="100">
        <f t="shared" si="168"/>
        <v>127775.0654757334</v>
      </c>
      <c r="N414" s="100">
        <f t="shared" si="168"/>
        <v>1160711.5217093842</v>
      </c>
      <c r="O414" s="100">
        <f t="shared" si="168"/>
        <v>2917950.4685973264</v>
      </c>
      <c r="P414" s="100">
        <f>SUM(P408:P413)</f>
        <v>1012046.6747417864</v>
      </c>
      <c r="Q414" s="100">
        <f t="shared" si="168"/>
        <v>309729.43377587659</v>
      </c>
      <c r="R414" s="100">
        <f t="shared" si="168"/>
        <v>1942.2856146948748</v>
      </c>
      <c r="S414" s="100">
        <f t="shared" si="168"/>
        <v>7.3868862134776494</v>
      </c>
      <c r="T414" s="100">
        <f t="shared" si="168"/>
        <v>767.81526480461241</v>
      </c>
      <c r="U414" s="100"/>
      <c r="V414" s="102">
        <f t="shared" si="165"/>
        <v>15074941.303003902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1462962.0792298464</v>
      </c>
      <c r="H417" s="100">
        <f t="shared" si="169"/>
        <v>356418.49935649947</v>
      </c>
      <c r="I417" s="100">
        <f t="shared" si="169"/>
        <v>49021.624299195704</v>
      </c>
      <c r="J417" s="100">
        <f t="shared" si="169"/>
        <v>37326.752704713414</v>
      </c>
      <c r="K417" s="100">
        <f t="shared" si="169"/>
        <v>0</v>
      </c>
      <c r="L417" s="100">
        <f t="shared" si="169"/>
        <v>314759.21902362409</v>
      </c>
      <c r="M417" s="100">
        <f t="shared" si="169"/>
        <v>25747.199629563056</v>
      </c>
      <c r="N417" s="100">
        <f t="shared" si="169"/>
        <v>203736.59636233546</v>
      </c>
      <c r="O417" s="100">
        <f t="shared" si="169"/>
        <v>536269.92682048585</v>
      </c>
      <c r="P417" s="100">
        <f t="shared" si="169"/>
        <v>209717.81322233303</v>
      </c>
      <c r="Q417" s="100">
        <f t="shared" si="169"/>
        <v>120273.34135419714</v>
      </c>
      <c r="R417" s="100">
        <f t="shared" si="169"/>
        <v>26416.648013495931</v>
      </c>
      <c r="S417" s="100">
        <f t="shared" si="169"/>
        <v>110.65011123042849</v>
      </c>
      <c r="T417" s="100">
        <f t="shared" si="169"/>
        <v>171.36781251042152</v>
      </c>
      <c r="U417" s="100"/>
      <c r="V417" s="102">
        <f>SUM(G417:T417)</f>
        <v>3342931.7179400306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1462962.0792298464</v>
      </c>
      <c r="H420" s="100">
        <f t="shared" si="170"/>
        <v>356418.49935649947</v>
      </c>
      <c r="I420" s="100">
        <f>SUM(I417:I419)</f>
        <v>49021.624299195704</v>
      </c>
      <c r="J420" s="100">
        <f>SUM(J417:J419)</f>
        <v>37326.752704713414</v>
      </c>
      <c r="K420" s="100">
        <f>SUM(K417:K419)</f>
        <v>0</v>
      </c>
      <c r="L420" s="100">
        <f t="shared" si="170"/>
        <v>314759.21902362409</v>
      </c>
      <c r="M420" s="100">
        <f t="shared" si="170"/>
        <v>25747.199629563056</v>
      </c>
      <c r="N420" s="100">
        <f t="shared" si="170"/>
        <v>203736.59636233546</v>
      </c>
      <c r="O420" s="100">
        <f t="shared" si="170"/>
        <v>536269.92682048585</v>
      </c>
      <c r="P420" s="100">
        <f>SUM(P417:P419)</f>
        <v>209717.81322233303</v>
      </c>
      <c r="Q420" s="100">
        <f t="shared" si="170"/>
        <v>120273.34135419714</v>
      </c>
      <c r="R420" s="100">
        <f t="shared" si="170"/>
        <v>26416.648013495931</v>
      </c>
      <c r="S420" s="100">
        <f t="shared" si="170"/>
        <v>110.65011123042849</v>
      </c>
      <c r="T420" s="100">
        <f t="shared" si="170"/>
        <v>171.36781251042152</v>
      </c>
      <c r="U420" s="100"/>
      <c r="V420" s="102">
        <f>SUM(G420:T420)</f>
        <v>3342931.7179400306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380726.40586286713</v>
      </c>
      <c r="H426" s="100">
        <f t="shared" si="172"/>
        <v>92755.606019858504</v>
      </c>
      <c r="I426" s="100">
        <f t="shared" si="172"/>
        <v>12757.560222489057</v>
      </c>
      <c r="J426" s="100">
        <f t="shared" si="172"/>
        <v>9714.045634920969</v>
      </c>
      <c r="K426" s="100">
        <f t="shared" si="172"/>
        <v>0</v>
      </c>
      <c r="L426" s="100">
        <f t="shared" si="172"/>
        <v>81914.048130457217</v>
      </c>
      <c r="M426" s="100">
        <f t="shared" si="172"/>
        <v>6700.5419451184498</v>
      </c>
      <c r="N426" s="100">
        <f t="shared" si="172"/>
        <v>53021.129649922361</v>
      </c>
      <c r="O426" s="100">
        <f t="shared" si="172"/>
        <v>139560.77516253162</v>
      </c>
      <c r="P426" s="100">
        <f t="shared" si="172"/>
        <v>0</v>
      </c>
      <c r="Q426" s="100">
        <f t="shared" si="172"/>
        <v>0</v>
      </c>
      <c r="R426" s="100">
        <f t="shared" si="172"/>
        <v>6874.7615511793565</v>
      </c>
      <c r="S426" s="100">
        <f t="shared" si="172"/>
        <v>28.795974793321257</v>
      </c>
      <c r="T426" s="100">
        <f t="shared" si="172"/>
        <v>44.597363297359898</v>
      </c>
      <c r="U426" s="100"/>
      <c r="V426" s="102">
        <f>SUM(G426:T426)</f>
        <v>784098.26751743536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414874.49924954289</v>
      </c>
      <c r="H430" s="101">
        <f t="shared" si="173"/>
        <v>101075.03710666549</v>
      </c>
      <c r="I430" s="101">
        <f t="shared" si="173"/>
        <v>13901.810663632901</v>
      </c>
      <c r="J430" s="101">
        <f t="shared" si="173"/>
        <v>10585.317320823395</v>
      </c>
      <c r="K430" s="101">
        <f t="shared" si="173"/>
        <v>0</v>
      </c>
      <c r="L430" s="101">
        <f t="shared" si="173"/>
        <v>89261.078759709198</v>
      </c>
      <c r="M430" s="101">
        <f t="shared" si="173"/>
        <v>7301.5266116920038</v>
      </c>
      <c r="N430" s="101">
        <f t="shared" si="173"/>
        <v>57776.69810766873</v>
      </c>
      <c r="O430" s="101">
        <f t="shared" si="173"/>
        <v>152078.25309413468</v>
      </c>
      <c r="P430" s="101">
        <f t="shared" si="173"/>
        <v>0</v>
      </c>
      <c r="Q430" s="101">
        <f t="shared" si="173"/>
        <v>0</v>
      </c>
      <c r="R430" s="101">
        <f t="shared" si="173"/>
        <v>7491.3723137786756</v>
      </c>
      <c r="S430" s="101">
        <f t="shared" si="173"/>
        <v>31.378741896575129</v>
      </c>
      <c r="T430" s="101">
        <f t="shared" si="173"/>
        <v>48.597387732823634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1266066.9868395647</v>
      </c>
      <c r="H431" s="101">
        <f t="shared" si="173"/>
        <v>244976.46822357181</v>
      </c>
      <c r="I431" s="101">
        <f t="shared" si="173"/>
        <v>676.1702131481419</v>
      </c>
      <c r="J431" s="101">
        <f t="shared" si="173"/>
        <v>1743.3432017254268</v>
      </c>
      <c r="K431" s="101">
        <f t="shared" si="173"/>
        <v>0</v>
      </c>
      <c r="L431" s="101">
        <f t="shared" si="173"/>
        <v>12850.173920306645</v>
      </c>
      <c r="M431" s="101">
        <f t="shared" si="173"/>
        <v>508.59759510708068</v>
      </c>
      <c r="N431" s="101">
        <f t="shared" si="173"/>
        <v>1528.7326558131904</v>
      </c>
      <c r="O431" s="101">
        <f t="shared" si="173"/>
        <v>814.34412626971869</v>
      </c>
      <c r="P431" s="101">
        <f t="shared" si="173"/>
        <v>0</v>
      </c>
      <c r="Q431" s="101">
        <f t="shared" si="173"/>
        <v>0</v>
      </c>
      <c r="R431" s="101">
        <f t="shared" si="173"/>
        <v>55035.68221838239</v>
      </c>
      <c r="S431" s="101">
        <f t="shared" si="173"/>
        <v>1.3066091075326414</v>
      </c>
      <c r="T431" s="101">
        <f t="shared" si="173"/>
        <v>253.48216686133244</v>
      </c>
      <c r="U431" s="101"/>
      <c r="V431" s="101">
        <f t="shared" si="174"/>
        <v>1584455.2877698583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324485.21288327838</v>
      </c>
      <c r="H432" s="101">
        <f t="shared" si="173"/>
        <v>56307.352505729883</v>
      </c>
      <c r="I432" s="101">
        <f t="shared" si="173"/>
        <v>5645.4991112601547</v>
      </c>
      <c r="J432" s="101">
        <f t="shared" si="173"/>
        <v>4298.6855518117582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2575.9552520662933</v>
      </c>
      <c r="S432" s="101">
        <f t="shared" si="173"/>
        <v>10.789776773348525</v>
      </c>
      <c r="T432" s="101">
        <f t="shared" si="173"/>
        <v>16.691865228041397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485271.04246067151</v>
      </c>
      <c r="H433" s="101">
        <f t="shared" si="173"/>
        <v>93897.074443068675</v>
      </c>
      <c r="I433" s="101">
        <f t="shared" si="173"/>
        <v>259.1694022717877</v>
      </c>
      <c r="J433" s="101">
        <f t="shared" si="173"/>
        <v>668.20632846595697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21094.636508386415</v>
      </c>
      <c r="S433" s="101">
        <f t="shared" si="173"/>
        <v>0.50081043917253654</v>
      </c>
      <c r="T433" s="101">
        <f t="shared" si="173"/>
        <v>97.157225199472094</v>
      </c>
      <c r="U433" s="101"/>
      <c r="V433" s="101">
        <f t="shared" si="174"/>
        <v>601287.787178503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2490697.7414330575</v>
      </c>
      <c r="H434" s="100">
        <f t="shared" si="177"/>
        <v>496255.93227903591</v>
      </c>
      <c r="I434" s="100">
        <f>SUM(I429:I433)</f>
        <v>20482.649390312985</v>
      </c>
      <c r="J434" s="100">
        <f>SUM(J429:J433)</f>
        <v>17295.552402826535</v>
      </c>
      <c r="K434" s="100">
        <f>SUM(K429:K433)</f>
        <v>0</v>
      </c>
      <c r="L434" s="100">
        <f t="shared" si="177"/>
        <v>102111.25268001584</v>
      </c>
      <c r="M434" s="100">
        <f t="shared" si="177"/>
        <v>7810.1242067990843</v>
      </c>
      <c r="N434" s="100">
        <f t="shared" si="177"/>
        <v>59305.43076348192</v>
      </c>
      <c r="O434" s="100">
        <f t="shared" si="177"/>
        <v>152892.59722040439</v>
      </c>
      <c r="P434" s="100">
        <f>SUM(P429:P433)</f>
        <v>0</v>
      </c>
      <c r="Q434" s="100">
        <f t="shared" si="177"/>
        <v>0</v>
      </c>
      <c r="R434" s="100">
        <f t="shared" si="177"/>
        <v>86197.646292613761</v>
      </c>
      <c r="S434" s="100">
        <f t="shared" si="177"/>
        <v>43.975938216628833</v>
      </c>
      <c r="T434" s="100">
        <f t="shared" si="177"/>
        <v>415.92864502166958</v>
      </c>
      <c r="U434" s="100"/>
      <c r="V434" s="102">
        <f t="shared" si="174"/>
        <v>3433508.8312517866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426657.36710151023</v>
      </c>
      <c r="H437" s="100">
        <f t="shared" si="178"/>
        <v>74037.108055192235</v>
      </c>
      <c r="I437" s="100">
        <f t="shared" si="178"/>
        <v>7423.1234310532736</v>
      </c>
      <c r="J437" s="100">
        <f t="shared" si="178"/>
        <v>5652.2324799837497</v>
      </c>
      <c r="K437" s="100">
        <f t="shared" si="178"/>
        <v>0</v>
      </c>
      <c r="L437" s="100">
        <f t="shared" si="178"/>
        <v>58865.285907186728</v>
      </c>
      <c r="M437" s="100">
        <f t="shared" si="178"/>
        <v>0</v>
      </c>
      <c r="N437" s="100">
        <f t="shared" si="178"/>
        <v>34542.353302596741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3387.0581523641104</v>
      </c>
      <c r="S437" s="100">
        <f t="shared" si="178"/>
        <v>14.18720350559045</v>
      </c>
      <c r="T437" s="100">
        <f t="shared" si="178"/>
        <v>21.947709749014557</v>
      </c>
      <c r="U437" s="100"/>
      <c r="V437" s="102">
        <f>SUM(G437:T437)</f>
        <v>610600.66334314155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434538.13583534164</v>
      </c>
      <c r="H438" s="101">
        <f t="shared" si="178"/>
        <v>84080.557294308615</v>
      </c>
      <c r="I438" s="101">
        <f t="shared" si="178"/>
        <v>232.07440600140382</v>
      </c>
      <c r="J438" s="101">
        <f t="shared" si="178"/>
        <v>598.34835982101072</v>
      </c>
      <c r="K438" s="101">
        <f t="shared" si="178"/>
        <v>0</v>
      </c>
      <c r="L438" s="101">
        <f t="shared" si="178"/>
        <v>4410.4227331832008</v>
      </c>
      <c r="M438" s="101">
        <f t="shared" si="178"/>
        <v>0</v>
      </c>
      <c r="N438" s="101">
        <f t="shared" si="178"/>
        <v>524.68996139447825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18889.287063159674</v>
      </c>
      <c r="S438" s="101">
        <f t="shared" si="178"/>
        <v>0.44845295845681904</v>
      </c>
      <c r="T438" s="101">
        <f t="shared" si="178"/>
        <v>86.999873940622891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861195.50293685193</v>
      </c>
      <c r="H439" s="100">
        <f t="shared" si="179"/>
        <v>158117.66534950084</v>
      </c>
      <c r="I439" s="100">
        <f>I437+I438</f>
        <v>7655.1978370546776</v>
      </c>
      <c r="J439" s="100">
        <f>J437+J438</f>
        <v>6250.5808398047602</v>
      </c>
      <c r="K439" s="100">
        <f>K437+K438</f>
        <v>0</v>
      </c>
      <c r="L439" s="100">
        <f t="shared" si="179"/>
        <v>63275.708640369929</v>
      </c>
      <c r="M439" s="100">
        <f t="shared" si="179"/>
        <v>0</v>
      </c>
      <c r="N439" s="100">
        <f t="shared" si="179"/>
        <v>35067.043263991218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22276.345215523783</v>
      </c>
      <c r="S439" s="100">
        <f t="shared" si="179"/>
        <v>14.635656464047269</v>
      </c>
      <c r="T439" s="100">
        <f t="shared" si="179"/>
        <v>108.94758368963744</v>
      </c>
      <c r="U439" s="100"/>
      <c r="V439" s="102">
        <f>SUM(G439:T439)</f>
        <v>1153961.6273232508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255101.9819805155</v>
      </c>
      <c r="H442" s="100">
        <f t="shared" si="180"/>
        <v>99929.477416055655</v>
      </c>
      <c r="I442" s="100">
        <f t="shared" si="180"/>
        <v>366.95722852273417</v>
      </c>
      <c r="J442" s="100">
        <f t="shared" si="180"/>
        <v>946.3773741394283</v>
      </c>
      <c r="K442" s="100">
        <f t="shared" si="180"/>
        <v>0</v>
      </c>
      <c r="L442" s="100">
        <f t="shared" si="180"/>
        <v>6590.2936881658188</v>
      </c>
      <c r="M442" s="100">
        <f t="shared" si="180"/>
        <v>0</v>
      </c>
      <c r="N442" s="100">
        <f t="shared" si="180"/>
        <v>830.04129625631515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363765.12898365548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192921.69036727044</v>
      </c>
      <c r="H445" s="100">
        <f t="shared" si="181"/>
        <v>71905.508645019654</v>
      </c>
      <c r="I445" s="100">
        <f t="shared" si="181"/>
        <v>1082.7184164530556</v>
      </c>
      <c r="J445" s="100">
        <f t="shared" si="181"/>
        <v>1525.2311534291136</v>
      </c>
      <c r="K445" s="100">
        <f t="shared" si="181"/>
        <v>0</v>
      </c>
      <c r="L445" s="100">
        <f t="shared" si="181"/>
        <v>18918.613414454987</v>
      </c>
      <c r="M445" s="100">
        <f t="shared" si="181"/>
        <v>4297.1259221532473</v>
      </c>
      <c r="N445" s="100">
        <f t="shared" si="181"/>
        <v>3041.5317403162881</v>
      </c>
      <c r="O445" s="100">
        <f t="shared" si="181"/>
        <v>9547.6789796338271</v>
      </c>
      <c r="P445" s="100">
        <f t="shared" si="181"/>
        <v>6511.627068957685</v>
      </c>
      <c r="Q445" s="100">
        <f t="shared" si="181"/>
        <v>275.60065318912331</v>
      </c>
      <c r="R445" s="100">
        <f t="shared" si="181"/>
        <v>0</v>
      </c>
      <c r="S445" s="100">
        <f t="shared" si="181"/>
        <v>1.791894334709595</v>
      </c>
      <c r="T445" s="100">
        <f t="shared" si="181"/>
        <v>347.62750093366145</v>
      </c>
      <c r="U445" s="100"/>
      <c r="V445" s="102">
        <f>SUM(G445:T445)</f>
        <v>310376.7457561458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11549330.885182716</v>
      </c>
      <c r="H459" s="100">
        <f t="shared" si="186"/>
        <v>2934643.7374121877</v>
      </c>
      <c r="I459" s="100">
        <f>I414+I420+I423+I426+I434+I439+I442+I445+I448+I451+I454+I457</f>
        <v>282843.48147894035</v>
      </c>
      <c r="J459" s="100">
        <f>J414+J420+J423+J426+J434+J439+J442+J445+J448+J451+J454+J457</f>
        <v>183673.97771553765</v>
      </c>
      <c r="K459" s="100">
        <f>K414+K420+K423+K426+K434+K439+K442+K445+K448+K451+K454+K457</f>
        <v>0</v>
      </c>
      <c r="L459" s="100">
        <f t="shared" si="186"/>
        <v>2264501.0431060288</v>
      </c>
      <c r="M459" s="100">
        <f t="shared" si="186"/>
        <v>172330.05717936723</v>
      </c>
      <c r="N459" s="100">
        <f t="shared" si="186"/>
        <v>1515713.2947856872</v>
      </c>
      <c r="O459" s="100">
        <f>O414+O420+O423+O426+O434+O439+O442+O445+O448+O451+O454+O457</f>
        <v>3756221.4467803822</v>
      </c>
      <c r="P459" s="100">
        <f>P414+P420+P423+P426+P434+P439+P442+P445+P448+P451+P454+P457</f>
        <v>1228276.1150330773</v>
      </c>
      <c r="Q459" s="100">
        <f t="shared" si="186"/>
        <v>430278.37578326283</v>
      </c>
      <c r="R459" s="100">
        <f t="shared" si="186"/>
        <v>574224.95858549979</v>
      </c>
      <c r="S459" s="100">
        <f t="shared" si="186"/>
        <v>207.23646125261308</v>
      </c>
      <c r="T459" s="100">
        <f t="shared" si="186"/>
        <v>1856.2841702573621</v>
      </c>
      <c r="U459" s="100"/>
      <c r="V459" s="102">
        <f>SUM(G459:T459)</f>
        <v>24894100.893674202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1054324.9862588195</v>
      </c>
      <c r="H465" s="100">
        <f t="shared" si="187"/>
        <v>296221.08019123023</v>
      </c>
      <c r="I465" s="100">
        <f t="shared" si="187"/>
        <v>34183.564368908075</v>
      </c>
      <c r="J465" s="100">
        <f t="shared" si="187"/>
        <v>19747.72109912755</v>
      </c>
      <c r="K465" s="100">
        <f t="shared" si="187"/>
        <v>0</v>
      </c>
      <c r="L465" s="100">
        <f t="shared" si="187"/>
        <v>299375.78631793079</v>
      </c>
      <c r="M465" s="100">
        <f t="shared" si="187"/>
        <v>22811.159193094787</v>
      </c>
      <c r="N465" s="100">
        <f t="shared" si="187"/>
        <v>207217.07478992065</v>
      </c>
      <c r="O465" s="100">
        <f t="shared" si="187"/>
        <v>520929.74798264011</v>
      </c>
      <c r="P465" s="100">
        <f t="shared" si="187"/>
        <v>180676.54845194751</v>
      </c>
      <c r="Q465" s="100">
        <f t="shared" si="187"/>
        <v>55294.727452050844</v>
      </c>
      <c r="R465" s="100">
        <f t="shared" si="187"/>
        <v>346.74829701947715</v>
      </c>
      <c r="S465" s="100">
        <f t="shared" si="187"/>
        <v>1.3187505459656166</v>
      </c>
      <c r="T465" s="100">
        <f t="shared" si="187"/>
        <v>137.07491497762203</v>
      </c>
      <c r="U465" s="100"/>
      <c r="V465" s="102">
        <f t="shared" ref="V465:V471" si="188">SUM(G465:T465)</f>
        <v>2691267.5380682126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1104472.1558920068</v>
      </c>
      <c r="H466" s="101">
        <f t="shared" si="187"/>
        <v>310310.33061294892</v>
      </c>
      <c r="I466" s="101">
        <f t="shared" si="187"/>
        <v>35809.447301984845</v>
      </c>
      <c r="J466" s="101">
        <f t="shared" si="187"/>
        <v>20686.987769967618</v>
      </c>
      <c r="K466" s="101">
        <f t="shared" si="187"/>
        <v>0</v>
      </c>
      <c r="L466" s="101">
        <f t="shared" si="187"/>
        <v>313615.08495565527</v>
      </c>
      <c r="M466" s="101">
        <f t="shared" si="187"/>
        <v>23896.133071637541</v>
      </c>
      <c r="N466" s="101">
        <f t="shared" si="187"/>
        <v>217073.00150683915</v>
      </c>
      <c r="O466" s="101">
        <f t="shared" si="187"/>
        <v>545706.88290737977</v>
      </c>
      <c r="P466" s="101">
        <f t="shared" si="187"/>
        <v>189270.12030317404</v>
      </c>
      <c r="Q466" s="101">
        <f t="shared" si="187"/>
        <v>57924.726848345301</v>
      </c>
      <c r="R466" s="101">
        <f t="shared" si="187"/>
        <v>363.24078832650383</v>
      </c>
      <c r="S466" s="101">
        <f t="shared" si="187"/>
        <v>1.3814746663215787</v>
      </c>
      <c r="T466" s="101">
        <f t="shared" si="187"/>
        <v>143.59464950295947</v>
      </c>
      <c r="U466" s="101"/>
      <c r="V466" s="101">
        <f t="shared" si="188"/>
        <v>2819273.0880824351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907872.38784032909</v>
      </c>
      <c r="H467" s="101">
        <f t="shared" si="187"/>
        <v>255074.04539100587</v>
      </c>
      <c r="I467" s="101">
        <f t="shared" si="187"/>
        <v>29435.244932036308</v>
      </c>
      <c r="J467" s="101">
        <f t="shared" si="187"/>
        <v>17004.634189963741</v>
      </c>
      <c r="K467" s="101">
        <f t="shared" si="187"/>
        <v>0</v>
      </c>
      <c r="L467" s="101">
        <f t="shared" si="187"/>
        <v>257790.54231701067</v>
      </c>
      <c r="M467" s="101">
        <f t="shared" si="187"/>
        <v>19642.540806632238</v>
      </c>
      <c r="N467" s="101">
        <f t="shared" si="187"/>
        <v>178433.27526398137</v>
      </c>
      <c r="O467" s="101">
        <f t="shared" si="187"/>
        <v>448569.21761499619</v>
      </c>
      <c r="P467" s="101">
        <f t="shared" si="187"/>
        <v>155579.40066645778</v>
      </c>
      <c r="Q467" s="101">
        <f t="shared" si="187"/>
        <v>47613.930145965613</v>
      </c>
      <c r="R467" s="101">
        <f t="shared" si="187"/>
        <v>298.58270314895236</v>
      </c>
      <c r="S467" s="101">
        <f t="shared" si="187"/>
        <v>1.1355675173552557</v>
      </c>
      <c r="T467" s="101">
        <f t="shared" si="187"/>
        <v>118.03431768731147</v>
      </c>
      <c r="U467" s="101"/>
      <c r="V467" s="101">
        <f t="shared" si="188"/>
        <v>2317432.9717567321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3066669.5299911555</v>
      </c>
      <c r="H471" s="100">
        <f t="shared" si="191"/>
        <v>861605.45619518496</v>
      </c>
      <c r="I471" s="100">
        <f>SUM(I465:I470)</f>
        <v>99428.256602929221</v>
      </c>
      <c r="J471" s="100">
        <f>SUM(J465:J470)</f>
        <v>57439.343059058905</v>
      </c>
      <c r="K471" s="100">
        <f>SUM(K465:K470)</f>
        <v>0</v>
      </c>
      <c r="L471" s="100">
        <f t="shared" si="191"/>
        <v>870781.41359059676</v>
      </c>
      <c r="M471" s="100">
        <f t="shared" si="191"/>
        <v>66349.83307136457</v>
      </c>
      <c r="N471" s="100">
        <f t="shared" si="191"/>
        <v>602723.3515607412</v>
      </c>
      <c r="O471" s="100">
        <f t="shared" si="191"/>
        <v>1515205.8485050162</v>
      </c>
      <c r="P471" s="100">
        <f>SUM(P465:P470)</f>
        <v>525526.06942157936</v>
      </c>
      <c r="Q471" s="100">
        <f t="shared" si="191"/>
        <v>160833.38444636174</v>
      </c>
      <c r="R471" s="100">
        <f t="shared" si="191"/>
        <v>1008.5717884949333</v>
      </c>
      <c r="S471" s="100">
        <f t="shared" si="191"/>
        <v>3.835792729642451</v>
      </c>
      <c r="T471" s="100">
        <f t="shared" si="191"/>
        <v>398.70388216789297</v>
      </c>
      <c r="U471" s="100"/>
      <c r="V471" s="102">
        <f t="shared" si="188"/>
        <v>7827973.5979073821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759673.17555451707</v>
      </c>
      <c r="H474" s="100">
        <f t="shared" si="192"/>
        <v>185077.64287032356</v>
      </c>
      <c r="I474" s="100">
        <f t="shared" si="192"/>
        <v>25455.487555641299</v>
      </c>
      <c r="J474" s="100">
        <f t="shared" si="192"/>
        <v>19382.68473455952</v>
      </c>
      <c r="K474" s="100">
        <f t="shared" si="192"/>
        <v>0</v>
      </c>
      <c r="L474" s="100">
        <f t="shared" si="192"/>
        <v>163445.20397727203</v>
      </c>
      <c r="M474" s="100">
        <f t="shared" si="192"/>
        <v>13369.763428538778</v>
      </c>
      <c r="N474" s="100">
        <f t="shared" si="192"/>
        <v>105794.42169596234</v>
      </c>
      <c r="O474" s="100">
        <f t="shared" si="192"/>
        <v>278469.19892590173</v>
      </c>
      <c r="P474" s="100">
        <f t="shared" si="192"/>
        <v>108900.29167729949</v>
      </c>
      <c r="Q474" s="100">
        <f t="shared" si="192"/>
        <v>62454.408393958402</v>
      </c>
      <c r="R474" s="100">
        <f t="shared" si="192"/>
        <v>13717.388282875298</v>
      </c>
      <c r="S474" s="100">
        <f t="shared" si="192"/>
        <v>57.457348052473876</v>
      </c>
      <c r="T474" s="100">
        <f t="shared" si="192"/>
        <v>88.986264350854611</v>
      </c>
      <c r="U474" s="100"/>
      <c r="V474" s="102">
        <f>SUM(G474:T474)</f>
        <v>1735886.1107092528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759673.17555451707</v>
      </c>
      <c r="H477" s="100">
        <f t="shared" si="193"/>
        <v>185077.64287032356</v>
      </c>
      <c r="I477" s="100">
        <f>SUM(I474:I476)</f>
        <v>25455.487555641299</v>
      </c>
      <c r="J477" s="100">
        <f>SUM(J474:J476)</f>
        <v>19382.68473455952</v>
      </c>
      <c r="K477" s="100">
        <f>SUM(K474:K476)</f>
        <v>0</v>
      </c>
      <c r="L477" s="100">
        <f t="shared" si="193"/>
        <v>163445.20397727203</v>
      </c>
      <c r="M477" s="100">
        <f t="shared" si="193"/>
        <v>13369.763428538778</v>
      </c>
      <c r="N477" s="100">
        <f t="shared" si="193"/>
        <v>105794.42169596234</v>
      </c>
      <c r="O477" s="100">
        <f t="shared" si="193"/>
        <v>278469.19892590173</v>
      </c>
      <c r="P477" s="100">
        <f>SUM(P474:P476)</f>
        <v>108900.29167729949</v>
      </c>
      <c r="Q477" s="100">
        <f t="shared" si="193"/>
        <v>62454.408393958402</v>
      </c>
      <c r="R477" s="100">
        <f t="shared" si="193"/>
        <v>13717.388282875298</v>
      </c>
      <c r="S477" s="100">
        <f t="shared" si="193"/>
        <v>57.457348052473876</v>
      </c>
      <c r="T477" s="100">
        <f t="shared" si="193"/>
        <v>88.986264350854611</v>
      </c>
      <c r="U477" s="100"/>
      <c r="V477" s="102">
        <f>SUM(G477:T477)</f>
        <v>1735886.1107092528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197700.02371596778</v>
      </c>
      <c r="H483" s="100">
        <f t="shared" si="195"/>
        <v>48165.257853220792</v>
      </c>
      <c r="I483" s="100">
        <f t="shared" si="195"/>
        <v>6624.6257672298871</v>
      </c>
      <c r="J483" s="100">
        <f t="shared" si="195"/>
        <v>5044.2181651398168</v>
      </c>
      <c r="K483" s="100">
        <f t="shared" si="195"/>
        <v>0</v>
      </c>
      <c r="L483" s="100">
        <f t="shared" si="195"/>
        <v>42535.555739454911</v>
      </c>
      <c r="M483" s="100">
        <f t="shared" si="195"/>
        <v>3479.3943395060801</v>
      </c>
      <c r="N483" s="100">
        <f t="shared" si="195"/>
        <v>27532.313041120236</v>
      </c>
      <c r="O483" s="100">
        <f t="shared" si="195"/>
        <v>72469.805441835677</v>
      </c>
      <c r="P483" s="100">
        <f t="shared" si="195"/>
        <v>0</v>
      </c>
      <c r="Q483" s="100">
        <f t="shared" si="195"/>
        <v>0</v>
      </c>
      <c r="R483" s="100">
        <f t="shared" si="195"/>
        <v>3569.8614563638316</v>
      </c>
      <c r="S483" s="100">
        <f t="shared" si="195"/>
        <v>14.952902693107546</v>
      </c>
      <c r="T483" s="100">
        <f t="shared" si="195"/>
        <v>23.158098954484966</v>
      </c>
      <c r="U483" s="100"/>
      <c r="V483" s="102">
        <f>SUM(G483:T483)</f>
        <v>407159.16652148659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215432.12416510904</v>
      </c>
      <c r="H487" s="101">
        <f t="shared" si="196"/>
        <v>52485.293705311189</v>
      </c>
      <c r="I487" s="101">
        <f t="shared" si="196"/>
        <v>7218.801363846178</v>
      </c>
      <c r="J487" s="101">
        <f t="shared" si="196"/>
        <v>5496.6439236725819</v>
      </c>
      <c r="K487" s="101">
        <f t="shared" si="196"/>
        <v>0</v>
      </c>
      <c r="L487" s="101">
        <f t="shared" si="196"/>
        <v>46350.6526365381</v>
      </c>
      <c r="M487" s="101">
        <f t="shared" si="196"/>
        <v>3791.4679992388392</v>
      </c>
      <c r="N487" s="101">
        <f t="shared" si="196"/>
        <v>30001.739858912344</v>
      </c>
      <c r="O487" s="101">
        <f t="shared" si="196"/>
        <v>78969.763537291205</v>
      </c>
      <c r="P487" s="101">
        <f t="shared" si="196"/>
        <v>0</v>
      </c>
      <c r="Q487" s="101">
        <f t="shared" si="196"/>
        <v>0</v>
      </c>
      <c r="R487" s="101">
        <f t="shared" si="196"/>
        <v>3890.0492881301284</v>
      </c>
      <c r="S487" s="101">
        <f t="shared" si="196"/>
        <v>16.294057679215939</v>
      </c>
      <c r="T487" s="101">
        <f t="shared" si="196"/>
        <v>25.235193985399292</v>
      </c>
      <c r="U487" s="101"/>
      <c r="V487" s="101">
        <f t="shared" si="197"/>
        <v>443678.06572971412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657431.34563233121</v>
      </c>
      <c r="H488" s="101">
        <f t="shared" si="196"/>
        <v>127209.07410635111</v>
      </c>
      <c r="I488" s="101">
        <f t="shared" si="196"/>
        <v>351.11530252926059</v>
      </c>
      <c r="J488" s="101">
        <f t="shared" si="196"/>
        <v>905.26684521674588</v>
      </c>
      <c r="K488" s="101">
        <f t="shared" si="196"/>
        <v>0</v>
      </c>
      <c r="L488" s="101">
        <f t="shared" si="196"/>
        <v>6672.7173363278171</v>
      </c>
      <c r="M488" s="101">
        <f t="shared" si="196"/>
        <v>264.09977103287861</v>
      </c>
      <c r="N488" s="101">
        <f t="shared" si="196"/>
        <v>793.82590137050215</v>
      </c>
      <c r="O488" s="101">
        <f t="shared" si="196"/>
        <v>422.86495130697904</v>
      </c>
      <c r="P488" s="101">
        <f t="shared" si="196"/>
        <v>0</v>
      </c>
      <c r="Q488" s="101">
        <f t="shared" si="196"/>
        <v>0</v>
      </c>
      <c r="R488" s="101">
        <f t="shared" si="196"/>
        <v>28578.410933014467</v>
      </c>
      <c r="S488" s="101">
        <f t="shared" si="196"/>
        <v>0.67848367638504459</v>
      </c>
      <c r="T488" s="101">
        <f t="shared" si="196"/>
        <v>131.62583321869866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168495.6265040657</v>
      </c>
      <c r="H489" s="101">
        <f t="shared" si="196"/>
        <v>29238.751907782698</v>
      </c>
      <c r="I489" s="101">
        <f t="shared" si="196"/>
        <v>2931.5416293626304</v>
      </c>
      <c r="J489" s="101">
        <f t="shared" si="196"/>
        <v>2232.1809636886023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1337.6177921533747</v>
      </c>
      <c r="S489" s="101">
        <f t="shared" si="196"/>
        <v>5.602813703311484</v>
      </c>
      <c r="T489" s="101">
        <f t="shared" si="196"/>
        <v>8.6675946312905179</v>
      </c>
      <c r="U489" s="101"/>
      <c r="V489" s="101">
        <f t="shared" si="197"/>
        <v>204249.98920538757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251986.97838075054</v>
      </c>
      <c r="H490" s="101">
        <f t="shared" si="196"/>
        <v>48757.988829755588</v>
      </c>
      <c r="I490" s="101">
        <f t="shared" si="196"/>
        <v>134.57904728058401</v>
      </c>
      <c r="J490" s="101">
        <f t="shared" si="196"/>
        <v>346.97989146689707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10953.824252184502</v>
      </c>
      <c r="S490" s="101">
        <f t="shared" si="196"/>
        <v>0.26005613001079037</v>
      </c>
      <c r="T490" s="101">
        <f t="shared" si="196"/>
        <v>50.45088922209333</v>
      </c>
      <c r="U490" s="101"/>
      <c r="V490" s="101">
        <f t="shared" si="197"/>
        <v>312231.06134679023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1293346.0746822564</v>
      </c>
      <c r="H491" s="100">
        <f t="shared" si="200"/>
        <v>257691.10854920058</v>
      </c>
      <c r="I491" s="100">
        <f>SUM(I486:I490)</f>
        <v>10636.037343018654</v>
      </c>
      <c r="J491" s="100">
        <f>SUM(J486:J490)</f>
        <v>8981.0716240448273</v>
      </c>
      <c r="K491" s="100">
        <f>SUM(K486:K490)</f>
        <v>0</v>
      </c>
      <c r="L491" s="100">
        <f t="shared" si="200"/>
        <v>53023.369972865919</v>
      </c>
      <c r="M491" s="100">
        <f t="shared" si="200"/>
        <v>4055.5677702717176</v>
      </c>
      <c r="N491" s="100">
        <f t="shared" si="200"/>
        <v>30795.565760282847</v>
      </c>
      <c r="O491" s="100">
        <f t="shared" si="200"/>
        <v>79392.628488598188</v>
      </c>
      <c r="P491" s="100">
        <f>SUM(P486:P490)</f>
        <v>0</v>
      </c>
      <c r="Q491" s="100">
        <f t="shared" si="200"/>
        <v>0</v>
      </c>
      <c r="R491" s="100">
        <f t="shared" si="200"/>
        <v>44759.902265482473</v>
      </c>
      <c r="S491" s="100">
        <f t="shared" si="200"/>
        <v>22.83541118892326</v>
      </c>
      <c r="T491" s="100">
        <f t="shared" si="200"/>
        <v>215.9795110574818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221550.62085434343</v>
      </c>
      <c r="H494" s="100">
        <f t="shared" si="201"/>
        <v>38445.292454039263</v>
      </c>
      <c r="I494" s="100">
        <f t="shared" si="201"/>
        <v>3854.6096508325245</v>
      </c>
      <c r="J494" s="100">
        <f t="shared" si="201"/>
        <v>2935.0380696826187</v>
      </c>
      <c r="K494" s="100">
        <f t="shared" si="201"/>
        <v>0</v>
      </c>
      <c r="L494" s="100">
        <f t="shared" si="201"/>
        <v>30567.011483016973</v>
      </c>
      <c r="M494" s="100">
        <f t="shared" si="201"/>
        <v>0</v>
      </c>
      <c r="N494" s="100">
        <f t="shared" si="201"/>
        <v>17936.828026549971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1758.799670151946</v>
      </c>
      <c r="S494" s="100">
        <f t="shared" si="201"/>
        <v>7.3669974720081557</v>
      </c>
      <c r="T494" s="100">
        <f t="shared" si="201"/>
        <v>11.396800093383151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225642.87224953485</v>
      </c>
      <c r="H495" s="101">
        <f t="shared" si="201"/>
        <v>43660.560221619882</v>
      </c>
      <c r="I495" s="101">
        <f t="shared" si="201"/>
        <v>120.50941270113132</v>
      </c>
      <c r="J495" s="101">
        <f t="shared" si="201"/>
        <v>310.7047031816125</v>
      </c>
      <c r="K495" s="101">
        <f t="shared" si="201"/>
        <v>0</v>
      </c>
      <c r="L495" s="101">
        <f t="shared" si="201"/>
        <v>2290.2027952897611</v>
      </c>
      <c r="M495" s="101">
        <f t="shared" si="201"/>
        <v>0</v>
      </c>
      <c r="N495" s="101">
        <f t="shared" si="201"/>
        <v>272.45606349820997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9808.6511543658999</v>
      </c>
      <c r="S495" s="101">
        <f t="shared" si="201"/>
        <v>0.2328684303403504</v>
      </c>
      <c r="T495" s="101">
        <f t="shared" si="201"/>
        <v>45.176475486027975</v>
      </c>
      <c r="U495" s="101"/>
      <c r="V495" s="101">
        <f>SUM(G495:T495)</f>
        <v>282151.3659441077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447193.49310387828</v>
      </c>
      <c r="H496" s="100">
        <f t="shared" si="202"/>
        <v>82105.852675659145</v>
      </c>
      <c r="I496" s="100">
        <f>I494+I495</f>
        <v>3975.1190635336557</v>
      </c>
      <c r="J496" s="100">
        <f>J494+J495</f>
        <v>3245.742772864231</v>
      </c>
      <c r="K496" s="100">
        <f>K494+K495</f>
        <v>0</v>
      </c>
      <c r="L496" s="100">
        <f t="shared" si="202"/>
        <v>32857.214278306732</v>
      </c>
      <c r="M496" s="100">
        <f t="shared" si="202"/>
        <v>0</v>
      </c>
      <c r="N496" s="100">
        <f t="shared" si="202"/>
        <v>18209.284090048182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11567.450824517846</v>
      </c>
      <c r="S496" s="100">
        <f t="shared" si="202"/>
        <v>7.5998659023485065</v>
      </c>
      <c r="T496" s="100">
        <f t="shared" si="202"/>
        <v>56.573275579411124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132466.95556415876</v>
      </c>
      <c r="H499" s="100">
        <f t="shared" si="203"/>
        <v>51890.438253958026</v>
      </c>
      <c r="I499" s="100">
        <f t="shared" si="203"/>
        <v>190.55009493568207</v>
      </c>
      <c r="J499" s="100">
        <f t="shared" si="203"/>
        <v>491.42593324354533</v>
      </c>
      <c r="K499" s="100">
        <f t="shared" si="203"/>
        <v>0</v>
      </c>
      <c r="L499" s="100">
        <f t="shared" si="203"/>
        <v>3422.1456625597539</v>
      </c>
      <c r="M499" s="100">
        <f t="shared" si="203"/>
        <v>0</v>
      </c>
      <c r="N499" s="100">
        <f t="shared" si="203"/>
        <v>431.01602995777654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188892.53153881355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100178.55912697509</v>
      </c>
      <c r="H502" s="100">
        <f t="shared" si="204"/>
        <v>37338.415580109337</v>
      </c>
      <c r="I502" s="100">
        <f t="shared" si="204"/>
        <v>562.22382612353795</v>
      </c>
      <c r="J502" s="100">
        <f t="shared" si="204"/>
        <v>792.00767417713314</v>
      </c>
      <c r="K502" s="100">
        <f t="shared" si="204"/>
        <v>0</v>
      </c>
      <c r="L502" s="100">
        <f t="shared" si="204"/>
        <v>9823.8794659757677</v>
      </c>
      <c r="M502" s="100">
        <f t="shared" si="204"/>
        <v>2231.3710938825479</v>
      </c>
      <c r="N502" s="100">
        <f t="shared" si="204"/>
        <v>1579.3779678365242</v>
      </c>
      <c r="O502" s="100">
        <f t="shared" si="204"/>
        <v>4957.8288546288422</v>
      </c>
      <c r="P502" s="100">
        <f t="shared" si="204"/>
        <v>3381.2964011384038</v>
      </c>
      <c r="Q502" s="100">
        <f t="shared" si="204"/>
        <v>143.11131256614533</v>
      </c>
      <c r="R502" s="100">
        <f t="shared" si="204"/>
        <v>0</v>
      </c>
      <c r="S502" s="100">
        <f t="shared" si="204"/>
        <v>0.93047802047172512</v>
      </c>
      <c r="T502" s="100">
        <f t="shared" si="204"/>
        <v>180.51273597151467</v>
      </c>
      <c r="U502" s="100"/>
      <c r="V502" s="102">
        <f>SUM(G502:T502)</f>
        <v>161169.5145174053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5997227.8117389092</v>
      </c>
      <c r="H516" s="100">
        <f t="shared" si="209"/>
        <v>1523874.1719776562</v>
      </c>
      <c r="I516" s="100">
        <f>I471+I477+I480+I483+I491+I496+I499+I502+I505+I508+I511+I514</f>
        <v>146872.30025341199</v>
      </c>
      <c r="J516" s="100">
        <f>J471+J477+J480+J483+J491+J496+J499+J502+J505+J508+J511+J514</f>
        <v>95376.493963087982</v>
      </c>
      <c r="K516" s="100">
        <f>K471+K477+K480+K483+K491+K496+K499+K502+K505+K508+K511+K514</f>
        <v>0</v>
      </c>
      <c r="L516" s="100">
        <f t="shared" si="209"/>
        <v>1175888.7826870319</v>
      </c>
      <c r="M516" s="100">
        <f t="shared" si="209"/>
        <v>89485.929703563699</v>
      </c>
      <c r="N516" s="100">
        <f t="shared" si="209"/>
        <v>787065.33014594903</v>
      </c>
      <c r="O516" s="100">
        <f>O471+O477+O480+O483+O491+O496+O499+O502+O505+O508+O511+O514</f>
        <v>1950495.3102159805</v>
      </c>
      <c r="P516" s="100">
        <f>P471+P477+P480+P483+P491+P496+P499+P502+P505+P508+P511+P514</f>
        <v>637807.65750001732</v>
      </c>
      <c r="Q516" s="100">
        <f t="shared" si="209"/>
        <v>223430.9041528863</v>
      </c>
      <c r="R516" s="100">
        <f t="shared" si="209"/>
        <v>298178.13049600762</v>
      </c>
      <c r="S516" s="100">
        <f t="shared" si="209"/>
        <v>107.61179858696737</v>
      </c>
      <c r="T516" s="100">
        <f t="shared" si="209"/>
        <v>963.91376808164011</v>
      </c>
      <c r="U516" s="100"/>
      <c r="V516" s="102">
        <f>SUM(G516:T516)</f>
        <v>12926774.34840117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7022039.5767954551</v>
      </c>
      <c r="H585" s="100">
        <f t="shared" si="233"/>
        <v>1972898.4665011954</v>
      </c>
      <c r="I585" s="100">
        <f t="shared" si="233"/>
        <v>227670.16337738771</v>
      </c>
      <c r="J585" s="100">
        <f t="shared" si="233"/>
        <v>131524.22727042463</v>
      </c>
      <c r="K585" s="100">
        <f t="shared" si="233"/>
        <v>0</v>
      </c>
      <c r="L585" s="100">
        <f t="shared" si="233"/>
        <v>1993909.5129655844</v>
      </c>
      <c r="M585" s="100">
        <f t="shared" si="233"/>
        <v>151927.40827937782</v>
      </c>
      <c r="N585" s="100">
        <f t="shared" si="233"/>
        <v>1380111.9380902227</v>
      </c>
      <c r="O585" s="100">
        <f t="shared" si="233"/>
        <v>3469508.3154997951</v>
      </c>
      <c r="P585" s="100">
        <f t="shared" si="233"/>
        <v>1203346.112786639</v>
      </c>
      <c r="Q585" s="100">
        <f t="shared" si="233"/>
        <v>368275.21837854112</v>
      </c>
      <c r="R585" s="100">
        <f t="shared" si="233"/>
        <v>2309.4210007268775</v>
      </c>
      <c r="S585" s="100">
        <f t="shared" si="233"/>
        <v>8.7831727848455987</v>
      </c>
      <c r="T585" s="100">
        <f t="shared" si="233"/>
        <v>912.94950845682126</v>
      </c>
      <c r="U585" s="100"/>
      <c r="V585" s="102">
        <f t="shared" ref="V585:V591" si="234">SUM(G585:T585)</f>
        <v>17924442.093626592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7356030.9119321089</v>
      </c>
      <c r="H586" s="101">
        <f t="shared" si="233"/>
        <v>2066736.0169321625</v>
      </c>
      <c r="I586" s="101">
        <f t="shared" si="233"/>
        <v>238498.90636659981</v>
      </c>
      <c r="J586" s="101">
        <f t="shared" si="233"/>
        <v>137779.95280265133</v>
      </c>
      <c r="K586" s="101">
        <f t="shared" si="233"/>
        <v>0</v>
      </c>
      <c r="L586" s="101">
        <f t="shared" si="233"/>
        <v>2088746.4179835648</v>
      </c>
      <c r="M586" s="101">
        <f t="shared" si="233"/>
        <v>159153.57631505234</v>
      </c>
      <c r="N586" s="101">
        <f t="shared" si="233"/>
        <v>1445754.6083998568</v>
      </c>
      <c r="O586" s="101">
        <f t="shared" si="233"/>
        <v>3634529.5606649094</v>
      </c>
      <c r="P586" s="101">
        <f t="shared" si="233"/>
        <v>1260581.2181211668</v>
      </c>
      <c r="Q586" s="101">
        <f t="shared" si="233"/>
        <v>385791.60098203021</v>
      </c>
      <c r="R586" s="101">
        <f t="shared" si="233"/>
        <v>2419.2646714994362</v>
      </c>
      <c r="S586" s="101">
        <f t="shared" si="233"/>
        <v>9.2009294170981928</v>
      </c>
      <c r="T586" s="101">
        <f t="shared" si="233"/>
        <v>956.37239462930211</v>
      </c>
      <c r="U586" s="101"/>
      <c r="V586" s="101">
        <f t="shared" si="234"/>
        <v>18776987.608495649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6046632.6049201656</v>
      </c>
      <c r="H587" s="101">
        <f t="shared" si="233"/>
        <v>1698850.0368417411</v>
      </c>
      <c r="I587" s="101">
        <f t="shared" si="233"/>
        <v>196045.29681011132</v>
      </c>
      <c r="J587" s="101">
        <f t="shared" si="233"/>
        <v>113254.65660693544</v>
      </c>
      <c r="K587" s="101">
        <f t="shared" si="233"/>
        <v>0</v>
      </c>
      <c r="L587" s="101">
        <f t="shared" si="233"/>
        <v>1716942.5122864672</v>
      </c>
      <c r="M587" s="101">
        <f t="shared" si="233"/>
        <v>130823.70306182954</v>
      </c>
      <c r="N587" s="101">
        <f t="shared" si="233"/>
        <v>1188405.4129903095</v>
      </c>
      <c r="O587" s="101">
        <f t="shared" si="233"/>
        <v>2987571.0431578779</v>
      </c>
      <c r="P587" s="101">
        <f t="shared" si="233"/>
        <v>1036193.5105897194</v>
      </c>
      <c r="Q587" s="101">
        <f t="shared" si="233"/>
        <v>317119.39510998945</v>
      </c>
      <c r="R587" s="101">
        <f t="shared" si="233"/>
        <v>1988.6274021621423</v>
      </c>
      <c r="S587" s="101">
        <f t="shared" si="233"/>
        <v>7.5631329551308575</v>
      </c>
      <c r="T587" s="101">
        <f t="shared" si="233"/>
        <v>786.13488347783675</v>
      </c>
      <c r="U587" s="101"/>
      <c r="V587" s="101">
        <f t="shared" si="234"/>
        <v>15434620.49779374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20424703.09364773</v>
      </c>
      <c r="H591" s="100">
        <f t="shared" si="237"/>
        <v>5738484.5202750992</v>
      </c>
      <c r="I591" s="100">
        <f>SUM(I585:I590)</f>
        <v>662214.3665540989</v>
      </c>
      <c r="J591" s="100">
        <f>SUM(J585:J590)</f>
        <v>382558.83668001136</v>
      </c>
      <c r="K591" s="100">
        <f>SUM(K585:K590)</f>
        <v>0</v>
      </c>
      <c r="L591" s="100">
        <f t="shared" si="237"/>
        <v>5799598.4432356162</v>
      </c>
      <c r="M591" s="100">
        <f t="shared" si="237"/>
        <v>441904.68765625975</v>
      </c>
      <c r="N591" s="100">
        <f t="shared" si="237"/>
        <v>4014271.959480389</v>
      </c>
      <c r="O591" s="100">
        <f t="shared" si="237"/>
        <v>10091608.919322582</v>
      </c>
      <c r="P591" s="100">
        <f>SUM(P585:P590)</f>
        <v>3500120.8414975251</v>
      </c>
      <c r="Q591" s="100">
        <f t="shared" si="237"/>
        <v>1071186.2144705607</v>
      </c>
      <c r="R591" s="100">
        <f t="shared" si="237"/>
        <v>6717.3130743884558</v>
      </c>
      <c r="S591" s="100">
        <f t="shared" si="237"/>
        <v>25.547235157074649</v>
      </c>
      <c r="T591" s="100">
        <f t="shared" si="237"/>
        <v>2655.4567865639601</v>
      </c>
      <c r="U591" s="100"/>
      <c r="V591" s="102">
        <f t="shared" si="234"/>
        <v>52136050.199915975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5059592.7951044291</v>
      </c>
      <c r="H594" s="100">
        <f t="shared" si="238"/>
        <v>1232658.3832818235</v>
      </c>
      <c r="I594" s="100">
        <f t="shared" si="238"/>
        <v>169539.22499419673</v>
      </c>
      <c r="J594" s="100">
        <f t="shared" si="238"/>
        <v>129093.00366065142</v>
      </c>
      <c r="K594" s="100">
        <f t="shared" si="238"/>
        <v>0</v>
      </c>
      <c r="L594" s="100">
        <f t="shared" si="238"/>
        <v>1088581.5151155528</v>
      </c>
      <c r="M594" s="100">
        <f t="shared" si="238"/>
        <v>89045.606574048361</v>
      </c>
      <c r="N594" s="100">
        <f t="shared" si="238"/>
        <v>704614.44605360739</v>
      </c>
      <c r="O594" s="100">
        <f t="shared" si="238"/>
        <v>1854666.977698074</v>
      </c>
      <c r="P594" s="100">
        <f t="shared" si="238"/>
        <v>725300.23289692181</v>
      </c>
      <c r="Q594" s="100">
        <f t="shared" si="238"/>
        <v>415960.29042610922</v>
      </c>
      <c r="R594" s="100">
        <f t="shared" si="238"/>
        <v>91360.865642023782</v>
      </c>
      <c r="S594" s="100">
        <f t="shared" si="238"/>
        <v>382.678753952188</v>
      </c>
      <c r="T594" s="100">
        <f t="shared" si="238"/>
        <v>592.66836905778246</v>
      </c>
      <c r="U594" s="100"/>
      <c r="V594" s="102">
        <f>SUM(G594:T594)</f>
        <v>11561388.688570449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5059592.7951044291</v>
      </c>
      <c r="H597" s="100">
        <f t="shared" si="239"/>
        <v>1232658.3832818235</v>
      </c>
      <c r="I597" s="100">
        <f>SUM(I594:I596)</f>
        <v>169539.22499419673</v>
      </c>
      <c r="J597" s="100">
        <f>SUM(J594:J596)</f>
        <v>129093.00366065142</v>
      </c>
      <c r="K597" s="100">
        <f>SUM(K594:K596)</f>
        <v>0</v>
      </c>
      <c r="L597" s="100">
        <f t="shared" si="239"/>
        <v>1088581.5151155528</v>
      </c>
      <c r="M597" s="100">
        <f t="shared" si="239"/>
        <v>89045.606574048361</v>
      </c>
      <c r="N597" s="100">
        <f t="shared" si="239"/>
        <v>704614.44605360739</v>
      </c>
      <c r="O597" s="100">
        <f t="shared" si="239"/>
        <v>1854666.977698074</v>
      </c>
      <c r="P597" s="100">
        <f>SUM(P594:P596)</f>
        <v>725300.23289692181</v>
      </c>
      <c r="Q597" s="100">
        <f t="shared" si="239"/>
        <v>415960.29042610922</v>
      </c>
      <c r="R597" s="100">
        <f t="shared" si="239"/>
        <v>91360.865642023782</v>
      </c>
      <c r="S597" s="100">
        <f t="shared" si="239"/>
        <v>382.678753952188</v>
      </c>
      <c r="T597" s="100">
        <f t="shared" si="239"/>
        <v>592.66836905778246</v>
      </c>
      <c r="U597" s="100"/>
      <c r="V597" s="102">
        <f>SUM(G597:T597)</f>
        <v>11561388.688570449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1316726.2551493126</v>
      </c>
      <c r="H603" s="100">
        <f t="shared" si="241"/>
        <v>320791.36061454157</v>
      </c>
      <c r="I603" s="100">
        <f t="shared" si="241"/>
        <v>44121.485239587906</v>
      </c>
      <c r="J603" s="100">
        <f t="shared" si="241"/>
        <v>33595.61809806824</v>
      </c>
      <c r="K603" s="100">
        <f t="shared" si="241"/>
        <v>0</v>
      </c>
      <c r="L603" s="100">
        <f t="shared" si="241"/>
        <v>283296.28882580501</v>
      </c>
      <c r="M603" s="100">
        <f t="shared" si="241"/>
        <v>23173.542383725708</v>
      </c>
      <c r="N603" s="100">
        <f t="shared" si="241"/>
        <v>183371.34596562418</v>
      </c>
      <c r="O603" s="100">
        <f t="shared" si="241"/>
        <v>482665.06870995619</v>
      </c>
      <c r="P603" s="100">
        <f t="shared" si="241"/>
        <v>0</v>
      </c>
      <c r="Q603" s="100">
        <f t="shared" si="241"/>
        <v>0</v>
      </c>
      <c r="R603" s="100">
        <f t="shared" si="241"/>
        <v>23776.073560785153</v>
      </c>
      <c r="S603" s="100">
        <f t="shared" si="241"/>
        <v>99.589667196976393</v>
      </c>
      <c r="T603" s="100">
        <f t="shared" si="241"/>
        <v>154.23810447551989</v>
      </c>
      <c r="U603" s="100"/>
      <c r="V603" s="102">
        <f>SUM(G603:T603)</f>
        <v>2711770.866319079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1434825.9993044946</v>
      </c>
      <c r="H607" s="101">
        <f t="shared" si="242"/>
        <v>349563.76297806395</v>
      </c>
      <c r="I607" s="101">
        <f t="shared" si="242"/>
        <v>48078.827244552398</v>
      </c>
      <c r="J607" s="101">
        <f t="shared" si="242"/>
        <v>36608.874563944017</v>
      </c>
      <c r="K607" s="101">
        <f t="shared" si="242"/>
        <v>0</v>
      </c>
      <c r="L607" s="101">
        <f t="shared" si="242"/>
        <v>308705.6851218075</v>
      </c>
      <c r="M607" s="101">
        <f t="shared" si="242"/>
        <v>25252.022565908243</v>
      </c>
      <c r="N607" s="101">
        <f t="shared" si="242"/>
        <v>199818.27938040282</v>
      </c>
      <c r="O607" s="101">
        <f t="shared" si="242"/>
        <v>525956.23944826983</v>
      </c>
      <c r="P607" s="101">
        <f t="shared" si="242"/>
        <v>0</v>
      </c>
      <c r="Q607" s="101">
        <f t="shared" si="242"/>
        <v>0</v>
      </c>
      <c r="R607" s="101">
        <f t="shared" si="242"/>
        <v>25908.595938585768</v>
      </c>
      <c r="S607" s="101">
        <f t="shared" si="242"/>
        <v>108.52205855050713</v>
      </c>
      <c r="T607" s="101">
        <f t="shared" si="242"/>
        <v>168.07202067966938</v>
      </c>
      <c r="U607" s="101"/>
      <c r="V607" s="101">
        <f t="shared" si="243"/>
        <v>2954994.8806252596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4378639.4026735546</v>
      </c>
      <c r="H608" s="101">
        <f t="shared" si="242"/>
        <v>847240.80766783701</v>
      </c>
      <c r="I608" s="101">
        <f t="shared" si="242"/>
        <v>2338.5062314872675</v>
      </c>
      <c r="J608" s="101">
        <f t="shared" si="242"/>
        <v>6029.2791098780417</v>
      </c>
      <c r="K608" s="101">
        <f t="shared" si="242"/>
        <v>0</v>
      </c>
      <c r="L608" s="101">
        <f t="shared" si="242"/>
        <v>44441.785816655851</v>
      </c>
      <c r="M608" s="101">
        <f t="shared" si="242"/>
        <v>1758.963382814336</v>
      </c>
      <c r="N608" s="101">
        <f t="shared" si="242"/>
        <v>5287.0575668407782</v>
      </c>
      <c r="O608" s="101">
        <f t="shared" si="242"/>
        <v>2816.3748961824917</v>
      </c>
      <c r="P608" s="101">
        <f t="shared" si="242"/>
        <v>0</v>
      </c>
      <c r="Q608" s="101">
        <f t="shared" si="242"/>
        <v>0</v>
      </c>
      <c r="R608" s="101">
        <f t="shared" si="242"/>
        <v>190338.59125888927</v>
      </c>
      <c r="S608" s="101">
        <f t="shared" si="242"/>
        <v>4.5188526212314342</v>
      </c>
      <c r="T608" s="101">
        <f t="shared" si="242"/>
        <v>876.65740851889848</v>
      </c>
      <c r="U608" s="101"/>
      <c r="V608" s="101">
        <f t="shared" si="243"/>
        <v>5479771.9448652808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1122218.4556461251</v>
      </c>
      <c r="H609" s="101">
        <f t="shared" si="242"/>
        <v>194736.60944060382</v>
      </c>
      <c r="I609" s="101">
        <f t="shared" si="242"/>
        <v>19524.721135039516</v>
      </c>
      <c r="J609" s="101">
        <f t="shared" si="242"/>
        <v>14866.823108508745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8908.8328528154343</v>
      </c>
      <c r="S609" s="101">
        <f t="shared" si="242"/>
        <v>37.315988977621593</v>
      </c>
      <c r="T609" s="101">
        <f t="shared" si="242"/>
        <v>57.728113560613899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1678289.4819798542</v>
      </c>
      <c r="H610" s="101">
        <f t="shared" si="242"/>
        <v>324739.08112753922</v>
      </c>
      <c r="I610" s="101">
        <f t="shared" si="242"/>
        <v>896.32647288859846</v>
      </c>
      <c r="J610" s="101">
        <f t="shared" si="242"/>
        <v>2310.9634714040822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72954.912781721083</v>
      </c>
      <c r="S610" s="101">
        <f t="shared" si="242"/>
        <v>1.732031831668789</v>
      </c>
      <c r="T610" s="101">
        <f t="shared" si="242"/>
        <v>336.01417534374514</v>
      </c>
      <c r="U610" s="101"/>
      <c r="V610" s="101">
        <f t="shared" si="243"/>
        <v>2079528.5120405827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8613973.3396040294</v>
      </c>
      <c r="H611" s="100">
        <f t="shared" si="246"/>
        <v>1716280.2612140439</v>
      </c>
      <c r="I611" s="100">
        <f>SUM(I606:I610)</f>
        <v>70838.38108396779</v>
      </c>
      <c r="J611" s="100">
        <f>SUM(J606:J610)</f>
        <v>59815.940253734887</v>
      </c>
      <c r="K611" s="100">
        <f>SUM(K606:K610)</f>
        <v>0</v>
      </c>
      <c r="L611" s="100">
        <f t="shared" si="246"/>
        <v>353147.47093846335</v>
      </c>
      <c r="M611" s="100">
        <f t="shared" si="246"/>
        <v>27010.985948722577</v>
      </c>
      <c r="N611" s="100">
        <f t="shared" si="246"/>
        <v>205105.3369472436</v>
      </c>
      <c r="O611" s="100">
        <f t="shared" si="246"/>
        <v>528772.61434445227</v>
      </c>
      <c r="P611" s="100">
        <f>SUM(P606:P610)</f>
        <v>0</v>
      </c>
      <c r="Q611" s="100">
        <f t="shared" si="246"/>
        <v>0</v>
      </c>
      <c r="R611" s="100">
        <f t="shared" si="246"/>
        <v>298110.93283201155</v>
      </c>
      <c r="S611" s="100">
        <f t="shared" si="246"/>
        <v>152.08893198102894</v>
      </c>
      <c r="T611" s="100">
        <f t="shared" si="246"/>
        <v>1438.4717181029268</v>
      </c>
      <c r="U611" s="100"/>
      <c r="V611" s="102">
        <f t="shared" si="243"/>
        <v>11874645.823816752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1475576.5519920022</v>
      </c>
      <c r="H614" s="100">
        <f t="shared" si="247"/>
        <v>256054.22300735224</v>
      </c>
      <c r="I614" s="100">
        <f t="shared" si="247"/>
        <v>25672.560049334861</v>
      </c>
      <c r="J614" s="100">
        <f t="shared" si="247"/>
        <v>19548.008207455379</v>
      </c>
      <c r="K614" s="100">
        <f t="shared" si="247"/>
        <v>0</v>
      </c>
      <c r="L614" s="100">
        <f t="shared" si="247"/>
        <v>203583.11448137779</v>
      </c>
      <c r="M614" s="100">
        <f t="shared" si="247"/>
        <v>0</v>
      </c>
      <c r="N614" s="100">
        <f t="shared" si="247"/>
        <v>119463.27548542836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11713.998105352637</v>
      </c>
      <c r="S614" s="100">
        <f t="shared" si="247"/>
        <v>49.065846380211028</v>
      </c>
      <c r="T614" s="100">
        <f t="shared" si="247"/>
        <v>75.905230690337518</v>
      </c>
      <c r="U614" s="100"/>
      <c r="V614" s="102">
        <f>SUM(G614:T614)</f>
        <v>2111736.702405374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1502831.8590650116</v>
      </c>
      <c r="H615" s="101">
        <f t="shared" si="247"/>
        <v>290789.0696104723</v>
      </c>
      <c r="I615" s="101">
        <f t="shared" si="247"/>
        <v>802.61956834245734</v>
      </c>
      <c r="J615" s="101">
        <f t="shared" si="247"/>
        <v>2069.3626262046832</v>
      </c>
      <c r="K615" s="101">
        <f t="shared" si="247"/>
        <v>0</v>
      </c>
      <c r="L615" s="101">
        <f t="shared" si="247"/>
        <v>15253.261448803833</v>
      </c>
      <c r="M615" s="101">
        <f t="shared" si="247"/>
        <v>0</v>
      </c>
      <c r="N615" s="101">
        <f t="shared" si="247"/>
        <v>1814.618154513382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65327.804518169367</v>
      </c>
      <c r="S615" s="101">
        <f t="shared" si="247"/>
        <v>1.5509556876182751</v>
      </c>
      <c r="T615" s="101">
        <f t="shared" si="247"/>
        <v>300.88540339794537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2978408.411057014</v>
      </c>
      <c r="H616" s="100">
        <f t="shared" si="248"/>
        <v>546843.29261782451</v>
      </c>
      <c r="I616" s="100">
        <f>I614+I615</f>
        <v>26475.179617677317</v>
      </c>
      <c r="J616" s="100">
        <f>J614+J615</f>
        <v>21617.370833660061</v>
      </c>
      <c r="K616" s="100">
        <f>K614+K615</f>
        <v>0</v>
      </c>
      <c r="L616" s="100">
        <f t="shared" si="248"/>
        <v>218836.37593018162</v>
      </c>
      <c r="M616" s="100">
        <f t="shared" si="248"/>
        <v>0</v>
      </c>
      <c r="N616" s="100">
        <f t="shared" si="248"/>
        <v>121277.89363994174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77041.802623522002</v>
      </c>
      <c r="S616" s="100">
        <f t="shared" si="248"/>
        <v>50.616802067829305</v>
      </c>
      <c r="T616" s="100">
        <f t="shared" si="248"/>
        <v>376.7906340882829</v>
      </c>
      <c r="U616" s="100"/>
      <c r="V616" s="102">
        <f>SUM(G616:T616)</f>
        <v>3990927.7337559774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882259.47095289826</v>
      </c>
      <c r="H619" s="100">
        <f t="shared" si="249"/>
        <v>345601.89298890962</v>
      </c>
      <c r="I619" s="100">
        <f t="shared" si="249"/>
        <v>1269.1061346733759</v>
      </c>
      <c r="J619" s="100">
        <f t="shared" si="249"/>
        <v>3273.0063284801058</v>
      </c>
      <c r="K619" s="100">
        <f t="shared" si="249"/>
        <v>0</v>
      </c>
      <c r="L619" s="100">
        <f t="shared" si="249"/>
        <v>22792.253425884774</v>
      </c>
      <c r="M619" s="100">
        <f t="shared" si="249"/>
        <v>0</v>
      </c>
      <c r="N619" s="100">
        <f t="shared" si="249"/>
        <v>2870.6628981035824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1258066.3927289494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667211.54872002185</v>
      </c>
      <c r="H622" s="100">
        <f t="shared" si="250"/>
        <v>248682.17613691272</v>
      </c>
      <c r="I622" s="100">
        <f t="shared" si="250"/>
        <v>3744.5360866063093</v>
      </c>
      <c r="J622" s="100">
        <f t="shared" si="250"/>
        <v>5274.9477681754279</v>
      </c>
      <c r="K622" s="100">
        <f t="shared" si="250"/>
        <v>0</v>
      </c>
      <c r="L622" s="100">
        <f t="shared" si="250"/>
        <v>65429.228470182243</v>
      </c>
      <c r="M622" s="100">
        <f t="shared" si="250"/>
        <v>14861.429194958104</v>
      </c>
      <c r="N622" s="100">
        <f t="shared" si="250"/>
        <v>10519.009547730029</v>
      </c>
      <c r="O622" s="100">
        <f t="shared" si="250"/>
        <v>33020.246020837389</v>
      </c>
      <c r="P622" s="100">
        <f t="shared" si="250"/>
        <v>22520.188233347293</v>
      </c>
      <c r="Q622" s="100">
        <f t="shared" si="250"/>
        <v>953.15326282130115</v>
      </c>
      <c r="R622" s="100">
        <f t="shared" si="250"/>
        <v>0</v>
      </c>
      <c r="S622" s="100">
        <f t="shared" si="250"/>
        <v>6.1971911604557119</v>
      </c>
      <c r="T622" s="100">
        <f t="shared" si="250"/>
        <v>1202.2550851284082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39942874.914235435</v>
      </c>
      <c r="H636" s="100">
        <f t="shared" si="255"/>
        <v>10149341.887129154</v>
      </c>
      <c r="I636" s="100">
        <f>I591+I597+I600+I603+I611+I616+I619+I622+I625+I628+I631+I634</f>
        <v>978202.27971080842</v>
      </c>
      <c r="J636" s="100">
        <f>J591+J597+J600+J603+J611+J616+J619+J622+J625+J628+J631+J634</f>
        <v>635228.72362278146</v>
      </c>
      <c r="K636" s="100">
        <f>K591+K597+K600+K603+K611+K616+K619+K622+K625+K628+K631+K634</f>
        <v>0</v>
      </c>
      <c r="L636" s="100">
        <f t="shared" si="255"/>
        <v>7831681.5759416865</v>
      </c>
      <c r="M636" s="100">
        <f t="shared" si="255"/>
        <v>595996.25175771455</v>
      </c>
      <c r="N636" s="100">
        <f t="shared" si="255"/>
        <v>5242030.6545326393</v>
      </c>
      <c r="O636" s="100">
        <f>O591+O597+O600+O603+O611+O616+O619+O622+O625+O628+O631+O634</f>
        <v>12990733.826095901</v>
      </c>
      <c r="P636" s="100">
        <f>P591+P597+P600+P603+P611+P616+P619+P622+P625+P628+P631+P634</f>
        <v>4247941.2626277944</v>
      </c>
      <c r="Q636" s="100">
        <f t="shared" si="255"/>
        <v>1488099.6581594911</v>
      </c>
      <c r="R636" s="100">
        <f t="shared" si="255"/>
        <v>1985932.8580531683</v>
      </c>
      <c r="S636" s="100">
        <f t="shared" si="255"/>
        <v>716.71858151555307</v>
      </c>
      <c r="T636" s="100">
        <f t="shared" si="255"/>
        <v>6419.8806974168801</v>
      </c>
      <c r="U636" s="100"/>
      <c r="V636" s="102">
        <f>SUM(G636:T636)</f>
        <v>86095200.491145492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18157524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167699907</v>
      </c>
      <c r="M651" s="100">
        <f t="shared" si="256"/>
        <v>13950650.999999998</v>
      </c>
      <c r="N651" s="100">
        <f t="shared" si="256"/>
        <v>105481955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2829615.4300200166</v>
      </c>
      <c r="H652" s="101">
        <f t="shared" si="256"/>
        <v>838290.47107581364</v>
      </c>
      <c r="I652" s="101">
        <f t="shared" si="256"/>
        <v>98716.385182052603</v>
      </c>
      <c r="J652" s="101">
        <f t="shared" si="256"/>
        <v>70540.746440541348</v>
      </c>
      <c r="K652" s="101">
        <f t="shared" si="256"/>
        <v>0</v>
      </c>
      <c r="L652" s="101">
        <f t="shared" si="256"/>
        <v>963193.25245924934</v>
      </c>
      <c r="M652" s="101">
        <f t="shared" si="256"/>
        <v>76946.693901392908</v>
      </c>
      <c r="N652" s="101">
        <f t="shared" si="256"/>
        <v>711456.62828881259</v>
      </c>
      <c r="O652" s="101">
        <f t="shared" si="256"/>
        <v>1865957.3271087771</v>
      </c>
      <c r="P652" s="101">
        <f t="shared" si="256"/>
        <v>664530.24368404015</v>
      </c>
      <c r="Q652" s="101">
        <f t="shared" si="256"/>
        <v>245327.47728685281</v>
      </c>
      <c r="R652" s="101">
        <f t="shared" si="256"/>
        <v>57429.364383024025</v>
      </c>
      <c r="S652" s="101">
        <f t="shared" si="256"/>
        <v>207.50576376202625</v>
      </c>
      <c r="T652" s="101">
        <f t="shared" si="256"/>
        <v>691.71440566367289</v>
      </c>
      <c r="U652" s="101"/>
      <c r="V652" s="101">
        <f t="shared" si="257"/>
        <v>8422903.2399999984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-6814930.5235281447</v>
      </c>
      <c r="H654" s="101">
        <f t="shared" si="256"/>
        <v>-1914709.5131179304</v>
      </c>
      <c r="I654" s="101">
        <f t="shared" si="256"/>
        <v>-220955.22657325433</v>
      </c>
      <c r="J654" s="101">
        <f t="shared" si="256"/>
        <v>-127645.0326441643</v>
      </c>
      <c r="K654" s="101">
        <f t="shared" si="256"/>
        <v>0</v>
      </c>
      <c r="L654" s="101">
        <f t="shared" si="256"/>
        <v>-1935100.8567319147</v>
      </c>
      <c r="M654" s="101">
        <f t="shared" si="256"/>
        <v>-147446.43927457801</v>
      </c>
      <c r="N654" s="101">
        <f t="shared" si="256"/>
        <v>-1339406.716512531</v>
      </c>
      <c r="O654" s="101">
        <f t="shared" si="256"/>
        <v>-3367178.1342657343</v>
      </c>
      <c r="P654" s="101">
        <f t="shared" si="256"/>
        <v>-1167854.4480862995</v>
      </c>
      <c r="Q654" s="101">
        <f t="shared" si="256"/>
        <v>-357413.25569860422</v>
      </c>
      <c r="R654" s="101">
        <f t="shared" si="256"/>
        <v>-2241.3066029332858</v>
      </c>
      <c r="S654" s="101">
        <f t="shared" si="256"/>
        <v>-8.5241206134275131</v>
      </c>
      <c r="T654" s="101">
        <f t="shared" si="256"/>
        <v>-886.02284330355565</v>
      </c>
      <c r="U654" s="101"/>
      <c r="V654" s="101">
        <f>SUM(G654:T654)</f>
        <v>-17395776.000000004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1333.8401938119152</v>
      </c>
      <c r="M657" s="101">
        <f t="shared" si="256"/>
        <v>52.641548163787689</v>
      </c>
      <c r="N657" s="101">
        <f t="shared" si="256"/>
        <v>924.17960031832934</v>
      </c>
      <c r="O657" s="101">
        <f t="shared" si="256"/>
        <v>491.17858623357637</v>
      </c>
      <c r="P657" s="101">
        <f t="shared" si="256"/>
        <v>53.292432502738841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2108281.5867796545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1463063.455471054</v>
      </c>
      <c r="H658" s="101">
        <f t="shared" si="256"/>
        <v>371428.95912896114</v>
      </c>
      <c r="I658" s="101">
        <f t="shared" si="256"/>
        <v>35511.532197017441</v>
      </c>
      <c r="J658" s="101">
        <f t="shared" si="256"/>
        <v>23323.744673155743</v>
      </c>
      <c r="K658" s="101">
        <f t="shared" si="256"/>
        <v>0</v>
      </c>
      <c r="L658" s="101">
        <f t="shared" si="256"/>
        <v>283629.74982383661</v>
      </c>
      <c r="M658" s="101">
        <f t="shared" si="256"/>
        <v>21628.940464750027</v>
      </c>
      <c r="N658" s="101">
        <f t="shared" si="256"/>
        <v>189824.76884730998</v>
      </c>
      <c r="O658" s="101">
        <f t="shared" si="256"/>
        <v>470713.71246766712</v>
      </c>
      <c r="P658" s="101">
        <f t="shared" si="256"/>
        <v>153825.01085416283</v>
      </c>
      <c r="Q658" s="101">
        <f t="shared" si="256"/>
        <v>54675.719032413566</v>
      </c>
      <c r="R658" s="101">
        <f t="shared" si="256"/>
        <v>74749.888341491052</v>
      </c>
      <c r="S658" s="101">
        <f t="shared" si="256"/>
        <v>28.813961277572414</v>
      </c>
      <c r="T658" s="101">
        <f t="shared" si="256"/>
        <v>240.40014875540888</v>
      </c>
      <c r="U658" s="101"/>
      <c r="V658" s="101">
        <f t="shared" si="257"/>
        <v>3142644.6954118526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14132.553559281707</v>
      </c>
      <c r="M663" s="101">
        <f t="shared" si="260"/>
        <v>557.75759518995483</v>
      </c>
      <c r="N663" s="101">
        <f t="shared" si="260"/>
        <v>9792.0408760272257</v>
      </c>
      <c r="O663" s="101">
        <f t="shared" si="260"/>
        <v>5204.2273949476757</v>
      </c>
      <c r="P663" s="101">
        <f t="shared" si="260"/>
        <v>564.65396690209855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22338060.122524947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577844712.95942223</v>
      </c>
      <c r="H668" s="102">
        <f t="shared" si="261"/>
        <v>199684430.37822992</v>
      </c>
      <c r="I668" s="102">
        <f t="shared" si="261"/>
        <v>18070796.690805815</v>
      </c>
      <c r="J668" s="102">
        <f t="shared" si="261"/>
        <v>12017850.009784205</v>
      </c>
      <c r="K668" s="102">
        <f t="shared" si="261"/>
        <v>0</v>
      </c>
      <c r="L668" s="102">
        <f t="shared" si="261"/>
        <v>167125746.87206659</v>
      </c>
      <c r="M668" s="102">
        <f t="shared" si="261"/>
        <v>13907925.336421834</v>
      </c>
      <c r="N668" s="102">
        <f t="shared" si="261"/>
        <v>105096309.91145328</v>
      </c>
      <c r="O668" s="102">
        <f t="shared" si="261"/>
        <v>250644970.79994208</v>
      </c>
      <c r="P668" s="102">
        <f t="shared" si="261"/>
        <v>86381264.715628594</v>
      </c>
      <c r="Q668" s="102">
        <f t="shared" si="261"/>
        <v>29834696.940620665</v>
      </c>
      <c r="R668" s="102">
        <f t="shared" si="261"/>
        <v>26167711.439184483</v>
      </c>
      <c r="S668" s="102">
        <f t="shared" si="261"/>
        <v>29697.795604426177</v>
      </c>
      <c r="T668" s="102">
        <f t="shared" si="261"/>
        <v>156558.0917111155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933774238.57748592</v>
      </c>
      <c r="G671" s="102">
        <f t="shared" si="262"/>
        <v>369750438.26943767</v>
      </c>
      <c r="H671" s="102">
        <f t="shared" si="262"/>
        <v>108040603.16778158</v>
      </c>
      <c r="I671" s="102">
        <f t="shared" si="262"/>
        <v>10350219.424592916</v>
      </c>
      <c r="J671" s="102">
        <f t="shared" si="262"/>
        <v>7648650.5128025142</v>
      </c>
      <c r="K671" s="102">
        <f t="shared" si="262"/>
        <v>0</v>
      </c>
      <c r="L671" s="102">
        <f t="shared" si="262"/>
        <v>95071942.19302471</v>
      </c>
      <c r="M671" s="102">
        <f t="shared" si="262"/>
        <v>7627304.0729848789</v>
      </c>
      <c r="N671" s="102">
        <f t="shared" si="262"/>
        <v>68032729.816723764</v>
      </c>
      <c r="O671" s="102">
        <f t="shared" si="262"/>
        <v>175040338.85430616</v>
      </c>
      <c r="P671" s="102">
        <f t="shared" si="262"/>
        <v>61065442.523790225</v>
      </c>
      <c r="Q671" s="102">
        <f t="shared" si="262"/>
        <v>22506318.80624507</v>
      </c>
      <c r="R671" s="102">
        <f t="shared" si="262"/>
        <v>8527055.2071533166</v>
      </c>
      <c r="S671" s="102">
        <f t="shared" si="262"/>
        <v>18421.053384519793</v>
      </c>
      <c r="T671" s="102">
        <f t="shared" si="262"/>
        <v>94774.67525865206</v>
      </c>
      <c r="U671" s="102"/>
      <c r="V671" s="102">
        <f t="shared" ref="V671:V679" si="263">SUM(G671:T671)</f>
        <v>933774238.57748616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103212714.50375618</v>
      </c>
      <c r="H672" s="101">
        <f t="shared" si="266"/>
        <v>26620242.817391425</v>
      </c>
      <c r="I672" s="101">
        <f t="shared" si="266"/>
        <v>2634019.9240852045</v>
      </c>
      <c r="J672" s="101">
        <f t="shared" si="266"/>
        <v>1674002.4683049966</v>
      </c>
      <c r="K672" s="101">
        <f t="shared" si="266"/>
        <v>0</v>
      </c>
      <c r="L672" s="101">
        <f t="shared" si="266"/>
        <v>21482536.76264691</v>
      </c>
      <c r="M672" s="101">
        <f t="shared" si="266"/>
        <v>1634201.5994602446</v>
      </c>
      <c r="N672" s="101">
        <f t="shared" si="266"/>
        <v>14476032.479302654</v>
      </c>
      <c r="O672" s="101">
        <f t="shared" si="266"/>
        <v>35957290.852767274</v>
      </c>
      <c r="P672" s="101">
        <f t="shared" si="266"/>
        <v>11879066.597491371</v>
      </c>
      <c r="Q672" s="101">
        <f t="shared" si="266"/>
        <v>4025831.7532980423</v>
      </c>
      <c r="R672" s="101">
        <f t="shared" si="266"/>
        <v>4449147.9265725138</v>
      </c>
      <c r="S672" s="101">
        <f t="shared" si="266"/>
        <v>1564.3616909088698</v>
      </c>
      <c r="T672" s="101">
        <f t="shared" si="266"/>
        <v>16184.492421853449</v>
      </c>
      <c r="U672" s="101"/>
      <c r="V672" s="102">
        <f t="shared" si="263"/>
        <v>228062836.53918955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11549330.885182716</v>
      </c>
      <c r="H674" s="101">
        <f t="shared" si="268"/>
        <v>2934643.7374121877</v>
      </c>
      <c r="I674" s="101">
        <f t="shared" si="268"/>
        <v>282843.48147894035</v>
      </c>
      <c r="J674" s="101">
        <f t="shared" si="268"/>
        <v>183673.97771553765</v>
      </c>
      <c r="K674" s="101">
        <f t="shared" si="268"/>
        <v>0</v>
      </c>
      <c r="L674" s="101">
        <f t="shared" si="268"/>
        <v>2264501.0431060288</v>
      </c>
      <c r="M674" s="101">
        <f t="shared" si="268"/>
        <v>172330.05717936723</v>
      </c>
      <c r="N674" s="101">
        <f t="shared" si="268"/>
        <v>1515713.2947856872</v>
      </c>
      <c r="O674" s="101">
        <f t="shared" si="268"/>
        <v>3756221.4467803822</v>
      </c>
      <c r="P674" s="101">
        <f t="shared" si="268"/>
        <v>1228276.1150330773</v>
      </c>
      <c r="Q674" s="101">
        <f t="shared" si="268"/>
        <v>430278.37578326283</v>
      </c>
      <c r="R674" s="101">
        <f t="shared" si="268"/>
        <v>574224.95858549979</v>
      </c>
      <c r="S674" s="101">
        <f t="shared" si="268"/>
        <v>207.23646125261308</v>
      </c>
      <c r="T674" s="101">
        <f t="shared" si="268"/>
        <v>1856.2841702573621</v>
      </c>
      <c r="U674" s="101"/>
      <c r="V674" s="102">
        <f t="shared" si="263"/>
        <v>24894100.893674202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5997227.8117389092</v>
      </c>
      <c r="H675" s="101">
        <f t="shared" si="269"/>
        <v>1523874.1719776562</v>
      </c>
      <c r="I675" s="101">
        <f t="shared" si="269"/>
        <v>146872.30025341199</v>
      </c>
      <c r="J675" s="101">
        <f t="shared" si="269"/>
        <v>95376.493963087982</v>
      </c>
      <c r="K675" s="101">
        <f t="shared" si="269"/>
        <v>0</v>
      </c>
      <c r="L675" s="101">
        <f t="shared" si="269"/>
        <v>1175888.7826870319</v>
      </c>
      <c r="M675" s="101">
        <f t="shared" si="269"/>
        <v>89485.929703563699</v>
      </c>
      <c r="N675" s="101">
        <f t="shared" si="269"/>
        <v>787065.33014594903</v>
      </c>
      <c r="O675" s="101">
        <f t="shared" si="269"/>
        <v>1950495.3102159805</v>
      </c>
      <c r="P675" s="101">
        <f t="shared" si="269"/>
        <v>637807.65750001732</v>
      </c>
      <c r="Q675" s="101">
        <f t="shared" si="269"/>
        <v>223430.9041528863</v>
      </c>
      <c r="R675" s="101">
        <f t="shared" si="269"/>
        <v>298178.13049600762</v>
      </c>
      <c r="S675" s="101">
        <f t="shared" si="269"/>
        <v>107.61179858696737</v>
      </c>
      <c r="T675" s="101">
        <f t="shared" si="269"/>
        <v>963.91376808164011</v>
      </c>
      <c r="U675" s="101"/>
      <c r="V675" s="102">
        <f t="shared" si="263"/>
        <v>12926774.34840117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19823135.336439449</v>
      </c>
      <c r="H677" s="100">
        <f t="shared" si="271"/>
        <v>21087843.150037549</v>
      </c>
      <c r="I677" s="100">
        <f t="shared" si="271"/>
        <v>1538697.8720914691</v>
      </c>
      <c r="J677" s="100">
        <f t="shared" si="271"/>
        <v>744920.68166965782</v>
      </c>
      <c r="K677" s="100">
        <f t="shared" si="271"/>
        <v>0</v>
      </c>
      <c r="L677" s="100">
        <f t="shared" si="271"/>
        <v>16438031.956413982</v>
      </c>
      <c r="M677" s="100">
        <f t="shared" si="271"/>
        <v>1584695.2470071388</v>
      </c>
      <c r="N677" s="100">
        <f t="shared" si="271"/>
        <v>6292062.8259227509</v>
      </c>
      <c r="O677" s="100">
        <f t="shared" si="271"/>
        <v>8762901.0316944253</v>
      </c>
      <c r="P677" s="100">
        <f t="shared" si="271"/>
        <v>3062945.0374438888</v>
      </c>
      <c r="Q677" s="100">
        <f t="shared" si="271"/>
        <v>485512.19548789592</v>
      </c>
      <c r="R677" s="100">
        <f t="shared" si="271"/>
        <v>4322149.8784052646</v>
      </c>
      <c r="S677" s="100">
        <f t="shared" si="271"/>
        <v>3631.0028056657616</v>
      </c>
      <c r="T677" s="100">
        <f t="shared" si="271"/>
        <v>15208.144580665226</v>
      </c>
      <c r="U677" s="100"/>
      <c r="V677" s="102">
        <f t="shared" si="263"/>
        <v>84161734.359999821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1283819684.7187505</v>
      </c>
      <c r="G681" s="102">
        <f t="shared" si="274"/>
        <v>510332846.80655491</v>
      </c>
      <c r="H681" s="102">
        <f t="shared" si="274"/>
        <v>160207207.0446004</v>
      </c>
      <c r="I681" s="102">
        <f t="shared" si="274"/>
        <v>14952653.00250194</v>
      </c>
      <c r="J681" s="102">
        <f t="shared" si="274"/>
        <v>10346624.134455794</v>
      </c>
      <c r="K681" s="102">
        <f t="shared" si="274"/>
        <v>0</v>
      </c>
      <c r="L681" s="102">
        <f t="shared" si="274"/>
        <v>136432900.73787868</v>
      </c>
      <c r="M681" s="102">
        <f t="shared" si="274"/>
        <v>11108016.906335194</v>
      </c>
      <c r="N681" s="102">
        <f t="shared" si="274"/>
        <v>91103603.746880829</v>
      </c>
      <c r="O681" s="102">
        <f t="shared" si="274"/>
        <v>225467247.49576423</v>
      </c>
      <c r="P681" s="102">
        <f t="shared" si="274"/>
        <v>77873537.931258574</v>
      </c>
      <c r="Q681" s="102">
        <f t="shared" si="274"/>
        <v>27671372.034967154</v>
      </c>
      <c r="R681" s="102">
        <f t="shared" si="274"/>
        <v>18170756.101212602</v>
      </c>
      <c r="S681" s="102">
        <f t="shared" si="274"/>
        <v>23931.266140934007</v>
      </c>
      <c r="T681" s="102">
        <f t="shared" si="274"/>
        <v>128987.51019950974</v>
      </c>
      <c r="U681" s="102"/>
      <c r="V681" s="102">
        <f>SUM(G681:T681)</f>
        <v>1283819684.718751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203142987.22212481</v>
      </c>
      <c r="G683" s="102">
        <f t="shared" si="275"/>
        <v>67511866.152867317</v>
      </c>
      <c r="H683" s="102">
        <f t="shared" si="275"/>
        <v>39477223.333629519</v>
      </c>
      <c r="I683" s="102">
        <f t="shared" si="275"/>
        <v>3118143.6883038748</v>
      </c>
      <c r="J683" s="102">
        <f t="shared" si="275"/>
        <v>1671225.8753284104</v>
      </c>
      <c r="K683" s="102">
        <f t="shared" si="275"/>
        <v>0</v>
      </c>
      <c r="L683" s="102">
        <f t="shared" si="275"/>
        <v>30692846.134187907</v>
      </c>
      <c r="M683" s="102">
        <f t="shared" si="275"/>
        <v>2799908.4300866406</v>
      </c>
      <c r="N683" s="102">
        <f t="shared" si="275"/>
        <v>13992706.164572448</v>
      </c>
      <c r="O683" s="102">
        <f t="shared" si="275"/>
        <v>25177723.30417785</v>
      </c>
      <c r="P683" s="102">
        <f t="shared" si="275"/>
        <v>8507726.78437002</v>
      </c>
      <c r="Q683" s="102">
        <f t="shared" si="275"/>
        <v>2163324.9056535102</v>
      </c>
      <c r="R683" s="102">
        <f t="shared" si="275"/>
        <v>7996955.337971881</v>
      </c>
      <c r="S683" s="102">
        <f t="shared" si="275"/>
        <v>5766.5294634921702</v>
      </c>
      <c r="T683" s="102">
        <f t="shared" si="275"/>
        <v>27570.581511605764</v>
      </c>
      <c r="U683" s="102"/>
      <c r="V683" s="102">
        <f>SUM(G683:T683)</f>
        <v>203142987.22212449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1694179623.6904061</v>
      </c>
      <c r="H685" s="102">
        <f t="shared" si="276"/>
        <v>430102584.99158609</v>
      </c>
      <c r="I685" s="102">
        <f t="shared" si="276"/>
        <v>41121192.679125771</v>
      </c>
      <c r="J685" s="102">
        <f t="shared" si="276"/>
        <v>27008133.39684971</v>
      </c>
      <c r="K685" s="102">
        <f t="shared" si="276"/>
        <v>0</v>
      </c>
      <c r="L685" s="102">
        <f t="shared" si="276"/>
        <v>328433972.5847649</v>
      </c>
      <c r="M685" s="102">
        <f t="shared" si="276"/>
        <v>25045605.561649796</v>
      </c>
      <c r="N685" s="102">
        <f t="shared" si="276"/>
        <v>219810873.03510782</v>
      </c>
      <c r="O685" s="102">
        <f t="shared" si="276"/>
        <v>545071081.68977427</v>
      </c>
      <c r="P685" s="102">
        <f t="shared" si="276"/>
        <v>178124330.85424313</v>
      </c>
      <c r="Q685" s="102">
        <f t="shared" si="276"/>
        <v>63312694.161657609</v>
      </c>
      <c r="R685" s="102">
        <f t="shared" si="276"/>
        <v>86557925.582601428</v>
      </c>
      <c r="S685" s="102">
        <f t="shared" si="276"/>
        <v>33365.624636253771</v>
      </c>
      <c r="T685" s="102">
        <f t="shared" si="276"/>
        <v>278375.50861553469</v>
      </c>
      <c r="U685" s="102"/>
      <c r="V685" s="102">
        <f>SUM(G685:T685)</f>
        <v>3639079759.3610182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577844712.95942223</v>
      </c>
      <c r="H701" s="102">
        <f t="shared" si="277"/>
        <v>199684430.37822992</v>
      </c>
      <c r="I701" s="102">
        <f t="shared" si="277"/>
        <v>18070796.690805815</v>
      </c>
      <c r="J701" s="102">
        <f t="shared" si="277"/>
        <v>12017850.009784205</v>
      </c>
      <c r="K701" s="102">
        <f t="shared" si="277"/>
        <v>0</v>
      </c>
      <c r="L701" s="102">
        <f t="shared" si="277"/>
        <v>167125746.87206659</v>
      </c>
      <c r="M701" s="102">
        <f t="shared" si="277"/>
        <v>13907925.336421834</v>
      </c>
      <c r="N701" s="102">
        <f t="shared" si="277"/>
        <v>105096309.91145328</v>
      </c>
      <c r="O701" s="102">
        <f t="shared" si="277"/>
        <v>250644970.79994208</v>
      </c>
      <c r="P701" s="102">
        <f t="shared" si="277"/>
        <v>86381264.715628594</v>
      </c>
      <c r="Q701" s="102">
        <f t="shared" si="277"/>
        <v>29834696.940620665</v>
      </c>
      <c r="R701" s="102">
        <f t="shared" si="277"/>
        <v>26167711.439184483</v>
      </c>
      <c r="S701" s="102">
        <f t="shared" si="277"/>
        <v>29697.795604426177</v>
      </c>
      <c r="T701" s="102">
        <f t="shared" si="277"/>
        <v>156558.0917111155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1199657950.3587506</v>
      </c>
      <c r="G703" s="102">
        <f t="shared" si="278"/>
        <v>490509711.47011548</v>
      </c>
      <c r="H703" s="102">
        <f t="shared" si="278"/>
        <v>139119363.89456284</v>
      </c>
      <c r="I703" s="102">
        <f t="shared" si="278"/>
        <v>13413955.130410472</v>
      </c>
      <c r="J703" s="102">
        <f t="shared" si="278"/>
        <v>9601703.4527861364</v>
      </c>
      <c r="K703" s="102">
        <f t="shared" si="278"/>
        <v>0</v>
      </c>
      <c r="L703" s="102">
        <f t="shared" si="278"/>
        <v>119994868.7814647</v>
      </c>
      <c r="M703" s="102">
        <f t="shared" si="278"/>
        <v>9523321.6593280546</v>
      </c>
      <c r="N703" s="102">
        <f t="shared" si="278"/>
        <v>84811540.920958072</v>
      </c>
      <c r="O703" s="102">
        <f t="shared" si="278"/>
        <v>216704346.46406981</v>
      </c>
      <c r="P703" s="102">
        <f t="shared" si="278"/>
        <v>74810592.893814683</v>
      </c>
      <c r="Q703" s="102">
        <f t="shared" si="278"/>
        <v>27185859.83947926</v>
      </c>
      <c r="R703" s="102">
        <f t="shared" si="278"/>
        <v>13848606.222807338</v>
      </c>
      <c r="S703" s="102">
        <f t="shared" si="278"/>
        <v>20300.263335268246</v>
      </c>
      <c r="T703" s="102">
        <f t="shared" si="278"/>
        <v>113779.3656188445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39942874.914235435</v>
      </c>
      <c r="H705" s="251">
        <f t="shared" si="279"/>
        <v>10149341.887129154</v>
      </c>
      <c r="I705" s="251">
        <f t="shared" si="279"/>
        <v>978202.27971080842</v>
      </c>
      <c r="J705" s="251">
        <f t="shared" si="279"/>
        <v>635228.72362278146</v>
      </c>
      <c r="K705" s="251">
        <f t="shared" si="279"/>
        <v>0</v>
      </c>
      <c r="L705" s="251">
        <f t="shared" si="279"/>
        <v>7831681.5759416865</v>
      </c>
      <c r="M705" s="251">
        <f t="shared" si="279"/>
        <v>595996.25175771455</v>
      </c>
      <c r="N705" s="251">
        <f t="shared" si="279"/>
        <v>5242030.6545326393</v>
      </c>
      <c r="O705" s="251">
        <f t="shared" si="279"/>
        <v>12990733.826095901</v>
      </c>
      <c r="P705" s="251">
        <f t="shared" si="279"/>
        <v>4247941.2626277944</v>
      </c>
      <c r="Q705" s="251">
        <f t="shared" si="279"/>
        <v>1488099.6581594911</v>
      </c>
      <c r="R705" s="251">
        <f t="shared" si="279"/>
        <v>1985932.8580531683</v>
      </c>
      <c r="S705" s="251">
        <f t="shared" si="279"/>
        <v>716.71858151555307</v>
      </c>
      <c r="T705" s="251">
        <f t="shared" si="279"/>
        <v>6419.8806974168801</v>
      </c>
      <c r="U705" s="251"/>
      <c r="V705" s="251">
        <f>SUM(G705:T705)</f>
        <v>86095200.491145492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201209521.09097922</v>
      </c>
      <c r="G707" s="102">
        <f t="shared" ref="G707:T707" si="280">G701-G703-G705</f>
        <v>47392126.575071312</v>
      </c>
      <c r="H707" s="102">
        <f t="shared" si="280"/>
        <v>50415724.596537918</v>
      </c>
      <c r="I707" s="102">
        <f>I701-I703-I705</f>
        <v>3678639.2806845349</v>
      </c>
      <c r="J707" s="102">
        <f>J701-J703-J705</f>
        <v>1780917.833375287</v>
      </c>
      <c r="K707" s="102">
        <f>K701-K703-K705</f>
        <v>0</v>
      </c>
      <c r="L707" s="102">
        <f t="shared" si="280"/>
        <v>39299196.514660202</v>
      </c>
      <c r="M707" s="102">
        <f t="shared" si="280"/>
        <v>3788607.4253360652</v>
      </c>
      <c r="N707" s="102">
        <f t="shared" si="280"/>
        <v>15042738.335962566</v>
      </c>
      <c r="O707" s="102">
        <f>O701-O703-O705</f>
        <v>20949890.509776361</v>
      </c>
      <c r="P707" s="102">
        <f>P701-P703-P705</f>
        <v>7322730.5591861168</v>
      </c>
      <c r="Q707" s="102">
        <f t="shared" si="280"/>
        <v>1160737.4429819132</v>
      </c>
      <c r="R707" s="102">
        <f t="shared" si="280"/>
        <v>10333172.358323976</v>
      </c>
      <c r="S707" s="102">
        <f t="shared" si="280"/>
        <v>8680.8136876423778</v>
      </c>
      <c r="T707" s="102">
        <f t="shared" si="280"/>
        <v>36358.845394854114</v>
      </c>
      <c r="U707" s="102"/>
      <c r="V707" s="102">
        <f>SUM(G707:T707)</f>
        <v>201209521.09097871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577844712.95942223</v>
      </c>
      <c r="H714" s="102">
        <f t="shared" si="281"/>
        <v>199684430.37822992</v>
      </c>
      <c r="I714" s="102">
        <f t="shared" si="281"/>
        <v>18070796.690805815</v>
      </c>
      <c r="J714" s="102">
        <f t="shared" si="281"/>
        <v>12017850.009784205</v>
      </c>
      <c r="K714" s="102">
        <f t="shared" si="281"/>
        <v>0</v>
      </c>
      <c r="L714" s="102">
        <f t="shared" si="281"/>
        <v>167125746.87206659</v>
      </c>
      <c r="M714" s="102">
        <f t="shared" si="281"/>
        <v>13907925.336421834</v>
      </c>
      <c r="N714" s="102">
        <f t="shared" si="281"/>
        <v>105096309.91145328</v>
      </c>
      <c r="O714" s="102">
        <f t="shared" si="281"/>
        <v>250644970.79994208</v>
      </c>
      <c r="P714" s="102">
        <f t="shared" si="281"/>
        <v>86381264.715628594</v>
      </c>
      <c r="Q714" s="102">
        <f t="shared" si="281"/>
        <v>29834696.940620665</v>
      </c>
      <c r="R714" s="102">
        <f t="shared" si="281"/>
        <v>26167711.439184483</v>
      </c>
      <c r="S714" s="102">
        <f t="shared" si="281"/>
        <v>29697.795604426177</v>
      </c>
      <c r="T714" s="102">
        <f t="shared" si="281"/>
        <v>156558.0917111155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-16299.245711949476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-159668.87375335419</v>
      </c>
      <c r="M721" s="100">
        <f t="shared" si="285"/>
        <v>-13653.249062990584</v>
      </c>
      <c r="N721" s="100">
        <f t="shared" si="285"/>
        <v>-98443.364995913318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-1635232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577234747.52548289</v>
      </c>
      <c r="H729" s="102">
        <f t="shared" si="287"/>
        <v>199315664.81655225</v>
      </c>
      <c r="I729" s="102">
        <f t="shared" si="287"/>
        <v>18054497.445093866</v>
      </c>
      <c r="J729" s="102">
        <f t="shared" si="287"/>
        <v>11994477.224836662</v>
      </c>
      <c r="K729" s="102">
        <f t="shared" si="287"/>
        <v>0</v>
      </c>
      <c r="L729" s="102">
        <f t="shared" si="287"/>
        <v>166966077.99831322</v>
      </c>
      <c r="M729" s="102">
        <f t="shared" si="287"/>
        <v>13894272.087358844</v>
      </c>
      <c r="N729" s="102">
        <f t="shared" si="287"/>
        <v>104997866.54645737</v>
      </c>
      <c r="O729" s="102">
        <f t="shared" si="287"/>
        <v>250434692.08509395</v>
      </c>
      <c r="P729" s="102">
        <f t="shared" si="287"/>
        <v>86312650.58389245</v>
      </c>
      <c r="Q729" s="102">
        <f t="shared" si="287"/>
        <v>29810978.076292276</v>
      </c>
      <c r="R729" s="102">
        <f t="shared" si="287"/>
        <v>26125517.705985676</v>
      </c>
      <c r="S729" s="102">
        <f t="shared" si="287"/>
        <v>29631.86088623276</v>
      </c>
      <c r="T729" s="102">
        <f t="shared" si="287"/>
        <v>156365.98462952618</v>
      </c>
      <c r="U729" s="102">
        <f t="shared" si="287"/>
        <v>0</v>
      </c>
      <c r="V729" s="102">
        <f>SUM(G729:T729)</f>
        <v>1485327439.9408755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933774238.57748592</v>
      </c>
      <c r="G734" s="102">
        <f t="shared" si="288"/>
        <v>369750438.26943767</v>
      </c>
      <c r="H734" s="102">
        <f t="shared" si="288"/>
        <v>108040603.16778158</v>
      </c>
      <c r="I734" s="102">
        <f t="shared" si="288"/>
        <v>10350219.424592916</v>
      </c>
      <c r="J734" s="102">
        <f t="shared" si="288"/>
        <v>7648650.5128025142</v>
      </c>
      <c r="K734" s="102">
        <f t="shared" si="288"/>
        <v>0</v>
      </c>
      <c r="L734" s="102">
        <f t="shared" si="288"/>
        <v>95071942.19302471</v>
      </c>
      <c r="M734" s="102">
        <f t="shared" si="288"/>
        <v>7627304.0729848789</v>
      </c>
      <c r="N734" s="102">
        <f t="shared" si="288"/>
        <v>68032729.816723764</v>
      </c>
      <c r="O734" s="102">
        <f t="shared" si="288"/>
        <v>175040338.85430616</v>
      </c>
      <c r="P734" s="102">
        <f t="shared" si="288"/>
        <v>61065442.523790225</v>
      </c>
      <c r="Q734" s="102">
        <f t="shared" si="288"/>
        <v>22506318.80624507</v>
      </c>
      <c r="R734" s="102">
        <f t="shared" si="288"/>
        <v>8527055.2071533166</v>
      </c>
      <c r="S734" s="102">
        <f t="shared" si="288"/>
        <v>18421.053384519793</v>
      </c>
      <c r="T734" s="102">
        <f t="shared" si="288"/>
        <v>94774.67525865206</v>
      </c>
      <c r="U734" s="102"/>
      <c r="V734" s="102">
        <f>V231</f>
        <v>933774238.57748616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103212714.50375618</v>
      </c>
      <c r="H735" s="101">
        <f t="shared" si="291"/>
        <v>26620242.817391425</v>
      </c>
      <c r="I735" s="101">
        <f t="shared" si="291"/>
        <v>2634019.9240852045</v>
      </c>
      <c r="J735" s="101">
        <f t="shared" si="291"/>
        <v>1674002.4683049966</v>
      </c>
      <c r="K735" s="101">
        <f t="shared" si="291"/>
        <v>0</v>
      </c>
      <c r="L735" s="101">
        <f t="shared" si="291"/>
        <v>21482536.76264691</v>
      </c>
      <c r="M735" s="101">
        <f t="shared" si="291"/>
        <v>1634201.5994602446</v>
      </c>
      <c r="N735" s="101">
        <f t="shared" si="291"/>
        <v>14476032.479302654</v>
      </c>
      <c r="O735" s="101">
        <f t="shared" si="291"/>
        <v>35957290.852767274</v>
      </c>
      <c r="P735" s="101">
        <f t="shared" si="291"/>
        <v>11879066.597491371</v>
      </c>
      <c r="Q735" s="101">
        <f t="shared" si="291"/>
        <v>4025831.7532980423</v>
      </c>
      <c r="R735" s="101">
        <f t="shared" si="291"/>
        <v>4449147.9265725138</v>
      </c>
      <c r="S735" s="101">
        <f t="shared" si="291"/>
        <v>1564.3616909088698</v>
      </c>
      <c r="T735" s="101">
        <f t="shared" si="291"/>
        <v>16184.492421853449</v>
      </c>
      <c r="U735" s="101"/>
      <c r="V735" s="101">
        <f>V345</f>
        <v>228062836.53918955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11549330.885182716</v>
      </c>
      <c r="H737" s="101">
        <f t="shared" si="293"/>
        <v>2934643.7374121877</v>
      </c>
      <c r="I737" s="101">
        <f t="shared" si="293"/>
        <v>282843.48147894035</v>
      </c>
      <c r="J737" s="101">
        <f t="shared" si="293"/>
        <v>183673.97771553765</v>
      </c>
      <c r="K737" s="101">
        <f t="shared" si="293"/>
        <v>0</v>
      </c>
      <c r="L737" s="101">
        <f t="shared" si="293"/>
        <v>2264501.0431060288</v>
      </c>
      <c r="M737" s="101">
        <f t="shared" si="293"/>
        <v>172330.05717936723</v>
      </c>
      <c r="N737" s="101">
        <f t="shared" si="293"/>
        <v>1515713.2947856872</v>
      </c>
      <c r="O737" s="101">
        <f t="shared" si="293"/>
        <v>3756221.4467803822</v>
      </c>
      <c r="P737" s="101">
        <f t="shared" si="293"/>
        <v>1228276.1150330773</v>
      </c>
      <c r="Q737" s="101">
        <f t="shared" si="293"/>
        <v>430278.37578326283</v>
      </c>
      <c r="R737" s="101">
        <f t="shared" si="293"/>
        <v>574224.95858549979</v>
      </c>
      <c r="S737" s="101">
        <f t="shared" si="293"/>
        <v>207.23646125261308</v>
      </c>
      <c r="T737" s="101">
        <f t="shared" si="293"/>
        <v>1856.2841702573621</v>
      </c>
      <c r="U737" s="101"/>
      <c r="V737" s="102">
        <f>SUM(G737:T737)</f>
        <v>24894100.893674202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5997227.8117389092</v>
      </c>
      <c r="H738" s="101">
        <f t="shared" si="294"/>
        <v>1523874.1719776562</v>
      </c>
      <c r="I738" s="101">
        <f t="shared" si="294"/>
        <v>146872.30025341199</v>
      </c>
      <c r="J738" s="101">
        <f t="shared" si="294"/>
        <v>95376.493963087982</v>
      </c>
      <c r="K738" s="101">
        <f t="shared" si="294"/>
        <v>0</v>
      </c>
      <c r="L738" s="101">
        <f t="shared" si="294"/>
        <v>1175888.7826870319</v>
      </c>
      <c r="M738" s="101">
        <f t="shared" si="294"/>
        <v>89485.929703563699</v>
      </c>
      <c r="N738" s="101">
        <f t="shared" si="294"/>
        <v>787065.33014594903</v>
      </c>
      <c r="O738" s="101">
        <f t="shared" si="294"/>
        <v>1950495.3102159805</v>
      </c>
      <c r="P738" s="101">
        <f t="shared" si="294"/>
        <v>637807.65750001732</v>
      </c>
      <c r="Q738" s="101">
        <f t="shared" si="294"/>
        <v>223430.9041528863</v>
      </c>
      <c r="R738" s="101">
        <f t="shared" si="294"/>
        <v>298178.13049600762</v>
      </c>
      <c r="S738" s="101">
        <f t="shared" si="294"/>
        <v>107.61179858696737</v>
      </c>
      <c r="T738" s="101">
        <f t="shared" si="294"/>
        <v>963.91376808164011</v>
      </c>
      <c r="U738" s="101"/>
      <c r="V738" s="102">
        <f>SUM(G738:T738)</f>
        <v>12926774.34840117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19823135.336439449</v>
      </c>
      <c r="H740" s="100">
        <f t="shared" si="296"/>
        <v>21087843.150037549</v>
      </c>
      <c r="I740" s="100">
        <f t="shared" si="296"/>
        <v>1538697.8720914691</v>
      </c>
      <c r="J740" s="100">
        <f t="shared" si="296"/>
        <v>744920.68166965782</v>
      </c>
      <c r="K740" s="100">
        <f t="shared" si="296"/>
        <v>0</v>
      </c>
      <c r="L740" s="100">
        <f t="shared" si="296"/>
        <v>16438031.956413982</v>
      </c>
      <c r="M740" s="100">
        <f t="shared" si="296"/>
        <v>1584695.2470071388</v>
      </c>
      <c r="N740" s="100">
        <f t="shared" si="296"/>
        <v>6292062.8259227509</v>
      </c>
      <c r="O740" s="100">
        <f t="shared" si="296"/>
        <v>8762901.0316944253</v>
      </c>
      <c r="P740" s="100">
        <f t="shared" si="296"/>
        <v>3062945.0374438888</v>
      </c>
      <c r="Q740" s="100">
        <f t="shared" si="296"/>
        <v>485512.19548789592</v>
      </c>
      <c r="R740" s="100">
        <f t="shared" si="296"/>
        <v>4322149.8784052646</v>
      </c>
      <c r="S740" s="100">
        <f t="shared" si="296"/>
        <v>3631.0028056657616</v>
      </c>
      <c r="T740" s="100">
        <f t="shared" si="296"/>
        <v>15208.144580665226</v>
      </c>
      <c r="U740" s="100"/>
      <c r="V740" s="102">
        <f>SUM(G740:T740)</f>
        <v>84161734.359999821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-10391.413547004506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-95973.387419517981</v>
      </c>
      <c r="M755" s="101">
        <f t="shared" si="303"/>
        <v>-7983.8519718289754</v>
      </c>
      <c r="N755" s="101">
        <f t="shared" si="303"/>
        <v>-60366.524430947728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-838116.00000000012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-38785.27545093251</v>
      </c>
      <c r="H763" s="101">
        <f t="shared" si="303"/>
        <v>-41259.759940032483</v>
      </c>
      <c r="I763" s="101">
        <f t="shared" si="303"/>
        <v>-3010.5641611157266</v>
      </c>
      <c r="J763" s="101">
        <f t="shared" si="303"/>
        <v>-1457.4865851086677</v>
      </c>
      <c r="K763" s="101">
        <f t="shared" si="303"/>
        <v>0</v>
      </c>
      <c r="L763" s="101">
        <f t="shared" si="303"/>
        <v>-32162.096786413917</v>
      </c>
      <c r="M763" s="101">
        <f t="shared" si="303"/>
        <v>-3100.5610675508369</v>
      </c>
      <c r="N763" s="101">
        <f t="shared" si="303"/>
        <v>-12310.837095955581</v>
      </c>
      <c r="O763" s="101">
        <f t="shared" si="303"/>
        <v>-17145.195474641569</v>
      </c>
      <c r="P763" s="101">
        <f t="shared" si="303"/>
        <v>-5992.8545586808204</v>
      </c>
      <c r="Q763" s="101">
        <f t="shared" si="303"/>
        <v>-949.93672379211705</v>
      </c>
      <c r="R763" s="101">
        <f t="shared" si="303"/>
        <v>-8456.572117832935</v>
      </c>
      <c r="S763" s="101">
        <f t="shared" si="303"/>
        <v>-7.1042971553535565</v>
      </c>
      <c r="T763" s="101">
        <f t="shared" si="303"/>
        <v>-29.755740787100642</v>
      </c>
      <c r="U763" s="101"/>
      <c r="V763" s="101">
        <f t="shared" si="304"/>
        <v>-164667.99999999959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-356146.14505923813</v>
      </c>
      <c r="H764" s="100">
        <f t="shared" si="305"/>
        <v>-154707.5742305938</v>
      </c>
      <c r="I764" s="100">
        <f t="shared" si="305"/>
        <v>-13401.977708120232</v>
      </c>
      <c r="J764" s="100">
        <f t="shared" si="305"/>
        <v>-8346.7377162716111</v>
      </c>
      <c r="K764" s="100">
        <f t="shared" si="305"/>
        <v>0</v>
      </c>
      <c r="L764" s="100">
        <f t="shared" si="305"/>
        <v>-128135.48420593189</v>
      </c>
      <c r="M764" s="100">
        <f t="shared" si="305"/>
        <v>-11084.413039379811</v>
      </c>
      <c r="N764" s="100">
        <f t="shared" si="305"/>
        <v>-72677.361526903303</v>
      </c>
      <c r="O764" s="100">
        <f t="shared" si="305"/>
        <v>-161112.16500176169</v>
      </c>
      <c r="P764" s="100">
        <f t="shared" si="305"/>
        <v>-55617.166779033076</v>
      </c>
      <c r="Q764" s="100">
        <f t="shared" si="305"/>
        <v>-18056.963300119827</v>
      </c>
      <c r="R764" s="100">
        <f t="shared" si="305"/>
        <v>-23354.71530384144</v>
      </c>
      <c r="S764" s="100">
        <f t="shared" si="305"/>
        <v>-23.96975509059973</v>
      </c>
      <c r="T764" s="100">
        <f t="shared" si="305"/>
        <v>-119.32637371418747</v>
      </c>
      <c r="U764" s="100"/>
      <c r="V764" s="100">
        <f t="shared" si="304"/>
        <v>-1002783.9999999998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1282816900.7187505</v>
      </c>
      <c r="G768" s="102">
        <f t="shared" si="306"/>
        <v>509976700.66149569</v>
      </c>
      <c r="H768" s="102">
        <f t="shared" si="306"/>
        <v>160052499.47036982</v>
      </c>
      <c r="I768" s="102">
        <f t="shared" si="306"/>
        <v>14939251.02479382</v>
      </c>
      <c r="J768" s="102">
        <f t="shared" si="306"/>
        <v>10338277.396739524</v>
      </c>
      <c r="K768" s="102">
        <f t="shared" si="306"/>
        <v>0</v>
      </c>
      <c r="L768" s="102">
        <f t="shared" si="306"/>
        <v>136304765.25367275</v>
      </c>
      <c r="M768" s="102">
        <f t="shared" si="306"/>
        <v>11096932.493295813</v>
      </c>
      <c r="N768" s="102">
        <f t="shared" si="306"/>
        <v>91030926.385353923</v>
      </c>
      <c r="O768" s="102">
        <f t="shared" si="306"/>
        <v>225306135.33076245</v>
      </c>
      <c r="P768" s="102">
        <f t="shared" si="306"/>
        <v>77817920.764479548</v>
      </c>
      <c r="Q768" s="102">
        <f t="shared" si="306"/>
        <v>27653315.071667034</v>
      </c>
      <c r="R768" s="102">
        <f t="shared" si="306"/>
        <v>18147401.385908764</v>
      </c>
      <c r="S768" s="102">
        <f t="shared" si="306"/>
        <v>23907.296385843405</v>
      </c>
      <c r="T768" s="102">
        <f t="shared" si="306"/>
        <v>128868.18382579554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202510539.22212481</v>
      </c>
      <c r="G770" s="102">
        <f t="shared" si="307"/>
        <v>67258046.863987207</v>
      </c>
      <c r="H770" s="102">
        <f t="shared" si="307"/>
        <v>39263165.346182436</v>
      </c>
      <c r="I770" s="102">
        <f t="shared" si="307"/>
        <v>3115246.420300046</v>
      </c>
      <c r="J770" s="102">
        <f t="shared" si="307"/>
        <v>1656199.8280971386</v>
      </c>
      <c r="K770" s="102">
        <f t="shared" si="307"/>
        <v>0</v>
      </c>
      <c r="L770" s="102">
        <f t="shared" si="307"/>
        <v>30661312.74464047</v>
      </c>
      <c r="M770" s="102">
        <f t="shared" si="307"/>
        <v>2797339.5940630306</v>
      </c>
      <c r="N770" s="102">
        <f t="shared" si="307"/>
        <v>13966940.161103442</v>
      </c>
      <c r="O770" s="102">
        <f t="shared" si="307"/>
        <v>25128556.754331499</v>
      </c>
      <c r="P770" s="102">
        <f t="shared" si="307"/>
        <v>8494729.819412902</v>
      </c>
      <c r="Q770" s="102">
        <f t="shared" si="307"/>
        <v>2157663.0046252422</v>
      </c>
      <c r="R770" s="102">
        <f t="shared" si="307"/>
        <v>7978116.3200769126</v>
      </c>
      <c r="S770" s="102">
        <f t="shared" si="307"/>
        <v>5724.5645003893551</v>
      </c>
      <c r="T770" s="102">
        <f t="shared" si="307"/>
        <v>27497.800803730643</v>
      </c>
      <c r="U770" s="102"/>
      <c r="V770" s="102">
        <f>V729-V768</f>
        <v>202510539.22212481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1694179623.6904061</v>
      </c>
      <c r="H772" s="102">
        <f t="shared" si="308"/>
        <v>430102584.99158609</v>
      </c>
      <c r="I772" s="102">
        <f t="shared" si="308"/>
        <v>41121192.679125771</v>
      </c>
      <c r="J772" s="102">
        <f t="shared" si="308"/>
        <v>27008133.39684971</v>
      </c>
      <c r="K772" s="102">
        <f t="shared" si="308"/>
        <v>0</v>
      </c>
      <c r="L772" s="102">
        <f t="shared" si="308"/>
        <v>328433972.5847649</v>
      </c>
      <c r="M772" s="102">
        <f t="shared" si="308"/>
        <v>25045605.561649796</v>
      </c>
      <c r="N772" s="102">
        <f t="shared" si="308"/>
        <v>219810873.03510782</v>
      </c>
      <c r="O772" s="102">
        <f t="shared" si="308"/>
        <v>545071081.68977427</v>
      </c>
      <c r="P772" s="102">
        <f t="shared" si="308"/>
        <v>178124330.85424313</v>
      </c>
      <c r="Q772" s="102">
        <f t="shared" si="308"/>
        <v>63312694.161657609</v>
      </c>
      <c r="R772" s="102">
        <f t="shared" si="308"/>
        <v>86557925.582601428</v>
      </c>
      <c r="S772" s="102">
        <f t="shared" si="308"/>
        <v>33365.624636253771</v>
      </c>
      <c r="T772" s="102">
        <f t="shared" si="308"/>
        <v>278375.50861553469</v>
      </c>
      <c r="U772" s="102"/>
      <c r="V772" s="102">
        <f>SUM(G772:T772)</f>
        <v>3639079759.3610182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1694179623.6904061</v>
      </c>
      <c r="H776" s="127">
        <f t="shared" si="310"/>
        <v>430102584.99158609</v>
      </c>
      <c r="I776" s="127">
        <f>SUM(I772:I775)</f>
        <v>41121192.679125771</v>
      </c>
      <c r="J776" s="127">
        <f t="shared" si="310"/>
        <v>27008133.39684971</v>
      </c>
      <c r="K776" s="127">
        <f>SUM(K772:K775)</f>
        <v>0</v>
      </c>
      <c r="L776" s="102">
        <f t="shared" si="310"/>
        <v>328433972.5847649</v>
      </c>
      <c r="M776" s="102">
        <f t="shared" si="310"/>
        <v>25045605.561649796</v>
      </c>
      <c r="N776" s="102">
        <f t="shared" si="310"/>
        <v>219810873.03510782</v>
      </c>
      <c r="O776" s="102">
        <f t="shared" si="310"/>
        <v>545071081.68977427</v>
      </c>
      <c r="P776" s="102">
        <f t="shared" si="310"/>
        <v>178124330.85424313</v>
      </c>
      <c r="Q776" s="127">
        <f t="shared" si="310"/>
        <v>63312694.161657609</v>
      </c>
      <c r="R776" s="127">
        <f t="shared" si="310"/>
        <v>86557925.582601428</v>
      </c>
      <c r="S776" s="127">
        <f t="shared" si="310"/>
        <v>33365.624636253771</v>
      </c>
      <c r="T776" s="127">
        <f t="shared" si="310"/>
        <v>278375.50861553469</v>
      </c>
      <c r="U776" s="127">
        <f t="shared" si="310"/>
        <v>0</v>
      </c>
      <c r="V776" s="102">
        <f>SUM(G776:T776)</f>
        <v>3639079759.3610182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5.5648832290964519E-2</v>
      </c>
      <c r="G778" s="232">
        <f t="shared" si="311"/>
        <v>3.9699478097534907E-2</v>
      </c>
      <c r="H778" s="232">
        <f t="shared" si="311"/>
        <v>9.1287908318315555E-2</v>
      </c>
      <c r="I778" s="232">
        <f>I770/I776</f>
        <v>7.5757686422393805E-2</v>
      </c>
      <c r="J778" s="232">
        <f t="shared" si="311"/>
        <v>6.1322261844660518E-2</v>
      </c>
      <c r="K778" s="232" t="e">
        <f>K770/K776</f>
        <v>#DIV/0!</v>
      </c>
      <c r="L778" s="232">
        <f t="shared" si="311"/>
        <v>9.335609377841432E-2</v>
      </c>
      <c r="M778" s="232">
        <f t="shared" si="311"/>
        <v>0.11168983665327537</v>
      </c>
      <c r="N778" s="232">
        <f t="shared" si="311"/>
        <v>6.354071556265857E-2</v>
      </c>
      <c r="O778" s="232">
        <f t="shared" si="311"/>
        <v>4.6101430801337849E-2</v>
      </c>
      <c r="P778" s="232">
        <f t="shared" si="311"/>
        <v>4.7689890419091767E-2</v>
      </c>
      <c r="Q778" s="232">
        <f t="shared" si="311"/>
        <v>3.4079469104821805E-2</v>
      </c>
      <c r="R778" s="232">
        <f t="shared" si="311"/>
        <v>9.2170835499788745E-2</v>
      </c>
      <c r="S778" s="232">
        <f t="shared" si="311"/>
        <v>0.17157072774142729</v>
      </c>
      <c r="T778" s="232">
        <f t="shared" si="311"/>
        <v>9.8779526045547142E-2</v>
      </c>
      <c r="U778" s="232"/>
      <c r="V778" s="232">
        <f>V770/V776</f>
        <v>5.5648832290964519E-2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577234747.52548289</v>
      </c>
      <c r="H783" s="102">
        <f t="shared" si="312"/>
        <v>199315664.81655225</v>
      </c>
      <c r="I783" s="102">
        <f t="shared" si="312"/>
        <v>18054497.445093866</v>
      </c>
      <c r="J783" s="102">
        <f t="shared" si="312"/>
        <v>11994477.224836662</v>
      </c>
      <c r="K783" s="102">
        <f t="shared" si="312"/>
        <v>0</v>
      </c>
      <c r="L783" s="102">
        <f t="shared" si="312"/>
        <v>166966077.99831322</v>
      </c>
      <c r="M783" s="102">
        <f t="shared" si="312"/>
        <v>13894272.087358844</v>
      </c>
      <c r="N783" s="102">
        <f t="shared" si="312"/>
        <v>104997866.54645737</v>
      </c>
      <c r="O783" s="102">
        <f t="shared" si="312"/>
        <v>250434692.08509395</v>
      </c>
      <c r="P783" s="102">
        <f t="shared" si="312"/>
        <v>86312650.58389245</v>
      </c>
      <c r="Q783" s="102">
        <f t="shared" si="312"/>
        <v>29810978.076292276</v>
      </c>
      <c r="R783" s="102">
        <f t="shared" si="312"/>
        <v>26125517.705985676</v>
      </c>
      <c r="S783" s="102">
        <f t="shared" si="312"/>
        <v>29631.86088623276</v>
      </c>
      <c r="T783" s="102">
        <f t="shared" si="312"/>
        <v>156365.98462952618</v>
      </c>
      <c r="U783" s="102"/>
      <c r="V783" s="102">
        <f>SUM(G783:T783)</f>
        <v>1485327439.9408755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1198655166.3587506</v>
      </c>
      <c r="G785" s="102">
        <f t="shared" si="313"/>
        <v>490153565.32505625</v>
      </c>
      <c r="H785" s="102">
        <f t="shared" si="313"/>
        <v>138964656.32033226</v>
      </c>
      <c r="I785" s="102">
        <f t="shared" si="313"/>
        <v>13400553.152702352</v>
      </c>
      <c r="J785" s="102">
        <f t="shared" si="313"/>
        <v>9593356.7150698639</v>
      </c>
      <c r="K785" s="102">
        <f t="shared" si="313"/>
        <v>0</v>
      </c>
      <c r="L785" s="102">
        <f t="shared" si="313"/>
        <v>119866733.29725876</v>
      </c>
      <c r="M785" s="102">
        <f t="shared" si="313"/>
        <v>9512237.246288674</v>
      </c>
      <c r="N785" s="102">
        <f t="shared" si="313"/>
        <v>84738863.559431165</v>
      </c>
      <c r="O785" s="102">
        <f t="shared" si="313"/>
        <v>216543234.29906806</v>
      </c>
      <c r="P785" s="102">
        <f t="shared" si="313"/>
        <v>74754975.727035657</v>
      </c>
      <c r="Q785" s="102">
        <f t="shared" si="313"/>
        <v>27167802.87617914</v>
      </c>
      <c r="R785" s="102">
        <f t="shared" si="313"/>
        <v>13825251.507503496</v>
      </c>
      <c r="S785" s="102">
        <f t="shared" si="313"/>
        <v>20276.293580177648</v>
      </c>
      <c r="T785" s="102">
        <f t="shared" si="313"/>
        <v>113660.03924513032</v>
      </c>
      <c r="U785" s="102"/>
      <c r="V785" s="102">
        <f>SUM(G785:T785)</f>
        <v>1198655166.3587513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39942874.914235435</v>
      </c>
      <c r="H787" s="227">
        <f t="shared" si="314"/>
        <v>10149341.887129154</v>
      </c>
      <c r="I787" s="227">
        <f t="shared" si="314"/>
        <v>978202.27971080842</v>
      </c>
      <c r="J787" s="227">
        <f t="shared" si="314"/>
        <v>635228.72362278146</v>
      </c>
      <c r="K787" s="227">
        <f t="shared" si="314"/>
        <v>0</v>
      </c>
      <c r="L787" s="227">
        <f t="shared" si="314"/>
        <v>7831681.5759416865</v>
      </c>
      <c r="M787" s="227">
        <f t="shared" si="314"/>
        <v>595996.25175771455</v>
      </c>
      <c r="N787" s="227">
        <f t="shared" si="314"/>
        <v>5242030.6545326393</v>
      </c>
      <c r="O787" s="227">
        <f t="shared" si="314"/>
        <v>12990733.826095901</v>
      </c>
      <c r="P787" s="227">
        <f t="shared" si="314"/>
        <v>4247941.2626277944</v>
      </c>
      <c r="Q787" s="227">
        <f t="shared" si="314"/>
        <v>1488099.6581594911</v>
      </c>
      <c r="R787" s="227">
        <f t="shared" si="314"/>
        <v>1985932.8580531683</v>
      </c>
      <c r="S787" s="227">
        <f t="shared" si="314"/>
        <v>716.71858151555307</v>
      </c>
      <c r="T787" s="227">
        <f t="shared" si="314"/>
        <v>6419.8806974168801</v>
      </c>
      <c r="U787" s="227"/>
      <c r="V787" s="227">
        <f>SUM(G787:T787)</f>
        <v>86095200.491145492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3438273.5180387143</v>
      </c>
      <c r="H789" s="253">
        <f t="shared" si="315"/>
        <v>873653.02349832631</v>
      </c>
      <c r="I789" s="253">
        <f t="shared" si="315"/>
        <v>84203.428041582927</v>
      </c>
      <c r="J789" s="253">
        <f t="shared" si="315"/>
        <v>54680.342940246002</v>
      </c>
      <c r="K789" s="253">
        <f t="shared" si="315"/>
        <v>0</v>
      </c>
      <c r="L789" s="253">
        <f t="shared" si="315"/>
        <v>674149.3551000054</v>
      </c>
      <c r="M789" s="253">
        <f t="shared" si="315"/>
        <v>51303.220753861176</v>
      </c>
      <c r="N789" s="253">
        <f t="shared" si="315"/>
        <v>451232.79731182358</v>
      </c>
      <c r="O789" s="253">
        <f t="shared" si="315"/>
        <v>1118239.3903809027</v>
      </c>
      <c r="P789" s="253">
        <f t="shared" si="315"/>
        <v>365661.81029377354</v>
      </c>
      <c r="Q789" s="253">
        <f t="shared" si="315"/>
        <v>128095.27751415683</v>
      </c>
      <c r="R789" s="253">
        <f t="shared" si="315"/>
        <v>170948.64526172643</v>
      </c>
      <c r="S789" s="253">
        <f t="shared" si="315"/>
        <v>61.694971230850058</v>
      </c>
      <c r="T789" s="253">
        <f t="shared" si="315"/>
        <v>552.62185904974899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193166017.96501383</v>
      </c>
      <c r="G791" s="102">
        <f t="shared" ref="G791:T791" si="316">G783-G785-G787-G789</f>
        <v>43700033.76815249</v>
      </c>
      <c r="H791" s="102">
        <f t="shared" si="316"/>
        <v>49328013.585592508</v>
      </c>
      <c r="I791" s="102">
        <f>I783-I785-I787-I789</f>
        <v>3591538.5846391232</v>
      </c>
      <c r="J791" s="102">
        <f>J783-J785-J787-J789</f>
        <v>1711211.443203771</v>
      </c>
      <c r="K791" s="102">
        <f>K783-K785-K787-K789</f>
        <v>0</v>
      </c>
      <c r="L791" s="102">
        <f t="shared" si="316"/>
        <v>38593513.770012759</v>
      </c>
      <c r="M791" s="102">
        <f t="shared" si="316"/>
        <v>3734735.368558594</v>
      </c>
      <c r="N791" s="102">
        <f t="shared" si="316"/>
        <v>14565739.535181737</v>
      </c>
      <c r="O791" s="102">
        <f>O783-O785-O787-O789</f>
        <v>19782484.569549076</v>
      </c>
      <c r="P791" s="102">
        <f>P783-P785-P787-P789</f>
        <v>6944071.7839352256</v>
      </c>
      <c r="Q791" s="102">
        <f t="shared" si="316"/>
        <v>1026980.2644394883</v>
      </c>
      <c r="R791" s="102">
        <f t="shared" si="316"/>
        <v>10143384.695167284</v>
      </c>
      <c r="S791" s="102">
        <f t="shared" si="316"/>
        <v>8577.1537533087085</v>
      </c>
      <c r="T791" s="102">
        <f t="shared" si="316"/>
        <v>35733.442827929226</v>
      </c>
      <c r="U791" s="102"/>
      <c r="V791" s="102">
        <f>SUM(G791:T791)</f>
        <v>193166017.9650133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577234747.52548289</v>
      </c>
      <c r="H800" s="102">
        <f t="shared" si="317"/>
        <v>199315664.81655225</v>
      </c>
      <c r="I800" s="102">
        <f t="shared" si="317"/>
        <v>18054497.445093866</v>
      </c>
      <c r="J800" s="102">
        <f t="shared" si="317"/>
        <v>11994477.224836662</v>
      </c>
      <c r="K800" s="102">
        <f t="shared" si="317"/>
        <v>0</v>
      </c>
      <c r="L800" s="102">
        <f t="shared" si="317"/>
        <v>166966077.99831322</v>
      </c>
      <c r="M800" s="102">
        <f t="shared" si="317"/>
        <v>13894272.087358844</v>
      </c>
      <c r="N800" s="102">
        <f t="shared" si="317"/>
        <v>104997866.54645737</v>
      </c>
      <c r="O800" s="102">
        <f t="shared" si="317"/>
        <v>250434692.08509395</v>
      </c>
      <c r="P800" s="102">
        <f t="shared" si="317"/>
        <v>86312650.58389245</v>
      </c>
      <c r="Q800" s="102">
        <f t="shared" si="317"/>
        <v>29810978.076292276</v>
      </c>
      <c r="R800" s="102">
        <f t="shared" si="317"/>
        <v>26125517.705985676</v>
      </c>
      <c r="S800" s="102">
        <f t="shared" si="317"/>
        <v>29631.86088623276</v>
      </c>
      <c r="T800" s="102">
        <f t="shared" si="317"/>
        <v>156365.98462952618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f>I801</f>
        <v>-1000000</v>
      </c>
      <c r="G801" s="100"/>
      <c r="H801" s="100"/>
      <c r="I801" s="397">
        <v>-1000000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259"/>
      <c r="V801" s="102">
        <f>I801</f>
        <v>-1000000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2"/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/>
      <c r="G803" s="100"/>
      <c r="H803" s="100"/>
      <c r="I803" s="100">
        <f t="shared" ref="I803:K803" si="318">IF(VLOOKUP($E803,$D$5:$AJ$953,3,)=0,0,(VLOOKUP($E803,$D$5:$AJ$953,I$1,)/VLOOKUP($E803,$D$5:$AJ$953,3,))*$F803)</f>
        <v>0</v>
      </c>
      <c r="J803" s="100">
        <f t="shared" si="318"/>
        <v>0</v>
      </c>
      <c r="K803" s="100">
        <f t="shared" si="318"/>
        <v>0</v>
      </c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2"/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2"/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1484327439.9408753</v>
      </c>
      <c r="G806" s="100">
        <f t="shared" si="319"/>
        <v>577234747.52548289</v>
      </c>
      <c r="H806" s="100">
        <f t="shared" si="319"/>
        <v>199315664.81655225</v>
      </c>
      <c r="I806" s="100">
        <f t="shared" si="319"/>
        <v>17054497.445093866</v>
      </c>
      <c r="J806" s="100">
        <f t="shared" si="319"/>
        <v>11994477.224836662</v>
      </c>
      <c r="K806" s="100">
        <f t="shared" si="319"/>
        <v>0</v>
      </c>
      <c r="L806" s="100">
        <f t="shared" si="319"/>
        <v>166966077.99831322</v>
      </c>
      <c r="M806" s="100">
        <f t="shared" si="319"/>
        <v>13894272.087358844</v>
      </c>
      <c r="N806" s="100">
        <f t="shared" si="319"/>
        <v>104997866.54645737</v>
      </c>
      <c r="O806" s="100">
        <f t="shared" si="319"/>
        <v>250434692.08509395</v>
      </c>
      <c r="P806" s="100">
        <f t="shared" si="319"/>
        <v>86312650.58389245</v>
      </c>
      <c r="Q806" s="100">
        <f t="shared" si="319"/>
        <v>29810978.076292276</v>
      </c>
      <c r="R806" s="100">
        <f t="shared" si="319"/>
        <v>26125517.705985676</v>
      </c>
      <c r="S806" s="100">
        <f t="shared" si="319"/>
        <v>29631.86088623276</v>
      </c>
      <c r="T806" s="100">
        <f t="shared" si="319"/>
        <v>156365.98462952618</v>
      </c>
      <c r="U806" s="100"/>
      <c r="V806" s="100">
        <f>SUM(V800:V805)</f>
        <v>1484327439.9400001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1283819684.7187505</v>
      </c>
      <c r="G811" s="100">
        <f t="shared" si="320"/>
        <v>510332846.80655491</v>
      </c>
      <c r="H811" s="100">
        <f t="shared" si="320"/>
        <v>160207207.0446004</v>
      </c>
      <c r="I811" s="100">
        <f t="shared" si="320"/>
        <v>14952653.00250194</v>
      </c>
      <c r="J811" s="100">
        <f t="shared" si="320"/>
        <v>10346624.134455794</v>
      </c>
      <c r="K811" s="100">
        <f t="shared" si="320"/>
        <v>0</v>
      </c>
      <c r="L811" s="100">
        <f t="shared" si="320"/>
        <v>136432900.73787868</v>
      </c>
      <c r="M811" s="100">
        <f t="shared" si="320"/>
        <v>11108016.906335194</v>
      </c>
      <c r="N811" s="100">
        <f t="shared" si="320"/>
        <v>91103603.746880829</v>
      </c>
      <c r="O811" s="100">
        <f t="shared" si="320"/>
        <v>225467247.49576423</v>
      </c>
      <c r="P811" s="100">
        <f t="shared" si="320"/>
        <v>77873537.931258574</v>
      </c>
      <c r="Q811" s="100">
        <f t="shared" si="320"/>
        <v>27671372.034967154</v>
      </c>
      <c r="R811" s="100">
        <f t="shared" si="320"/>
        <v>18170756.101212602</v>
      </c>
      <c r="S811" s="100">
        <f t="shared" si="320"/>
        <v>23931.266140934007</v>
      </c>
      <c r="T811" s="100">
        <f t="shared" si="320"/>
        <v>128987.51019950974</v>
      </c>
      <c r="U811" s="100">
        <f t="shared" si="320"/>
        <v>0</v>
      </c>
      <c r="V811" s="102">
        <f>SUM(G811:T811)</f>
        <v>1283819684.718751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-356146.14505923813</v>
      </c>
      <c r="H813" s="100">
        <f t="shared" si="321"/>
        <v>-154707.5742305938</v>
      </c>
      <c r="I813" s="100">
        <f t="shared" si="321"/>
        <v>-13401.977708120232</v>
      </c>
      <c r="J813" s="100">
        <f t="shared" si="321"/>
        <v>-8346.7377162716111</v>
      </c>
      <c r="K813" s="100">
        <f t="shared" si="321"/>
        <v>0</v>
      </c>
      <c r="L813" s="100">
        <f t="shared" si="321"/>
        <v>-128135.48420593189</v>
      </c>
      <c r="M813" s="100">
        <f t="shared" si="321"/>
        <v>-11084.413039379811</v>
      </c>
      <c r="N813" s="100">
        <f t="shared" si="321"/>
        <v>-72677.361526903303</v>
      </c>
      <c r="O813" s="100">
        <f t="shared" si="321"/>
        <v>-161112.16500176169</v>
      </c>
      <c r="P813" s="100">
        <f t="shared" si="321"/>
        <v>-55617.166779033076</v>
      </c>
      <c r="Q813" s="100">
        <f t="shared" si="321"/>
        <v>-18056.963300119827</v>
      </c>
      <c r="R813" s="100">
        <f t="shared" si="321"/>
        <v>-23354.71530384144</v>
      </c>
      <c r="S813" s="100">
        <f t="shared" si="321"/>
        <v>-23.96975509059973</v>
      </c>
      <c r="T813" s="100">
        <f t="shared" si="321"/>
        <v>-119.32637371418747</v>
      </c>
      <c r="U813" s="100">
        <f t="shared" si="321"/>
        <v>0</v>
      </c>
      <c r="V813" s="102">
        <f>SUM(G813:T813)</f>
        <v>-1002783.9999999998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2"/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2"/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2">SUM(F801:F804)*$E$817</f>
        <v>-385574.63099999999</v>
      </c>
      <c r="G817" s="100">
        <f t="shared" si="322"/>
        <v>0</v>
      </c>
      <c r="H817" s="100">
        <f t="shared" si="322"/>
        <v>0</v>
      </c>
      <c r="I817" s="100">
        <f t="shared" si="322"/>
        <v>-385574.63099999999</v>
      </c>
      <c r="J817" s="100">
        <f t="shared" si="322"/>
        <v>0</v>
      </c>
      <c r="K817" s="100">
        <f t="shared" si="322"/>
        <v>0</v>
      </c>
      <c r="L817" s="100">
        <f t="shared" si="322"/>
        <v>0</v>
      </c>
      <c r="M817" s="100">
        <f t="shared" si="322"/>
        <v>0</v>
      </c>
      <c r="N817" s="100">
        <f t="shared" si="322"/>
        <v>0</v>
      </c>
      <c r="O817" s="100">
        <f t="shared" si="322"/>
        <v>0</v>
      </c>
      <c r="P817" s="100">
        <f t="shared" si="322"/>
        <v>0</v>
      </c>
      <c r="Q817" s="100">
        <f t="shared" si="322"/>
        <v>0</v>
      </c>
      <c r="R817" s="100">
        <f t="shared" si="322"/>
        <v>0</v>
      </c>
      <c r="S817" s="100">
        <f t="shared" si="322"/>
        <v>0</v>
      </c>
      <c r="T817" s="100">
        <f t="shared" si="322"/>
        <v>0</v>
      </c>
      <c r="U817" s="100">
        <f>SUM(U801:U804)*0.367473</f>
        <v>0</v>
      </c>
      <c r="V817" s="102">
        <f>ROUND(SUM(G817:T817),2)</f>
        <v>-385574.63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1282431326.0877504</v>
      </c>
      <c r="G819" s="100">
        <f t="shared" ref="G819:T819" si="323">SUM(G811:G817)</f>
        <v>509976700.66149569</v>
      </c>
      <c r="H819" s="100">
        <f t="shared" si="323"/>
        <v>160052499.47036982</v>
      </c>
      <c r="I819" s="100">
        <f t="shared" si="323"/>
        <v>14553676.393793821</v>
      </c>
      <c r="J819" s="100">
        <f t="shared" si="323"/>
        <v>10338277.396739522</v>
      </c>
      <c r="K819" s="100">
        <f t="shared" si="323"/>
        <v>0</v>
      </c>
      <c r="L819" s="100">
        <f t="shared" si="323"/>
        <v>136304765.25367275</v>
      </c>
      <c r="M819" s="100">
        <f t="shared" si="323"/>
        <v>11096932.493295813</v>
      </c>
      <c r="N819" s="100">
        <f t="shared" si="323"/>
        <v>91030926.385353923</v>
      </c>
      <c r="O819" s="100">
        <f t="shared" si="323"/>
        <v>225306135.33076248</v>
      </c>
      <c r="P819" s="100">
        <f t="shared" si="323"/>
        <v>77817920.764479548</v>
      </c>
      <c r="Q819" s="100">
        <f t="shared" si="323"/>
        <v>27653315.071667034</v>
      </c>
      <c r="R819" s="100">
        <f t="shared" si="323"/>
        <v>18147401.38590876</v>
      </c>
      <c r="S819" s="100">
        <f t="shared" si="323"/>
        <v>23907.296385843409</v>
      </c>
      <c r="T819" s="100">
        <f t="shared" si="323"/>
        <v>128868.18382579555</v>
      </c>
      <c r="U819" s="100"/>
      <c r="V819" s="102">
        <f>ROUND(SUM(G819:T819),2)</f>
        <v>1282431326.0899999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201896113.85312486</v>
      </c>
      <c r="G821" s="100">
        <f t="shared" ref="G821:T821" si="324">G806-G819</f>
        <v>67258046.863987207</v>
      </c>
      <c r="H821" s="100">
        <f t="shared" si="324"/>
        <v>39263165.346182436</v>
      </c>
      <c r="I821" s="100">
        <f>I806-I819</f>
        <v>2500821.0513000451</v>
      </c>
      <c r="J821" s="100">
        <f t="shared" si="324"/>
        <v>1656199.8280971404</v>
      </c>
      <c r="K821" s="100">
        <f>K806-K819</f>
        <v>0</v>
      </c>
      <c r="L821" s="100">
        <f t="shared" si="324"/>
        <v>30661312.74464047</v>
      </c>
      <c r="M821" s="100">
        <f t="shared" si="324"/>
        <v>2797339.5940630306</v>
      </c>
      <c r="N821" s="100">
        <f t="shared" si="324"/>
        <v>13966940.161103442</v>
      </c>
      <c r="O821" s="100">
        <f t="shared" si="324"/>
        <v>25128556.75433147</v>
      </c>
      <c r="P821" s="100">
        <f t="shared" si="324"/>
        <v>8494729.819412902</v>
      </c>
      <c r="Q821" s="100">
        <f t="shared" si="324"/>
        <v>2157663.0046252422</v>
      </c>
      <c r="R821" s="100">
        <f t="shared" si="324"/>
        <v>7978116.3200769164</v>
      </c>
      <c r="S821" s="100">
        <f t="shared" si="324"/>
        <v>5724.5645003893515</v>
      </c>
      <c r="T821" s="100">
        <f t="shared" si="324"/>
        <v>27497.800803730628</v>
      </c>
      <c r="U821" s="100"/>
      <c r="V821" s="102">
        <f>ROUND(SUM(G821:T821),2)</f>
        <v>201896113.84999999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5">F776</f>
        <v>3639079759.3610182</v>
      </c>
      <c r="G823" s="102">
        <f t="shared" si="325"/>
        <v>1694179623.6904061</v>
      </c>
      <c r="H823" s="102">
        <f t="shared" si="325"/>
        <v>430102584.99158609</v>
      </c>
      <c r="I823" s="102">
        <f t="shared" si="325"/>
        <v>41121192.679125771</v>
      </c>
      <c r="J823" s="102">
        <f t="shared" si="325"/>
        <v>27008133.39684971</v>
      </c>
      <c r="K823" s="102">
        <f t="shared" si="325"/>
        <v>0</v>
      </c>
      <c r="L823" s="102">
        <f t="shared" si="325"/>
        <v>328433972.5847649</v>
      </c>
      <c r="M823" s="102">
        <f t="shared" si="325"/>
        <v>25045605.561649796</v>
      </c>
      <c r="N823" s="102">
        <f t="shared" si="325"/>
        <v>219810873.03510782</v>
      </c>
      <c r="O823" s="102">
        <f t="shared" si="325"/>
        <v>545071081.68977427</v>
      </c>
      <c r="P823" s="102">
        <f t="shared" si="325"/>
        <v>178124330.85424313</v>
      </c>
      <c r="Q823" s="102">
        <f t="shared" si="325"/>
        <v>63312694.161657609</v>
      </c>
      <c r="R823" s="102">
        <f t="shared" si="325"/>
        <v>86557925.582601428</v>
      </c>
      <c r="S823" s="102">
        <f t="shared" si="325"/>
        <v>33365.624636253771</v>
      </c>
      <c r="T823" s="102">
        <f t="shared" si="325"/>
        <v>278375.50861553469</v>
      </c>
      <c r="U823" s="102">
        <f t="shared" si="325"/>
        <v>0</v>
      </c>
      <c r="V823" s="102">
        <f t="shared" si="325"/>
        <v>3639079759.3610182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6">F821/F823</f>
        <v>5.5479991427441415E-2</v>
      </c>
      <c r="G825" s="232">
        <f t="shared" si="326"/>
        <v>3.9699478097534907E-2</v>
      </c>
      <c r="H825" s="232">
        <f t="shared" si="326"/>
        <v>9.1287908318315555E-2</v>
      </c>
      <c r="I825" s="232">
        <f>I821/I823</f>
        <v>6.0815868615832477E-2</v>
      </c>
      <c r="J825" s="232">
        <f t="shared" si="326"/>
        <v>6.1322261844660587E-2</v>
      </c>
      <c r="K825" s="232" t="e">
        <f>K821/K823</f>
        <v>#DIV/0!</v>
      </c>
      <c r="L825" s="232">
        <f t="shared" si="326"/>
        <v>9.335609377841432E-2</v>
      </c>
      <c r="M825" s="232">
        <f t="shared" si="326"/>
        <v>0.11168983665327537</v>
      </c>
      <c r="N825" s="232">
        <f t="shared" si="326"/>
        <v>6.354071556265857E-2</v>
      </c>
      <c r="O825" s="232">
        <f t="shared" si="326"/>
        <v>4.6101430801337794E-2</v>
      </c>
      <c r="P825" s="232">
        <f t="shared" si="326"/>
        <v>4.7689890419091767E-2</v>
      </c>
      <c r="Q825" s="232">
        <f>Q821/Q823</f>
        <v>3.4079469104821805E-2</v>
      </c>
      <c r="R825" s="232">
        <f>R821/R823</f>
        <v>9.21708354997888E-2</v>
      </c>
      <c r="S825" s="232">
        <f>S821/S823</f>
        <v>0.1715707277414272</v>
      </c>
      <c r="T825" s="232">
        <f>T821/T823</f>
        <v>9.8779526045547086E-2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7">IF(VLOOKUP($E833,$D$5:$AJ$946,3,)=0,0,(VLOOKUP($E833,$D$5:$AJ$946,G$1,)/VLOOKUP($E833,$D$5:$AJ$946,3,))*$F833)</f>
        <v>0.33594300556396001</v>
      </c>
      <c r="H833" s="118">
        <f t="shared" si="327"/>
        <v>9.9525121824362031E-2</v>
      </c>
      <c r="I833" s="118">
        <f t="shared" si="327"/>
        <v>1.1719995157163007E-2</v>
      </c>
      <c r="J833" s="118">
        <f t="shared" si="327"/>
        <v>8.3748731797780151E-3</v>
      </c>
      <c r="K833" s="118">
        <f t="shared" si="327"/>
        <v>0</v>
      </c>
      <c r="L833" s="118">
        <f t="shared" si="327"/>
        <v>0.11435406830807299</v>
      </c>
      <c r="M833" s="118">
        <f t="shared" si="327"/>
        <v>9.1354123048661435E-3</v>
      </c>
      <c r="N833" s="118">
        <f t="shared" si="327"/>
        <v>8.4466912181792156E-2</v>
      </c>
      <c r="O833" s="118">
        <f t="shared" si="327"/>
        <v>0.22153374839300388</v>
      </c>
      <c r="P833" s="118">
        <f t="shared" si="327"/>
        <v>7.8895628353916614E-2</v>
      </c>
      <c r="Q833" s="118">
        <f t="shared" si="327"/>
        <v>2.9126237153218538E-2</v>
      </c>
      <c r="R833" s="118">
        <f t="shared" si="327"/>
        <v>6.8182386460638039E-3</v>
      </c>
      <c r="S833" s="118">
        <f t="shared" si="327"/>
        <v>2.4635895468511432E-5</v>
      </c>
      <c r="T833" s="118">
        <f t="shared" si="327"/>
        <v>8.212303833418759E-5</v>
      </c>
      <c r="U833" s="118"/>
      <c r="V833" s="118">
        <f>SUM(G833:T833)</f>
        <v>0.99999999999999978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8">IF(VLOOKUP($E836,$D$5:$AJ$946,3,)=0,0,(VLOOKUP($E836,$D$5:$AJ$946,G$1,)/VLOOKUP($E836,$D$5:$AJ$946,3,))*$F836)</f>
        <v>0.79905504220417012</v>
      </c>
      <c r="H836" s="117">
        <f t="shared" si="328"/>
        <v>0.15461242113583362</v>
      </c>
      <c r="I836" s="117">
        <f t="shared" si="328"/>
        <v>4.2675247346352091E-4</v>
      </c>
      <c r="J836" s="117">
        <f t="shared" si="328"/>
        <v>1.1002792033211648E-3</v>
      </c>
      <c r="K836" s="117">
        <f t="shared" si="328"/>
        <v>0</v>
      </c>
      <c r="L836" s="117">
        <f t="shared" si="328"/>
        <v>8.1101524413436949E-3</v>
      </c>
      <c r="M836" s="117">
        <f t="shared" si="328"/>
        <v>3.2099207786603966E-4</v>
      </c>
      <c r="N836" s="117">
        <f t="shared" si="328"/>
        <v>9.6483167913491679E-4</v>
      </c>
      <c r="O836" s="117">
        <f t="shared" si="328"/>
        <v>5.13958413693023E-4</v>
      </c>
      <c r="P836" s="117">
        <f t="shared" si="328"/>
        <v>0</v>
      </c>
      <c r="Q836" s="117">
        <f t="shared" si="328"/>
        <v>0</v>
      </c>
      <c r="R836" s="117">
        <f t="shared" si="328"/>
        <v>3.4734765091317808E-2</v>
      </c>
      <c r="S836" s="117">
        <f t="shared" si="328"/>
        <v>8.2464246079907413E-7</v>
      </c>
      <c r="T836" s="117">
        <f t="shared" si="328"/>
        <v>1.5998063739502041E-4</v>
      </c>
      <c r="U836" s="117"/>
      <c r="V836" s="117">
        <f t="shared" ref="V836:V841" si="329">SUM(G836:T836)</f>
        <v>0.99999999999999978</v>
      </c>
      <c r="W836" s="98" t="str">
        <f>IF(ABS(F836-V836)&lt;0.01,"ok","err")</f>
        <v>ok</v>
      </c>
      <c r="X836" s="102" t="str">
        <f t="shared" ref="X836:X841" si="330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0.70128212314704208</v>
      </c>
      <c r="H837" s="118">
        <f>Services!F12+Services!F14</f>
        <v>0.27470878722007919</v>
      </c>
      <c r="I837" s="118">
        <f>Services!F16</f>
        <v>1.0087751664047549E-3</v>
      </c>
      <c r="J837" s="118">
        <f>Services!F18+Services!F20</f>
        <v>2.6016165342279155E-3</v>
      </c>
      <c r="L837" s="118">
        <f>Services!F22</f>
        <v>1.8116892365628405E-2</v>
      </c>
      <c r="M837" s="118">
        <f>Services!F24</f>
        <v>0</v>
      </c>
      <c r="N837" s="118">
        <f>Services!F26</f>
        <v>2.2818055666177124E-3</v>
      </c>
      <c r="O837" s="118">
        <f>Services!F28</f>
        <v>0</v>
      </c>
      <c r="P837" s="118">
        <f>Services!F30</f>
        <v>0</v>
      </c>
      <c r="Q837" s="118">
        <f>Services!F32</f>
        <v>0</v>
      </c>
      <c r="R837" s="118">
        <f>Services!F34</f>
        <v>0</v>
      </c>
      <c r="S837" s="118">
        <f>Services!F36</f>
        <v>0</v>
      </c>
      <c r="T837" s="118">
        <f>Services!F38</f>
        <v>0</v>
      </c>
      <c r="U837" s="118"/>
      <c r="V837" s="117">
        <f t="shared" si="329"/>
        <v>1</v>
      </c>
      <c r="W837" s="98" t="str">
        <f>IF(ABS(F837-V837)&lt;0.01,"ok","err")</f>
        <v>ok</v>
      </c>
      <c r="X837" s="102" t="str">
        <f t="shared" si="330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0.62157263069844648</v>
      </c>
      <c r="H838" s="118">
        <f>Meters!$F$12+Meters!$F$14</f>
        <v>0.23167170101562237</v>
      </c>
      <c r="I838" s="118">
        <f>Meters!F16</f>
        <v>3.4884005688484046E-3</v>
      </c>
      <c r="J838" s="118">
        <f>Meters!$F$18+Meters!$F$20</f>
        <v>4.9141283111056406E-3</v>
      </c>
      <c r="L838" s="118">
        <f>Meters!$F$22</f>
        <v>6.0953707625115719E-2</v>
      </c>
      <c r="M838" s="118">
        <f>Meters!$F$24</f>
        <v>1.3844870728586662E-2</v>
      </c>
      <c r="N838" s="118">
        <f>Meters!$F$26</f>
        <v>9.7994833115040564E-3</v>
      </c>
      <c r="O838" s="118">
        <f>Meters!$F$28</f>
        <v>3.0761579629213481E-2</v>
      </c>
      <c r="P838" s="118">
        <f>Meters!$F$30</f>
        <v>2.0979751730735928E-2</v>
      </c>
      <c r="Q838" s="118">
        <f>Meters!$F$32</f>
        <v>8.8795522524633629E-4</v>
      </c>
      <c r="R838" s="118">
        <f>Meters!$F$34</f>
        <v>0</v>
      </c>
      <c r="S838" s="118">
        <f>Meters!$F$36</f>
        <v>5.7732879773068938E-6</v>
      </c>
      <c r="T838" s="118">
        <f>Meters!$F$38</f>
        <v>1.1200178675975375E-3</v>
      </c>
      <c r="U838" s="118">
        <v>0</v>
      </c>
      <c r="V838" s="117">
        <f t="shared" si="329"/>
        <v>0.99999999999999989</v>
      </c>
      <c r="W838" s="98" t="str">
        <f>IF(ABS(F838-V838)&lt;0.01,"ok","err")</f>
        <v>ok</v>
      </c>
      <c r="X838" s="102" t="str">
        <f t="shared" si="330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1">IF(VLOOKUP($E839,$D$5:$AJ$946,3,)=0,0,(VLOOKUP($E839,$D$5:$AJ$946,G$1,)/VLOOKUP($E839,$D$5:$AJ$946,3,))*$F839)</f>
        <v>0</v>
      </c>
      <c r="H839" s="117">
        <f t="shared" si="331"/>
        <v>0</v>
      </c>
      <c r="I839" s="117">
        <f t="shared" si="331"/>
        <v>0</v>
      </c>
      <c r="J839" s="117">
        <f t="shared" si="331"/>
        <v>0</v>
      </c>
      <c r="K839" s="117">
        <f t="shared" si="331"/>
        <v>0</v>
      </c>
      <c r="L839" s="117">
        <f t="shared" si="331"/>
        <v>0</v>
      </c>
      <c r="M839" s="117">
        <f t="shared" si="331"/>
        <v>0</v>
      </c>
      <c r="N839" s="117">
        <f t="shared" si="331"/>
        <v>0</v>
      </c>
      <c r="O839" s="117">
        <f t="shared" si="331"/>
        <v>0</v>
      </c>
      <c r="P839" s="117">
        <f t="shared" si="331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29"/>
        <v>1</v>
      </c>
      <c r="W839" s="98" t="str">
        <f>IF(ABS(F839-V839)&lt;0.01,"ok","err")</f>
        <v>ok</v>
      </c>
      <c r="X839" s="102" t="str">
        <f t="shared" si="330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1"/>
        <v>0.64425471947915558</v>
      </c>
      <c r="H840" s="117">
        <f t="shared" si="331"/>
        <v>0.24931894987381312</v>
      </c>
      <c r="I840" s="117">
        <f t="shared" si="331"/>
        <v>4.652533536389245E-3</v>
      </c>
      <c r="J840" s="117">
        <f t="shared" si="331"/>
        <v>8.8712295404463747E-3</v>
      </c>
      <c r="K840" s="117">
        <f t="shared" si="331"/>
        <v>0</v>
      </c>
      <c r="L840" s="117">
        <f t="shared" si="331"/>
        <v>3.2694894031442746E-2</v>
      </c>
      <c r="M840" s="117">
        <f t="shared" si="331"/>
        <v>1.2940326395423462E-3</v>
      </c>
      <c r="N840" s="117">
        <f t="shared" si="331"/>
        <v>1.9447889380405203E-2</v>
      </c>
      <c r="O840" s="117">
        <f t="shared" si="331"/>
        <v>1.0359741073792773E-2</v>
      </c>
      <c r="P840" s="117">
        <f t="shared" si="331"/>
        <v>8.9759489448024024E-4</v>
      </c>
      <c r="Q840" s="117">
        <f>IF(VLOOKUP($E840,$D$5:$AJ$946,3,)=0,0,(VLOOKUP($E840,$D$5:$AJ$946,Q$1,)/VLOOKUP($E840,$D$5:$AJ$946,3,))*$F840)</f>
        <v>7.4799574540020011E-5</v>
      </c>
      <c r="R840" s="117">
        <f>IF(VLOOKUP($E840,$D$5:$AJ$946,3,)=0,0,(VLOOKUP($E840,$D$5:$AJ$946,R$1,)/VLOOKUP($E840,$D$5:$AJ$946,3,))*$F840)</f>
        <v>2.8004960707783494E-2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1.2865526820883444E-4</v>
      </c>
      <c r="U840" s="117"/>
      <c r="V840" s="117">
        <f t="shared" si="329"/>
        <v>1</v>
      </c>
      <c r="W840" s="98" t="str">
        <f>IF(ABS(F840-V840)&lt;0.01,"ok","err")</f>
        <v>ok</v>
      </c>
      <c r="X840" s="102" t="str">
        <f t="shared" si="330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2">IF(VLOOKUP($E841,$D$5:$AJ$946,3,)=0,0,ROUND((VLOOKUP($E841,$D$5:$AJ$946,G$1,)/VLOOKUP($E841,$D$5:$AJ$946,3,))*$F841,10))</f>
        <v>0.7990107313</v>
      </c>
      <c r="H841" s="117">
        <f t="shared" si="332"/>
        <v>0.15460384720000001</v>
      </c>
      <c r="I841" s="117">
        <f t="shared" si="332"/>
        <v>4.2672880000000003E-4</v>
      </c>
      <c r="J841" s="117">
        <f t="shared" si="332"/>
        <v>1.1002182000000001E-3</v>
      </c>
      <c r="K841" s="117">
        <f t="shared" si="332"/>
        <v>0</v>
      </c>
      <c r="L841" s="117">
        <f t="shared" si="332"/>
        <v>8.1097027000000006E-3</v>
      </c>
      <c r="M841" s="117">
        <f t="shared" si="332"/>
        <v>3.2097430000000001E-4</v>
      </c>
      <c r="N841" s="117">
        <f t="shared" si="332"/>
        <v>9.6477819999999997E-4</v>
      </c>
      <c r="O841" s="117">
        <f t="shared" si="332"/>
        <v>5.1392989999999997E-4</v>
      </c>
      <c r="P841" s="117">
        <f t="shared" si="332"/>
        <v>5.56603E-5</v>
      </c>
      <c r="Q841" s="117">
        <f t="shared" si="332"/>
        <v>1.8553E-6</v>
      </c>
      <c r="R841" s="117">
        <f t="shared" si="332"/>
        <v>3.4732014300000003E-2</v>
      </c>
      <c r="S841" s="117">
        <f t="shared" si="332"/>
        <v>0</v>
      </c>
      <c r="T841" s="117">
        <f t="shared" si="332"/>
        <v>1.5955949999999999E-4</v>
      </c>
      <c r="U841" s="117"/>
      <c r="V841" s="117">
        <f t="shared" si="329"/>
        <v>0.99999999999999989</v>
      </c>
      <c r="W841" s="98" t="str">
        <f>IF(ABS(F841-V841)&lt;0.000000001,"ok","err")</f>
        <v>ok</v>
      </c>
      <c r="X841" s="264" t="str">
        <f t="shared" si="330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Det'!D40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f>'Billing Det'!D14</f>
        <v>18157524</v>
      </c>
      <c r="J843" s="101">
        <f>'Billing Det'!D16+'Billing Det'!D18</f>
        <v>12037991</v>
      </c>
      <c r="L843" s="101">
        <f>'Billing Det'!D20</f>
        <v>167699907</v>
      </c>
      <c r="M843" s="101">
        <f>'Billing Det'!D22</f>
        <v>13950651</v>
      </c>
      <c r="N843" s="101">
        <f>'Billing Det'!D24</f>
        <v>105481955</v>
      </c>
      <c r="O843" s="101">
        <f>'Billing Det'!D26</f>
        <v>251561897</v>
      </c>
      <c r="P843" s="101">
        <f>'Billing Det'!D30</f>
        <v>86711460</v>
      </c>
      <c r="Q843" s="101">
        <f>'Billing Det'!D32</f>
        <v>29892107</v>
      </c>
      <c r="R843" s="101">
        <f>'Billing Det'!D34</f>
        <v>26032396</v>
      </c>
      <c r="S843" s="101">
        <f>'Billing Det'!D36</f>
        <v>29470</v>
      </c>
      <c r="T843" s="101">
        <f>'Billing Det'!D38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18329917453.787018</v>
      </c>
      <c r="G844" s="101">
        <f>'Billing Det'!C8</f>
        <v>6091631440</v>
      </c>
      <c r="H844" s="101">
        <f>'Billing Det'!C10+'Billing Det'!C12</f>
        <v>1804682196.485518</v>
      </c>
      <c r="I844" s="101">
        <f>'Billing Det'!C14</f>
        <v>212517867</v>
      </c>
      <c r="J844" s="101">
        <f>'Billing Det'!C16+'Billing Det'!C18</f>
        <v>151861000</v>
      </c>
      <c r="K844" s="101"/>
      <c r="L844" s="101">
        <f>'Billing Det'!C20</f>
        <v>2073574464.2992401</v>
      </c>
      <c r="M844" s="101">
        <f>'Billing Det'!C22</f>
        <v>169814470.8207581</v>
      </c>
      <c r="N844" s="101">
        <f>'Billing Det'!C24</f>
        <v>1531632715.563</v>
      </c>
      <c r="O844" s="101">
        <f>'Billing Det'!C26</f>
        <v>4118000917.4033823</v>
      </c>
      <c r="P844" s="101">
        <f>'Billing Det'!C30</f>
        <v>1497714279.3066747</v>
      </c>
      <c r="Q844" s="101">
        <f>'Billing Det'!C32</f>
        <v>552917597.55256987</v>
      </c>
      <c r="R844" s="101">
        <f>'Billing Det'!C34</f>
        <v>123634652.94376437</v>
      </c>
      <c r="S844" s="101">
        <f>'Billing Det'!C36</f>
        <v>446721</v>
      </c>
      <c r="T844" s="101">
        <f>'Billing Det'!C38</f>
        <v>1489131.4121127534</v>
      </c>
      <c r="U844" s="101"/>
      <c r="V844" s="101">
        <f>SUM(G844:T844)</f>
        <v>18329917453.787022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19414689070.637196</v>
      </c>
      <c r="G845" s="101">
        <f t="shared" ref="G845:L845" si="333">G844/0.93398</f>
        <v>6522228998.4796247</v>
      </c>
      <c r="H845" s="101">
        <f t="shared" si="333"/>
        <v>1932249294.9372768</v>
      </c>
      <c r="I845" s="101">
        <f>I844/0.93398</f>
        <v>227540061.88569349</v>
      </c>
      <c r="J845" s="101">
        <f t="shared" si="333"/>
        <v>162595558.79140881</v>
      </c>
      <c r="K845" s="101">
        <f>K844/0.93398</f>
        <v>0</v>
      </c>
      <c r="L845" s="101">
        <f t="shared" si="333"/>
        <v>2220148680.1636438</v>
      </c>
      <c r="M845" s="101">
        <f>M844/0.95745</f>
        <v>177361189.43104926</v>
      </c>
      <c r="N845" s="101">
        <f>N844/0.93398</f>
        <v>1639898836.7663119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19414689070.637196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8273298</v>
      </c>
      <c r="G848" s="101">
        <f>'Billing Det'!B8*12</f>
        <v>5167850</v>
      </c>
      <c r="H848" s="101">
        <f>('Billing Det'!B10+'Billing Det'!B12)*12</f>
        <v>999948</v>
      </c>
      <c r="I848" s="101">
        <f>('Billing Det'!B14)*12</f>
        <v>2760</v>
      </c>
      <c r="J848" s="101">
        <f>('Billing Det'!B16+'Billing Det'!B18)*12</f>
        <v>7118.0000000000009</v>
      </c>
      <c r="K848" s="101"/>
      <c r="L848" s="101">
        <f>'Billing Det'!B20*12</f>
        <v>52450</v>
      </c>
      <c r="M848" s="101">
        <f>'Billing Det'!B22*12</f>
        <v>2070</v>
      </c>
      <c r="N848" s="101">
        <f>'Billing Det'!B24*12</f>
        <v>6243</v>
      </c>
      <c r="O848" s="101">
        <f>'Billing Det'!B26*12</f>
        <v>3318</v>
      </c>
      <c r="P848" s="101">
        <f>'Billing Det'!B30*12</f>
        <v>360</v>
      </c>
      <c r="Q848" s="101">
        <f>'Billing Det'!B32*12</f>
        <v>12</v>
      </c>
      <c r="R848" s="101">
        <f>'Billing Det'!B34*12</f>
        <v>2021809</v>
      </c>
      <c r="S848" s="101">
        <f>'Billing Det'!B36*12</f>
        <v>48</v>
      </c>
      <c r="T848" s="101">
        <f>'Billing Det'!B38*12</f>
        <v>9312</v>
      </c>
      <c r="U848" s="101"/>
      <c r="V848" s="101">
        <f t="shared" ref="V848:V855" si="334">SUM(G848:T848)</f>
        <v>8273298</v>
      </c>
      <c r="W848" s="98" t="str">
        <f t="shared" ref="W848:W853" si="335">IF(ABS(F848-V848)&lt;0.01,"ok","err")</f>
        <v>ok</v>
      </c>
      <c r="X848" s="102" t="str">
        <f t="shared" ref="X848:X856" si="336">IF(W848="err",V848-F848,"")</f>
        <v/>
      </c>
    </row>
    <row r="849" spans="1:24" ht="12" customHeight="1" x14ac:dyDescent="0.25">
      <c r="A849" s="97" t="s">
        <v>514</v>
      </c>
      <c r="F849" s="265">
        <v>689442</v>
      </c>
      <c r="G849" s="101">
        <f>ROUND(+G848/12,0)</f>
        <v>430654</v>
      </c>
      <c r="H849" s="101">
        <f t="shared" ref="H849:T849" si="337">ROUND(+H848/12,0)</f>
        <v>83329</v>
      </c>
      <c r="I849" s="101">
        <f>ROUND(+I848/12,0)</f>
        <v>230</v>
      </c>
      <c r="J849" s="101">
        <f t="shared" si="337"/>
        <v>593</v>
      </c>
      <c r="K849" s="101"/>
      <c r="L849" s="101">
        <f t="shared" si="337"/>
        <v>4371</v>
      </c>
      <c r="M849" s="101">
        <f t="shared" si="337"/>
        <v>173</v>
      </c>
      <c r="N849" s="101">
        <f t="shared" si="337"/>
        <v>520</v>
      </c>
      <c r="O849" s="101">
        <f t="shared" si="337"/>
        <v>277</v>
      </c>
      <c r="P849" s="101">
        <f t="shared" si="337"/>
        <v>30</v>
      </c>
      <c r="Q849" s="101">
        <f t="shared" si="337"/>
        <v>1</v>
      </c>
      <c r="R849" s="101">
        <f t="shared" si="337"/>
        <v>168484</v>
      </c>
      <c r="S849" s="101">
        <f t="shared" si="337"/>
        <v>4</v>
      </c>
      <c r="T849" s="101">
        <f t="shared" si="337"/>
        <v>776</v>
      </c>
      <c r="U849" s="101"/>
      <c r="V849" s="101">
        <f t="shared" si="334"/>
        <v>689442</v>
      </c>
      <c r="W849" s="98" t="str">
        <f t="shared" si="335"/>
        <v>ok</v>
      </c>
      <c r="X849" s="102" t="str">
        <f t="shared" si="336"/>
        <v/>
      </c>
    </row>
    <row r="850" spans="1:24" ht="12" customHeight="1" x14ac:dyDescent="0.25">
      <c r="A850" s="97" t="s">
        <v>515</v>
      </c>
      <c r="F850" s="101">
        <v>689442</v>
      </c>
      <c r="G850" s="101">
        <f t="shared" ref="G850:T850" si="338">G849</f>
        <v>430654</v>
      </c>
      <c r="H850" s="101">
        <f t="shared" si="338"/>
        <v>83329</v>
      </c>
      <c r="I850" s="101">
        <f>I849</f>
        <v>230</v>
      </c>
      <c r="J850" s="101">
        <f>J849</f>
        <v>593</v>
      </c>
      <c r="K850" s="101"/>
      <c r="L850" s="101">
        <f t="shared" si="338"/>
        <v>4371</v>
      </c>
      <c r="M850" s="101">
        <f t="shared" si="338"/>
        <v>173</v>
      </c>
      <c r="N850" s="101">
        <f t="shared" si="338"/>
        <v>520</v>
      </c>
      <c r="O850" s="101">
        <f t="shared" si="338"/>
        <v>277</v>
      </c>
      <c r="P850" s="101">
        <f>P849</f>
        <v>30</v>
      </c>
      <c r="Q850" s="101">
        <f t="shared" si="338"/>
        <v>1</v>
      </c>
      <c r="R850" s="101">
        <f t="shared" si="338"/>
        <v>168484</v>
      </c>
      <c r="S850" s="101">
        <f t="shared" si="338"/>
        <v>4</v>
      </c>
      <c r="T850" s="101">
        <f t="shared" si="338"/>
        <v>776</v>
      </c>
      <c r="U850" s="101"/>
      <c r="V850" s="101">
        <f t="shared" si="334"/>
        <v>689442</v>
      </c>
      <c r="W850" s="98" t="str">
        <f t="shared" si="335"/>
        <v>ok</v>
      </c>
      <c r="X850" s="102" t="str">
        <f t="shared" si="336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668453</v>
      </c>
      <c r="G851" s="101">
        <f>ROUND(G850,0)</f>
        <v>430654</v>
      </c>
      <c r="H851" s="101">
        <f>ROUND(H850*2,0)</f>
        <v>166658</v>
      </c>
      <c r="I851" s="101">
        <f>'Billing Det'!K26</f>
        <v>3110</v>
      </c>
      <c r="J851" s="101">
        <f>ROUND(J850*10,0)</f>
        <v>5930</v>
      </c>
      <c r="K851" s="101"/>
      <c r="L851" s="101">
        <f>ROUND(L850*5,0)</f>
        <v>21855</v>
      </c>
      <c r="M851" s="101">
        <f>ROUND(M850*5,0)</f>
        <v>865</v>
      </c>
      <c r="N851" s="101">
        <f>ROUND(N850*25,0)</f>
        <v>13000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4"/>
        <v>668453</v>
      </c>
      <c r="W851" s="98" t="str">
        <f t="shared" si="335"/>
        <v>ok</v>
      </c>
      <c r="X851" s="102" t="str">
        <f t="shared" si="336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4"/>
        <v>114827799.3</v>
      </c>
      <c r="W852" s="98" t="str">
        <f t="shared" si="335"/>
        <v>ok</v>
      </c>
      <c r="X852" s="102" t="str">
        <f t="shared" si="336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689442</v>
      </c>
      <c r="G853" s="101">
        <f>G850</f>
        <v>430654</v>
      </c>
      <c r="H853" s="101">
        <f t="shared" ref="H853:T853" si="339">H850</f>
        <v>83329</v>
      </c>
      <c r="I853" s="101">
        <f>I850</f>
        <v>230</v>
      </c>
      <c r="J853" s="101">
        <f>J850</f>
        <v>593</v>
      </c>
      <c r="K853" s="101">
        <f>K850</f>
        <v>0</v>
      </c>
      <c r="L853" s="101">
        <f t="shared" si="339"/>
        <v>4371</v>
      </c>
      <c r="M853" s="101">
        <f t="shared" si="339"/>
        <v>173</v>
      </c>
      <c r="N853" s="101">
        <f t="shared" si="339"/>
        <v>520</v>
      </c>
      <c r="O853" s="101">
        <f>O850</f>
        <v>277</v>
      </c>
      <c r="P853" s="101">
        <f>P850</f>
        <v>30</v>
      </c>
      <c r="Q853" s="101">
        <f t="shared" si="339"/>
        <v>1</v>
      </c>
      <c r="R853" s="101">
        <f t="shared" si="339"/>
        <v>168484</v>
      </c>
      <c r="S853" s="101">
        <f t="shared" si="339"/>
        <v>4</v>
      </c>
      <c r="T853" s="101">
        <f t="shared" si="339"/>
        <v>776</v>
      </c>
      <c r="U853" s="101"/>
      <c r="V853" s="101">
        <f t="shared" si="334"/>
        <v>689442</v>
      </c>
      <c r="W853" s="98" t="str">
        <f t="shared" si="335"/>
        <v>ok</v>
      </c>
      <c r="X853" s="102" t="str">
        <f t="shared" si="336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538984</v>
      </c>
      <c r="G854" s="101">
        <f t="shared" ref="G854:Q854" si="340">G850</f>
        <v>430654</v>
      </c>
      <c r="H854" s="101">
        <f t="shared" si="340"/>
        <v>83329</v>
      </c>
      <c r="I854" s="101">
        <f>I850</f>
        <v>230</v>
      </c>
      <c r="J854" s="101">
        <f t="shared" si="340"/>
        <v>593</v>
      </c>
      <c r="K854" s="101">
        <f>K850</f>
        <v>0</v>
      </c>
      <c r="L854" s="101">
        <f t="shared" si="340"/>
        <v>4371</v>
      </c>
      <c r="M854" s="101">
        <f t="shared" si="340"/>
        <v>173</v>
      </c>
      <c r="N854" s="101">
        <f t="shared" si="340"/>
        <v>520</v>
      </c>
      <c r="O854" s="101">
        <f t="shared" si="340"/>
        <v>277</v>
      </c>
      <c r="P854" s="101">
        <f t="shared" si="340"/>
        <v>30</v>
      </c>
      <c r="Q854" s="101">
        <f t="shared" si="340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4"/>
        <v>538984</v>
      </c>
      <c r="W854" s="98" t="str">
        <f>IF(ABS(F854-V854)=0,"ok","err")</f>
        <v>ok</v>
      </c>
      <c r="X854" s="243" t="str">
        <f t="shared" si="336"/>
        <v/>
      </c>
    </row>
    <row r="855" spans="1:24" ht="12" customHeight="1" x14ac:dyDescent="0.25">
      <c r="A855" s="97" t="s">
        <v>791</v>
      </c>
      <c r="D855" s="97" t="s">
        <v>940</v>
      </c>
      <c r="F855" s="101">
        <f>533383.111111111+I855</f>
        <v>533613.11111111101</v>
      </c>
      <c r="G855" s="101">
        <f>G850</f>
        <v>430654</v>
      </c>
      <c r="H855" s="101">
        <f>H854</f>
        <v>83329</v>
      </c>
      <c r="I855" s="101">
        <f>I854</f>
        <v>230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4"/>
        <v>533613.11111111124</v>
      </c>
      <c r="W855" s="98" t="str">
        <f>IF(ABS(F855-V855)&lt;0.01,"ok","err")</f>
        <v>ok</v>
      </c>
      <c r="X855" s="102" t="str">
        <f t="shared" si="336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538954.11111111124</v>
      </c>
      <c r="G856" s="101">
        <f>G850</f>
        <v>430654</v>
      </c>
      <c r="H856" s="101">
        <f t="shared" ref="H856:O856" si="341">H850</f>
        <v>83329</v>
      </c>
      <c r="I856" s="101">
        <f>I850</f>
        <v>230</v>
      </c>
      <c r="J856" s="101">
        <f t="shared" si="341"/>
        <v>593</v>
      </c>
      <c r="K856" s="101">
        <f>K850</f>
        <v>0</v>
      </c>
      <c r="L856" s="101">
        <f t="shared" si="341"/>
        <v>4371</v>
      </c>
      <c r="M856" s="101">
        <f t="shared" si="341"/>
        <v>173</v>
      </c>
      <c r="N856" s="101">
        <f t="shared" si="341"/>
        <v>520</v>
      </c>
      <c r="O856" s="101">
        <f t="shared" si="341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538954.11111111124</v>
      </c>
      <c r="W856" s="98" t="str">
        <f>IF(ABS(F856-V856)&lt;0.01,"ok","err")</f>
        <v>ok</v>
      </c>
      <c r="X856" s="102" t="str">
        <f t="shared" si="336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538504.11111111124</v>
      </c>
      <c r="G857" s="101">
        <f>G855</f>
        <v>430654</v>
      </c>
      <c r="H857" s="101">
        <f t="shared" ref="H857:T857" si="342">H855</f>
        <v>83329</v>
      </c>
      <c r="I857" s="101">
        <f t="shared" si="342"/>
        <v>230</v>
      </c>
      <c r="J857" s="101">
        <f t="shared" si="342"/>
        <v>593</v>
      </c>
      <c r="K857" s="101">
        <f t="shared" si="342"/>
        <v>0</v>
      </c>
      <c r="L857" s="101">
        <f>L856</f>
        <v>4371</v>
      </c>
      <c r="M857" s="101">
        <f t="shared" si="342"/>
        <v>0</v>
      </c>
      <c r="N857" s="101">
        <f>N856</f>
        <v>520</v>
      </c>
      <c r="O857" s="101">
        <f t="shared" si="342"/>
        <v>0</v>
      </c>
      <c r="P857" s="101">
        <f t="shared" si="342"/>
        <v>0</v>
      </c>
      <c r="Q857" s="101">
        <f t="shared" si="342"/>
        <v>0</v>
      </c>
      <c r="R857" s="101">
        <f t="shared" si="342"/>
        <v>18720.444444444445</v>
      </c>
      <c r="S857" s="101">
        <f t="shared" si="342"/>
        <v>0.44444444444444442</v>
      </c>
      <c r="T857" s="101">
        <f t="shared" si="342"/>
        <v>86.222222222222229</v>
      </c>
      <c r="U857" s="101"/>
      <c r="V857" s="101">
        <f>SUM(G857:U857)</f>
        <v>538504.11111111124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8273298</v>
      </c>
      <c r="G860" s="265">
        <f t="shared" ref="G860:T860" si="343">G848</f>
        <v>5167850</v>
      </c>
      <c r="H860" s="265">
        <f t="shared" si="343"/>
        <v>999948</v>
      </c>
      <c r="I860" s="265">
        <f>I848</f>
        <v>2760</v>
      </c>
      <c r="J860" s="265">
        <f t="shared" si="343"/>
        <v>7118.0000000000009</v>
      </c>
      <c r="K860" s="265">
        <f>K848</f>
        <v>0</v>
      </c>
      <c r="L860" s="265">
        <f t="shared" si="343"/>
        <v>52450</v>
      </c>
      <c r="M860" s="265">
        <f t="shared" si="343"/>
        <v>2070</v>
      </c>
      <c r="N860" s="265">
        <f t="shared" si="343"/>
        <v>6243</v>
      </c>
      <c r="O860" s="265">
        <f t="shared" si="343"/>
        <v>3318</v>
      </c>
      <c r="P860" s="265">
        <f t="shared" si="343"/>
        <v>360</v>
      </c>
      <c r="Q860" s="265">
        <f t="shared" si="343"/>
        <v>12</v>
      </c>
      <c r="R860" s="265">
        <f t="shared" si="343"/>
        <v>2021809</v>
      </c>
      <c r="S860" s="265">
        <f t="shared" si="343"/>
        <v>48</v>
      </c>
      <c r="T860" s="265">
        <f t="shared" si="343"/>
        <v>9312</v>
      </c>
      <c r="U860" s="101"/>
      <c r="V860" s="101">
        <f t="shared" ref="V860:V867" si="344">SUM(G860:T860)</f>
        <v>8273298</v>
      </c>
      <c r="W860" s="98" t="str">
        <f t="shared" ref="W860:W867" si="345">IF(ABS(F860-V860)&lt;0.01,"ok","err")</f>
        <v>ok</v>
      </c>
      <c r="X860" s="102" t="str">
        <f t="shared" ref="X860:X867" si="346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7">F849</f>
        <v>689442</v>
      </c>
      <c r="G861" s="265">
        <f t="shared" si="347"/>
        <v>430654</v>
      </c>
      <c r="H861" s="265">
        <f t="shared" si="347"/>
        <v>83329</v>
      </c>
      <c r="I861" s="265">
        <f t="shared" si="347"/>
        <v>230</v>
      </c>
      <c r="J861" s="265">
        <f t="shared" si="347"/>
        <v>593</v>
      </c>
      <c r="K861" s="265">
        <f t="shared" si="347"/>
        <v>0</v>
      </c>
      <c r="L861" s="265">
        <f t="shared" si="347"/>
        <v>4371</v>
      </c>
      <c r="M861" s="265">
        <f t="shared" si="347"/>
        <v>173</v>
      </c>
      <c r="N861" s="265">
        <f t="shared" si="347"/>
        <v>520</v>
      </c>
      <c r="O861" s="265">
        <f t="shared" si="347"/>
        <v>277</v>
      </c>
      <c r="P861" s="265">
        <f t="shared" si="347"/>
        <v>30</v>
      </c>
      <c r="Q861" s="265">
        <f t="shared" si="347"/>
        <v>1</v>
      </c>
      <c r="R861" s="265">
        <f t="shared" si="347"/>
        <v>168484</v>
      </c>
      <c r="S861" s="265">
        <f t="shared" si="347"/>
        <v>4</v>
      </c>
      <c r="T861" s="265">
        <f t="shared" si="347"/>
        <v>776</v>
      </c>
      <c r="U861" s="105"/>
      <c r="V861" s="101">
        <f t="shared" si="344"/>
        <v>689442</v>
      </c>
      <c r="W861" s="98" t="str">
        <f t="shared" si="345"/>
        <v>ok</v>
      </c>
      <c r="X861" s="102" t="str">
        <f t="shared" si="346"/>
        <v/>
      </c>
    </row>
    <row r="862" spans="1:24" ht="12" customHeight="1" x14ac:dyDescent="0.25">
      <c r="A862" s="97" t="s">
        <v>515</v>
      </c>
      <c r="F862" s="265">
        <f t="shared" si="347"/>
        <v>689442</v>
      </c>
      <c r="G862" s="265">
        <f t="shared" si="347"/>
        <v>430654</v>
      </c>
      <c r="H862" s="265">
        <f t="shared" si="347"/>
        <v>83329</v>
      </c>
      <c r="I862" s="265">
        <f t="shared" si="347"/>
        <v>230</v>
      </c>
      <c r="J862" s="265">
        <f t="shared" si="347"/>
        <v>593</v>
      </c>
      <c r="K862" s="265">
        <f t="shared" si="347"/>
        <v>0</v>
      </c>
      <c r="L862" s="265">
        <f t="shared" si="347"/>
        <v>4371</v>
      </c>
      <c r="M862" s="265">
        <f t="shared" si="347"/>
        <v>173</v>
      </c>
      <c r="N862" s="265">
        <f t="shared" si="347"/>
        <v>520</v>
      </c>
      <c r="O862" s="265">
        <f t="shared" si="347"/>
        <v>277</v>
      </c>
      <c r="P862" s="265">
        <f t="shared" si="347"/>
        <v>30</v>
      </c>
      <c r="Q862" s="265">
        <f t="shared" si="347"/>
        <v>1</v>
      </c>
      <c r="R862" s="265">
        <f t="shared" si="347"/>
        <v>168484</v>
      </c>
      <c r="S862" s="265">
        <f t="shared" si="347"/>
        <v>4</v>
      </c>
      <c r="T862" s="265">
        <f t="shared" si="347"/>
        <v>776</v>
      </c>
      <c r="U862" s="105"/>
      <c r="V862" s="101">
        <f t="shared" si="344"/>
        <v>689442</v>
      </c>
      <c r="W862" s="98" t="str">
        <f t="shared" si="345"/>
        <v>ok</v>
      </c>
      <c r="X862" s="106" t="str">
        <f t="shared" si="346"/>
        <v/>
      </c>
    </row>
    <row r="863" spans="1:24" ht="12" customHeight="1" x14ac:dyDescent="0.25">
      <c r="A863" s="97" t="s">
        <v>789</v>
      </c>
      <c r="F863" s="265">
        <f t="shared" si="347"/>
        <v>668453</v>
      </c>
      <c r="G863" s="265">
        <f t="shared" si="347"/>
        <v>430654</v>
      </c>
      <c r="H863" s="265">
        <f t="shared" si="347"/>
        <v>166658</v>
      </c>
      <c r="I863" s="265">
        <f t="shared" si="347"/>
        <v>3110</v>
      </c>
      <c r="J863" s="265">
        <f t="shared" si="347"/>
        <v>5930</v>
      </c>
      <c r="K863" s="265">
        <f t="shared" si="347"/>
        <v>0</v>
      </c>
      <c r="L863" s="265">
        <f t="shared" si="347"/>
        <v>21855</v>
      </c>
      <c r="M863" s="265">
        <f t="shared" si="347"/>
        <v>865</v>
      </c>
      <c r="N863" s="265">
        <f t="shared" si="347"/>
        <v>13000</v>
      </c>
      <c r="O863" s="265">
        <f t="shared" si="347"/>
        <v>6925</v>
      </c>
      <c r="P863" s="265">
        <f t="shared" si="347"/>
        <v>600</v>
      </c>
      <c r="Q863" s="265">
        <f t="shared" si="347"/>
        <v>50</v>
      </c>
      <c r="R863" s="265">
        <f t="shared" si="347"/>
        <v>18720</v>
      </c>
      <c r="S863" s="265">
        <f t="shared" si="347"/>
        <v>0</v>
      </c>
      <c r="T863" s="265">
        <f t="shared" si="347"/>
        <v>86</v>
      </c>
      <c r="U863" s="105"/>
      <c r="V863" s="101">
        <f t="shared" si="344"/>
        <v>668453</v>
      </c>
      <c r="W863" s="98" t="str">
        <f t="shared" si="345"/>
        <v>ok</v>
      </c>
      <c r="X863" s="106" t="str">
        <f t="shared" si="346"/>
        <v/>
      </c>
    </row>
    <row r="864" spans="1:24" ht="12" customHeight="1" x14ac:dyDescent="0.25">
      <c r="A864" s="97" t="s">
        <v>405</v>
      </c>
      <c r="F864" s="265">
        <f t="shared" si="347"/>
        <v>114827799.3</v>
      </c>
      <c r="G864" s="265">
        <f t="shared" si="347"/>
        <v>0</v>
      </c>
      <c r="H864" s="265">
        <f t="shared" si="347"/>
        <v>0</v>
      </c>
      <c r="I864" s="265">
        <f t="shared" si="347"/>
        <v>0</v>
      </c>
      <c r="J864" s="265">
        <f t="shared" si="347"/>
        <v>0</v>
      </c>
      <c r="K864" s="265">
        <f t="shared" si="347"/>
        <v>0</v>
      </c>
      <c r="L864" s="265">
        <f t="shared" si="347"/>
        <v>0</v>
      </c>
      <c r="M864" s="265">
        <f t="shared" si="347"/>
        <v>0</v>
      </c>
      <c r="N864" s="265">
        <f t="shared" si="347"/>
        <v>0</v>
      </c>
      <c r="O864" s="265">
        <f t="shared" si="347"/>
        <v>0</v>
      </c>
      <c r="P864" s="265">
        <f t="shared" si="347"/>
        <v>0</v>
      </c>
      <c r="Q864" s="265">
        <f t="shared" si="347"/>
        <v>0</v>
      </c>
      <c r="R864" s="265">
        <f t="shared" si="347"/>
        <v>114827799.3</v>
      </c>
      <c r="S864" s="265">
        <f t="shared" si="347"/>
        <v>0</v>
      </c>
      <c r="T864" s="265">
        <f t="shared" si="347"/>
        <v>0</v>
      </c>
      <c r="U864" s="101"/>
      <c r="V864" s="101">
        <f t="shared" si="344"/>
        <v>114827799.3</v>
      </c>
      <c r="W864" s="98" t="str">
        <f t="shared" si="345"/>
        <v>ok</v>
      </c>
      <c r="X864" s="102" t="str">
        <f t="shared" si="346"/>
        <v/>
      </c>
    </row>
    <row r="865" spans="1:24" ht="12" customHeight="1" x14ac:dyDescent="0.25">
      <c r="A865" s="97" t="s">
        <v>884</v>
      </c>
      <c r="F865" s="265">
        <f t="shared" si="347"/>
        <v>689442</v>
      </c>
      <c r="G865" s="265">
        <f t="shared" si="347"/>
        <v>430654</v>
      </c>
      <c r="H865" s="265">
        <f t="shared" si="347"/>
        <v>83329</v>
      </c>
      <c r="I865" s="265">
        <f t="shared" si="347"/>
        <v>230</v>
      </c>
      <c r="J865" s="265">
        <f t="shared" si="347"/>
        <v>593</v>
      </c>
      <c r="K865" s="265">
        <f t="shared" si="347"/>
        <v>0</v>
      </c>
      <c r="L865" s="265">
        <f t="shared" si="347"/>
        <v>4371</v>
      </c>
      <c r="M865" s="265">
        <f t="shared" si="347"/>
        <v>173</v>
      </c>
      <c r="N865" s="265">
        <f t="shared" si="347"/>
        <v>520</v>
      </c>
      <c r="O865" s="265">
        <f t="shared" si="347"/>
        <v>277</v>
      </c>
      <c r="P865" s="265">
        <f t="shared" si="347"/>
        <v>30</v>
      </c>
      <c r="Q865" s="265">
        <f t="shared" si="347"/>
        <v>1</v>
      </c>
      <c r="R865" s="265">
        <f t="shared" si="347"/>
        <v>168484</v>
      </c>
      <c r="S865" s="265">
        <f t="shared" si="347"/>
        <v>4</v>
      </c>
      <c r="T865" s="265">
        <f t="shared" si="347"/>
        <v>776</v>
      </c>
      <c r="U865" s="105"/>
      <c r="V865" s="101">
        <f t="shared" si="344"/>
        <v>689442</v>
      </c>
      <c r="W865" s="98" t="str">
        <f t="shared" si="345"/>
        <v>ok</v>
      </c>
      <c r="X865" s="102" t="str">
        <f t="shared" si="346"/>
        <v/>
      </c>
    </row>
    <row r="866" spans="1:24" ht="12" customHeight="1" x14ac:dyDescent="0.25">
      <c r="A866" s="97" t="s">
        <v>790</v>
      </c>
      <c r="F866" s="265">
        <f t="shared" si="347"/>
        <v>538984</v>
      </c>
      <c r="G866" s="265">
        <f t="shared" si="347"/>
        <v>430654</v>
      </c>
      <c r="H866" s="265">
        <f t="shared" si="347"/>
        <v>83329</v>
      </c>
      <c r="I866" s="265">
        <f t="shared" si="347"/>
        <v>230</v>
      </c>
      <c r="J866" s="265">
        <f t="shared" si="347"/>
        <v>593</v>
      </c>
      <c r="K866" s="265">
        <f t="shared" si="347"/>
        <v>0</v>
      </c>
      <c r="L866" s="265">
        <f t="shared" si="347"/>
        <v>4371</v>
      </c>
      <c r="M866" s="265">
        <f t="shared" si="347"/>
        <v>173</v>
      </c>
      <c r="N866" s="265">
        <f t="shared" si="347"/>
        <v>520</v>
      </c>
      <c r="O866" s="265">
        <f t="shared" si="347"/>
        <v>277</v>
      </c>
      <c r="P866" s="265">
        <f t="shared" si="347"/>
        <v>30</v>
      </c>
      <c r="Q866" s="265">
        <f t="shared" si="347"/>
        <v>1</v>
      </c>
      <c r="R866" s="265">
        <f t="shared" si="347"/>
        <v>18720</v>
      </c>
      <c r="S866" s="265">
        <f t="shared" si="347"/>
        <v>0</v>
      </c>
      <c r="T866" s="265">
        <f t="shared" si="347"/>
        <v>86</v>
      </c>
      <c r="U866" s="105"/>
      <c r="V866" s="101">
        <f t="shared" si="344"/>
        <v>538984</v>
      </c>
      <c r="W866" s="98" t="str">
        <f t="shared" si="345"/>
        <v>ok</v>
      </c>
      <c r="X866" s="102" t="str">
        <f t="shared" si="346"/>
        <v/>
      </c>
    </row>
    <row r="867" spans="1:24" ht="12" customHeight="1" x14ac:dyDescent="0.25">
      <c r="A867" s="97" t="s">
        <v>791</v>
      </c>
      <c r="F867" s="265">
        <f t="shared" si="347"/>
        <v>533613.11111111101</v>
      </c>
      <c r="G867" s="265">
        <f t="shared" si="347"/>
        <v>430654</v>
      </c>
      <c r="H867" s="265">
        <f t="shared" si="347"/>
        <v>83329</v>
      </c>
      <c r="I867" s="265">
        <f t="shared" si="347"/>
        <v>230</v>
      </c>
      <c r="J867" s="265">
        <f t="shared" si="347"/>
        <v>593</v>
      </c>
      <c r="K867" s="265">
        <f t="shared" si="347"/>
        <v>0</v>
      </c>
      <c r="L867" s="265">
        <f t="shared" si="347"/>
        <v>0</v>
      </c>
      <c r="M867" s="265">
        <f t="shared" si="347"/>
        <v>0</v>
      </c>
      <c r="N867" s="265">
        <f t="shared" si="347"/>
        <v>0</v>
      </c>
      <c r="O867" s="265">
        <f t="shared" si="347"/>
        <v>0</v>
      </c>
      <c r="P867" s="265">
        <f t="shared" si="347"/>
        <v>0</v>
      </c>
      <c r="Q867" s="265">
        <f t="shared" si="347"/>
        <v>0</v>
      </c>
      <c r="R867" s="265">
        <f t="shared" si="347"/>
        <v>18720.444444444445</v>
      </c>
      <c r="S867" s="265">
        <f t="shared" si="347"/>
        <v>0.44444444444444442</v>
      </c>
      <c r="T867" s="265">
        <f t="shared" si="347"/>
        <v>86.222222222222229</v>
      </c>
      <c r="U867" s="101"/>
      <c r="V867" s="101">
        <f t="shared" si="344"/>
        <v>533613.11111111124</v>
      </c>
      <c r="W867" s="98" t="str">
        <f t="shared" si="345"/>
        <v>ok</v>
      </c>
      <c r="X867" s="102" t="str">
        <f t="shared" si="346"/>
        <v/>
      </c>
    </row>
    <row r="868" spans="1:24" ht="12" customHeight="1" x14ac:dyDescent="0.25">
      <c r="A868" s="97" t="s">
        <v>792</v>
      </c>
      <c r="F868" s="265">
        <f t="shared" si="347"/>
        <v>538954.11111111124</v>
      </c>
      <c r="G868" s="265">
        <f t="shared" si="347"/>
        <v>430654</v>
      </c>
      <c r="H868" s="265">
        <f t="shared" si="347"/>
        <v>83329</v>
      </c>
      <c r="I868" s="265">
        <f t="shared" si="347"/>
        <v>230</v>
      </c>
      <c r="J868" s="265">
        <f t="shared" si="347"/>
        <v>593</v>
      </c>
      <c r="K868" s="265">
        <f t="shared" si="347"/>
        <v>0</v>
      </c>
      <c r="L868" s="265">
        <f t="shared" si="347"/>
        <v>4371</v>
      </c>
      <c r="M868" s="265">
        <f t="shared" si="347"/>
        <v>173</v>
      </c>
      <c r="N868" s="265">
        <f t="shared" si="347"/>
        <v>520</v>
      </c>
      <c r="O868" s="265">
        <f t="shared" si="347"/>
        <v>277</v>
      </c>
      <c r="P868" s="265">
        <f t="shared" si="347"/>
        <v>0</v>
      </c>
      <c r="Q868" s="265">
        <f t="shared" si="347"/>
        <v>0</v>
      </c>
      <c r="R868" s="265">
        <f t="shared" si="347"/>
        <v>18720.444444444445</v>
      </c>
      <c r="S868" s="265">
        <f t="shared" si="347"/>
        <v>0.44444444444444442</v>
      </c>
      <c r="T868" s="265">
        <f t="shared" si="347"/>
        <v>86.222222222222229</v>
      </c>
      <c r="U868" s="101"/>
      <c r="V868" s="101">
        <f>SUM(G868:T868)</f>
        <v>538954.11111111124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538504.11111111124</v>
      </c>
      <c r="G869" s="101">
        <f t="shared" ref="G869:T869" si="348">G857</f>
        <v>430654</v>
      </c>
      <c r="H869" s="101">
        <f t="shared" si="348"/>
        <v>83329</v>
      </c>
      <c r="I869" s="101">
        <f t="shared" si="348"/>
        <v>230</v>
      </c>
      <c r="J869" s="101">
        <f t="shared" si="348"/>
        <v>593</v>
      </c>
      <c r="K869" s="101">
        <f t="shared" si="348"/>
        <v>0</v>
      </c>
      <c r="L869" s="101">
        <f t="shared" si="348"/>
        <v>4371</v>
      </c>
      <c r="M869" s="101">
        <f t="shared" si="348"/>
        <v>0</v>
      </c>
      <c r="N869" s="101">
        <f t="shared" si="348"/>
        <v>520</v>
      </c>
      <c r="O869" s="101">
        <f t="shared" si="348"/>
        <v>0</v>
      </c>
      <c r="P869" s="101">
        <f t="shared" si="348"/>
        <v>0</v>
      </c>
      <c r="Q869" s="101">
        <f t="shared" si="348"/>
        <v>0</v>
      </c>
      <c r="R869" s="101">
        <f t="shared" si="348"/>
        <v>18720.444444444445</v>
      </c>
      <c r="S869" s="101">
        <f t="shared" si="348"/>
        <v>0.44444444444444442</v>
      </c>
      <c r="T869" s="101">
        <f t="shared" si="348"/>
        <v>86.222222222222229</v>
      </c>
      <c r="U869" s="101"/>
      <c r="V869" s="101">
        <f>SUM(G869:U869)</f>
        <v>538504.11111111124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4686905.0191343417</v>
      </c>
      <c r="G872" s="101">
        <f>'Billing Det'!E8</f>
        <v>2051123.053201586</v>
      </c>
      <c r="H872" s="101">
        <f>'Billing Det'!E10</f>
        <v>499710.97063738306</v>
      </c>
      <c r="I872" s="101">
        <f>'Billing Det'!E14</f>
        <v>68730</v>
      </c>
      <c r="J872" s="101">
        <f>'Billing Det'!E16</f>
        <v>52333.388582496336</v>
      </c>
      <c r="L872" s="101">
        <f>'Billing Det'!E20</f>
        <v>441303.22960042401</v>
      </c>
      <c r="M872" s="101">
        <f>'Billing Det'!E22</f>
        <v>36098.457687557748</v>
      </c>
      <c r="N872" s="101">
        <f>'Billing Det'!E24</f>
        <v>285645.70162994502</v>
      </c>
      <c r="O872" s="101">
        <f>'Billing Det'!E26</f>
        <v>751868.84558161651</v>
      </c>
      <c r="P872" s="101">
        <f>'Billing Det'!E30</f>
        <v>294031.57298089442</v>
      </c>
      <c r="Q872" s="101">
        <f>'Billing Det'!E32</f>
        <v>168627.35312117345</v>
      </c>
      <c r="R872" s="101">
        <f>'Billing Det'!E34</f>
        <v>37037.047301538805</v>
      </c>
      <c r="S872" s="101">
        <f>'Billing Det'!E36</f>
        <v>155.13525415746221</v>
      </c>
      <c r="T872" s="101">
        <f>'Billing Det'!E38</f>
        <v>240.26355556795608</v>
      </c>
      <c r="U872" s="101"/>
      <c r="V872" s="101">
        <f t="shared" ref="V872:V878" si="349">SUM(G872:T872)</f>
        <v>4686905.0191343417</v>
      </c>
      <c r="W872" s="98" t="str">
        <f t="shared" ref="W872:W877" si="350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4224246.0930322735</v>
      </c>
      <c r="G873" s="101">
        <f>'Billing Det'!E8</f>
        <v>2051123.053201586</v>
      </c>
      <c r="H873" s="101">
        <f>'Billing Det'!E10+'Billing Det'!E12</f>
        <v>499710.97063738306</v>
      </c>
      <c r="I873" s="101">
        <f>'Billing Det'!E14</f>
        <v>68730</v>
      </c>
      <c r="J873" s="101">
        <f>'Billing Det'!E16+'Billing Det'!E18</f>
        <v>52333.388582496336</v>
      </c>
      <c r="L873" s="101">
        <f>'Billing Det'!E20</f>
        <v>441303.22960042401</v>
      </c>
      <c r="M873" s="101">
        <f>'Billing Det'!E22</f>
        <v>36098.457687557748</v>
      </c>
      <c r="N873" s="101">
        <f>'Billing Det'!E24</f>
        <v>285645.70162994502</v>
      </c>
      <c r="O873" s="101">
        <f>'Billing Det'!E26+'Billing Det'!E28</f>
        <v>751868.84558161651</v>
      </c>
      <c r="P873" s="101">
        <v>0</v>
      </c>
      <c r="Q873" s="101">
        <v>0</v>
      </c>
      <c r="R873" s="101">
        <f>'Billing Det'!E34</f>
        <v>37037.047301538805</v>
      </c>
      <c r="S873" s="101">
        <f>'Billing Det'!E36</f>
        <v>155.13525415746221</v>
      </c>
      <c r="T873" s="101">
        <f>'Billing Det'!E38</f>
        <v>240.26355556795608</v>
      </c>
      <c r="U873" s="101"/>
      <c r="V873" s="101">
        <f t="shared" si="349"/>
        <v>4224246.0930322735</v>
      </c>
      <c r="W873" s="98" t="str">
        <f t="shared" si="350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6160441.2084077764</v>
      </c>
      <c r="G874" s="101">
        <f>G875</f>
        <v>4304609.8439723067</v>
      </c>
      <c r="H874" s="101">
        <f>H875</f>
        <v>746971.4312416797</v>
      </c>
      <c r="I874" s="101">
        <f>I875</f>
        <v>74893</v>
      </c>
      <c r="J874" s="101">
        <f>J875</f>
        <v>57026.216936198616</v>
      </c>
      <c r="K874" s="101"/>
      <c r="L874" s="101">
        <f>'Billing Det'!I20</f>
        <v>593900.65359877702</v>
      </c>
      <c r="M874" s="101">
        <v>0</v>
      </c>
      <c r="N874" s="101">
        <f>'Billing Det'!I24</f>
        <v>348502.95699910098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49"/>
        <v>6160441.2084077774</v>
      </c>
      <c r="W874" s="98" t="str">
        <f t="shared" si="350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f>'Billing Det'!I43</f>
        <v>5218037.5978098996</v>
      </c>
      <c r="G875" s="101">
        <f>'Billing Det'!I8</f>
        <v>4304609.8439723067</v>
      </c>
      <c r="H875" s="101">
        <f>'Billing Det'!I10+'Billing Det'!I12</f>
        <v>746971.4312416797</v>
      </c>
      <c r="I875" s="101">
        <f>'Billing Det'!I14</f>
        <v>74893</v>
      </c>
      <c r="J875" s="101">
        <f>'Billing Det'!I16+'Billing Det'!I18</f>
        <v>57026.216936198616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Det'!I34</f>
        <v>34172.535127711366</v>
      </c>
      <c r="S875" s="101">
        <f>'Billing Det'!I36</f>
        <v>143.13681323138437</v>
      </c>
      <c r="T875" s="101">
        <f>'Billing Det'!I38</f>
        <v>221.43371877082163</v>
      </c>
      <c r="U875" s="101"/>
      <c r="V875" s="101">
        <f t="shared" si="349"/>
        <v>5218037.5978098996</v>
      </c>
      <c r="W875" s="98" t="str">
        <f t="shared" si="350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45269.6745631577</v>
      </c>
      <c r="G876" s="101">
        <v>17734.747042652714</v>
      </c>
      <c r="H876" s="101">
        <v>4982.7197442546312</v>
      </c>
      <c r="I876" s="101">
        <v>575</v>
      </c>
      <c r="J876" s="101">
        <v>332.17541358344454</v>
      </c>
      <c r="L876" s="101">
        <f>5250.78489577823-215</f>
        <v>5035.7848957782298</v>
      </c>
      <c r="M876" s="101">
        <v>383.70535016411685</v>
      </c>
      <c r="N876" s="101">
        <f>3845.58789008492-360</f>
        <v>3485.5878900849202</v>
      </c>
      <c r="O876" s="101">
        <v>8762.5328317857347</v>
      </c>
      <c r="P876" s="101">
        <v>3039.1510445985805</v>
      </c>
      <c r="Q876" s="101">
        <v>930.10980194470687</v>
      </c>
      <c r="R876" s="101">
        <v>5.8326354921474257</v>
      </c>
      <c r="S876" s="101">
        <v>2.2182635951794726E-2</v>
      </c>
      <c r="T876" s="101">
        <v>2.3057301825383152</v>
      </c>
      <c r="U876" s="101"/>
      <c r="V876" s="101">
        <f t="shared" si="349"/>
        <v>45269.674563157714</v>
      </c>
      <c r="W876" s="98" t="str">
        <f t="shared" si="350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f>F876</f>
        <v>45269.6745631577</v>
      </c>
      <c r="G877" s="101">
        <f t="shared" ref="G877:T877" si="351">G876</f>
        <v>17734.747042652714</v>
      </c>
      <c r="H877" s="101">
        <f t="shared" si="351"/>
        <v>4982.7197442546312</v>
      </c>
      <c r="I877" s="101">
        <f t="shared" ref="I877" si="352">I876</f>
        <v>575</v>
      </c>
      <c r="J877" s="101">
        <f t="shared" si="351"/>
        <v>332.17541358344454</v>
      </c>
      <c r="L877" s="101">
        <f t="shared" si="351"/>
        <v>5035.7848957782298</v>
      </c>
      <c r="M877" s="101">
        <f t="shared" si="351"/>
        <v>383.70535016411685</v>
      </c>
      <c r="N877" s="101">
        <f t="shared" ref="N877" si="353">N876</f>
        <v>3485.5878900849202</v>
      </c>
      <c r="O877" s="101">
        <f t="shared" si="351"/>
        <v>8762.5328317857347</v>
      </c>
      <c r="P877" s="101">
        <f t="shared" si="351"/>
        <v>3039.1510445985805</v>
      </c>
      <c r="Q877" s="101">
        <f t="shared" si="351"/>
        <v>930.10980194470687</v>
      </c>
      <c r="R877" s="101">
        <f t="shared" si="351"/>
        <v>5.8326354921474257</v>
      </c>
      <c r="S877" s="101">
        <f t="shared" si="351"/>
        <v>2.2182635951794726E-2</v>
      </c>
      <c r="T877" s="101">
        <f t="shared" si="351"/>
        <v>2.3057301825383152</v>
      </c>
      <c r="U877" s="101"/>
      <c r="V877" s="101">
        <f t="shared" si="349"/>
        <v>45269.674563157714</v>
      </c>
      <c r="W877" s="98" t="str">
        <f t="shared" si="350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f>F876</f>
        <v>45269.6745631577</v>
      </c>
      <c r="G878" s="101">
        <f t="shared" ref="G878:T878" si="354">G876</f>
        <v>17734.747042652714</v>
      </c>
      <c r="H878" s="101">
        <f t="shared" si="354"/>
        <v>4982.7197442546312</v>
      </c>
      <c r="I878" s="101">
        <f t="shared" ref="I878" si="355">I876</f>
        <v>575</v>
      </c>
      <c r="J878" s="101">
        <f t="shared" si="354"/>
        <v>332.17541358344454</v>
      </c>
      <c r="L878" s="101">
        <f t="shared" si="354"/>
        <v>5035.7848957782298</v>
      </c>
      <c r="M878" s="101">
        <f t="shared" si="354"/>
        <v>383.70535016411685</v>
      </c>
      <c r="N878" s="101">
        <f t="shared" ref="N878" si="356">N876</f>
        <v>3485.5878900849202</v>
      </c>
      <c r="O878" s="101">
        <f t="shared" si="354"/>
        <v>8762.5328317857347</v>
      </c>
      <c r="P878" s="101">
        <f t="shared" si="354"/>
        <v>3039.1510445985805</v>
      </c>
      <c r="Q878" s="101">
        <f t="shared" si="354"/>
        <v>930.10980194470687</v>
      </c>
      <c r="R878" s="101">
        <f t="shared" si="354"/>
        <v>5.8326354921474257</v>
      </c>
      <c r="S878" s="101">
        <f t="shared" si="354"/>
        <v>2.2182635951794726E-2</v>
      </c>
      <c r="T878" s="101">
        <f t="shared" si="354"/>
        <v>2.3057301825383152</v>
      </c>
      <c r="U878" s="101"/>
      <c r="V878" s="101">
        <f t="shared" si="349"/>
        <v>45269.674563157714</v>
      </c>
      <c r="W878" s="98" t="str">
        <f>IF(ABS(F878-V878)=0,"ok","err")</f>
        <v>err</v>
      </c>
      <c r="X878" s="243">
        <f>IF(W878="err",V878-F878,"")</f>
        <v>1.4551915228366852E-11</v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45269.6745631577</v>
      </c>
      <c r="G881" s="101">
        <f>G877</f>
        <v>17734.747042652714</v>
      </c>
      <c r="H881" s="101">
        <f t="shared" ref="H881:T881" si="357">H877</f>
        <v>4982.7197442546312</v>
      </c>
      <c r="I881" s="101">
        <f t="shared" ref="I881" si="358">I877</f>
        <v>575</v>
      </c>
      <c r="J881" s="101">
        <f>J877</f>
        <v>332.17541358344454</v>
      </c>
      <c r="K881" s="101"/>
      <c r="L881" s="101">
        <f t="shared" si="357"/>
        <v>5035.7848957782298</v>
      </c>
      <c r="M881" s="101">
        <f t="shared" si="357"/>
        <v>383.70535016411685</v>
      </c>
      <c r="N881" s="101">
        <f t="shared" si="357"/>
        <v>3485.5878900849202</v>
      </c>
      <c r="O881" s="101">
        <f>O877</f>
        <v>8762.5328317857347</v>
      </c>
      <c r="P881" s="101">
        <f>P877</f>
        <v>3039.1510445985805</v>
      </c>
      <c r="Q881" s="101">
        <f t="shared" si="357"/>
        <v>930.10980194470687</v>
      </c>
      <c r="R881" s="101">
        <f t="shared" si="357"/>
        <v>5.8326354921474257</v>
      </c>
      <c r="S881" s="101">
        <f t="shared" si="357"/>
        <v>2.2182635951794726E-2</v>
      </c>
      <c r="T881" s="101">
        <f t="shared" si="357"/>
        <v>2.3057301825383152</v>
      </c>
      <c r="U881" s="101"/>
      <c r="V881" s="101">
        <f>SUM(G881:T881)</f>
        <v>45269.674563157714</v>
      </c>
      <c r="W881" s="98" t="str">
        <f t="shared" ref="W881:W886" si="359">IF(ABS(F881-V881)&lt;0.01,"ok","err")</f>
        <v>ok</v>
      </c>
      <c r="X881" s="102" t="str">
        <f t="shared" ref="X881:X886" si="360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61">F181</f>
        <v>35951279.322969064</v>
      </c>
      <c r="G882" s="102">
        <f t="shared" si="361"/>
        <v>14084193.244267352</v>
      </c>
      <c r="H882" s="102">
        <f t="shared" si="361"/>
        <v>3957067.3092392557</v>
      </c>
      <c r="I882" s="102">
        <f t="shared" ref="I882" si="362">I181</f>
        <v>456640.91492124205</v>
      </c>
      <c r="J882" s="102">
        <f t="shared" si="361"/>
        <v>263799.79960536712</v>
      </c>
      <c r="K882" s="102"/>
      <c r="L882" s="102">
        <f t="shared" si="361"/>
        <v>3999209.4298343351</v>
      </c>
      <c r="M882" s="102">
        <f t="shared" si="361"/>
        <v>304722.71679846587</v>
      </c>
      <c r="N882" s="102">
        <f t="shared" si="361"/>
        <v>2768107.9011596171</v>
      </c>
      <c r="O882" s="102">
        <f t="shared" si="361"/>
        <v>6958836.5379722789</v>
      </c>
      <c r="P882" s="102">
        <f t="shared" si="361"/>
        <v>2413566.4584162515</v>
      </c>
      <c r="Q882" s="102">
        <f t="shared" si="361"/>
        <v>738654.24510825437</v>
      </c>
      <c r="R882" s="102">
        <f t="shared" si="361"/>
        <v>4632.0347957153208</v>
      </c>
      <c r="S882" s="102">
        <f t="shared" si="361"/>
        <v>17.616520306769356</v>
      </c>
      <c r="T882" s="102">
        <f t="shared" si="361"/>
        <v>1831.1143306362064</v>
      </c>
      <c r="U882" s="102"/>
      <c r="V882" s="102">
        <f>F882</f>
        <v>35951279.322969064</v>
      </c>
      <c r="W882" s="98" t="str">
        <f t="shared" si="359"/>
        <v>ok</v>
      </c>
      <c r="X882" s="102" t="str">
        <f t="shared" si="360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9"/>
        <v>ok</v>
      </c>
      <c r="X883" s="102" t="str">
        <f t="shared" si="360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63">IF(VLOOKUP($E884,$D$5:$AJ$946,3,)=0,0,(VLOOKUP($E884,$D$5:$AJ$946,G$1,)/VLOOKUP($E884,$D$5:$AJ$946,3,))*$F884)</f>
        <v>14084193.244267352</v>
      </c>
      <c r="H884" s="100">
        <f t="shared" si="363"/>
        <v>3957067.3092392557</v>
      </c>
      <c r="I884" s="100">
        <f t="shared" si="363"/>
        <v>456640.91492124205</v>
      </c>
      <c r="J884" s="100">
        <f t="shared" si="363"/>
        <v>263799.79960536712</v>
      </c>
      <c r="K884" s="100"/>
      <c r="L884" s="100">
        <f t="shared" si="363"/>
        <v>3999209.4298343351</v>
      </c>
      <c r="M884" s="100">
        <f t="shared" si="363"/>
        <v>304722.71679846587</v>
      </c>
      <c r="N884" s="100">
        <f t="shared" si="363"/>
        <v>2768107.9011596171</v>
      </c>
      <c r="O884" s="100">
        <f t="shared" si="363"/>
        <v>6958836.5379722789</v>
      </c>
      <c r="P884" s="100">
        <f t="shared" si="363"/>
        <v>2413566.4584162515</v>
      </c>
      <c r="Q884" s="100">
        <f t="shared" si="363"/>
        <v>738654.24510825437</v>
      </c>
      <c r="R884" s="100">
        <f t="shared" si="363"/>
        <v>4632.0347957153208</v>
      </c>
      <c r="S884" s="100">
        <f t="shared" si="363"/>
        <v>17.616520306769356</v>
      </c>
      <c r="T884" s="100">
        <f t="shared" si="363"/>
        <v>1831.1143306362064</v>
      </c>
      <c r="U884" s="100"/>
      <c r="V884" s="102">
        <f>SUM(G884:T884)</f>
        <v>35951279.322969079</v>
      </c>
      <c r="W884" s="98" t="str">
        <f t="shared" si="359"/>
        <v>ok</v>
      </c>
      <c r="X884" s="102" t="str">
        <f t="shared" si="360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64">F883+F884</f>
        <v>35951279.322969064</v>
      </c>
      <c r="G885" s="102">
        <f t="shared" si="364"/>
        <v>14084193.244267352</v>
      </c>
      <c r="H885" s="102">
        <f t="shared" si="364"/>
        <v>3957067.3092392557</v>
      </c>
      <c r="I885" s="102">
        <f>I883+I884</f>
        <v>456640.91492124205</v>
      </c>
      <c r="J885" s="102">
        <f>J883+J884</f>
        <v>263799.79960536712</v>
      </c>
      <c r="K885" s="102"/>
      <c r="L885" s="102">
        <f t="shared" si="364"/>
        <v>3999209.4298343351</v>
      </c>
      <c r="M885" s="102">
        <f t="shared" si="364"/>
        <v>304722.71679846587</v>
      </c>
      <c r="N885" s="102">
        <f t="shared" si="364"/>
        <v>2768107.9011596171</v>
      </c>
      <c r="O885" s="102">
        <f t="shared" si="364"/>
        <v>6958836.5379722789</v>
      </c>
      <c r="P885" s="102">
        <f>P883+P884</f>
        <v>2413566.4584162515</v>
      </c>
      <c r="Q885" s="102">
        <f t="shared" si="364"/>
        <v>738654.24510825437</v>
      </c>
      <c r="R885" s="102">
        <f t="shared" si="364"/>
        <v>4632.0347957153208</v>
      </c>
      <c r="S885" s="102">
        <f t="shared" si="364"/>
        <v>17.616520306769356</v>
      </c>
      <c r="T885" s="102">
        <f t="shared" si="364"/>
        <v>1831.1143306362064</v>
      </c>
      <c r="U885" s="102"/>
      <c r="V885" s="102">
        <f>SUM(G885:T885)</f>
        <v>35951279.322969079</v>
      </c>
      <c r="W885" s="98" t="str">
        <f t="shared" si="359"/>
        <v>ok</v>
      </c>
      <c r="X885" s="102" t="str">
        <f t="shared" si="360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65">IF(VLOOKUP($E886,$D$5:$AJ$946,3,)=0,0,(VLOOKUP($E886,$D$5:$AJ$946,G$1,)/VLOOKUP($E886,$D$5:$AJ$946,3,))*$F886)</f>
        <v>0.39175777634341491</v>
      </c>
      <c r="H886" s="117">
        <f t="shared" si="365"/>
        <v>0.11006749644959389</v>
      </c>
      <c r="I886" s="117">
        <f t="shared" si="365"/>
        <v>1.2701659677225918E-2</v>
      </c>
      <c r="J886" s="117">
        <f t="shared" si="365"/>
        <v>7.3377027069194438E-3</v>
      </c>
      <c r="K886" s="117"/>
      <c r="L886" s="117">
        <f t="shared" si="365"/>
        <v>0.11123969731111247</v>
      </c>
      <c r="M886" s="117">
        <f t="shared" si="365"/>
        <v>8.4759909115050686E-3</v>
      </c>
      <c r="N886" s="117">
        <f t="shared" si="365"/>
        <v>7.6996088965075829E-2</v>
      </c>
      <c r="O886" s="117">
        <f t="shared" si="365"/>
        <v>0.19356297380845411</v>
      </c>
      <c r="P886" s="117">
        <f t="shared" si="365"/>
        <v>6.7134369175959691E-2</v>
      </c>
      <c r="Q886" s="117">
        <f t="shared" si="365"/>
        <v>2.0545979420441163E-2</v>
      </c>
      <c r="R886" s="117">
        <f t="shared" si="365"/>
        <v>1.2884200181315775E-4</v>
      </c>
      <c r="S886" s="117">
        <f t="shared" si="365"/>
        <v>4.9001094365824874E-7</v>
      </c>
      <c r="T886" s="117">
        <f t="shared" si="365"/>
        <v>5.0933217541060302E-5</v>
      </c>
      <c r="U886" s="117"/>
      <c r="V886" s="117">
        <f>SUM(G886:T886)</f>
        <v>1.0000000000000004</v>
      </c>
      <c r="W886" s="98" t="str">
        <f t="shared" si="359"/>
        <v>ok</v>
      </c>
      <c r="X886" s="102" t="str">
        <f t="shared" si="360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45269.6745631577</v>
      </c>
      <c r="G888" s="101">
        <f t="shared" ref="G888:T888" si="366">G876</f>
        <v>17734.747042652714</v>
      </c>
      <c r="H888" s="101">
        <f t="shared" si="366"/>
        <v>4982.7197442546312</v>
      </c>
      <c r="I888" s="101">
        <f t="shared" ref="I888" si="367">I876</f>
        <v>575</v>
      </c>
      <c r="J888" s="101">
        <f>J876</f>
        <v>332.17541358344454</v>
      </c>
      <c r="K888" s="101"/>
      <c r="L888" s="101">
        <f t="shared" si="366"/>
        <v>5035.7848957782298</v>
      </c>
      <c r="M888" s="101">
        <f t="shared" si="366"/>
        <v>383.70535016411685</v>
      </c>
      <c r="N888" s="101">
        <f t="shared" si="366"/>
        <v>3485.5878900849202</v>
      </c>
      <c r="O888" s="101">
        <f>O876</f>
        <v>8762.5328317857347</v>
      </c>
      <c r="P888" s="101">
        <f>P876</f>
        <v>3039.1510445985805</v>
      </c>
      <c r="Q888" s="101">
        <f t="shared" si="366"/>
        <v>930.10980194470687</v>
      </c>
      <c r="R888" s="101">
        <f t="shared" si="366"/>
        <v>5.8326354921474257</v>
      </c>
      <c r="S888" s="101">
        <f t="shared" si="366"/>
        <v>2.2182635951794726E-2</v>
      </c>
      <c r="T888" s="101">
        <f t="shared" si="366"/>
        <v>2.3057301825383152</v>
      </c>
      <c r="U888" s="101"/>
      <c r="V888" s="101">
        <f>SUM(G888:T888)</f>
        <v>45269.674563157714</v>
      </c>
      <c r="W888" s="98" t="str">
        <f t="shared" ref="W888:W900" si="368">IF(ABS(F888-V888)&lt;0.01,"ok","err")</f>
        <v>ok</v>
      </c>
      <c r="X888" s="102" t="str">
        <f t="shared" ref="X888:X893" si="369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70">F182</f>
        <v>35933655.745627098</v>
      </c>
      <c r="G889" s="102">
        <f t="shared" si="370"/>
        <v>14077289.070796646</v>
      </c>
      <c r="H889" s="102">
        <f t="shared" si="370"/>
        <v>3955127.5262027397</v>
      </c>
      <c r="I889" s="102">
        <f t="shared" ref="I889" si="371">I182</f>
        <v>456417.06623954914</v>
      </c>
      <c r="J889" s="102">
        <f t="shared" si="370"/>
        <v>263670.48303419939</v>
      </c>
      <c r="K889" s="102"/>
      <c r="L889" s="102">
        <f t="shared" si="370"/>
        <v>3997248.9884252758</v>
      </c>
      <c r="M889" s="102">
        <f t="shared" si="370"/>
        <v>304573.33951708715</v>
      </c>
      <c r="N889" s="102">
        <f t="shared" si="370"/>
        <v>2766750.954630712</v>
      </c>
      <c r="O889" s="102">
        <f t="shared" si="370"/>
        <v>6955425.2659328245</v>
      </c>
      <c r="P889" s="102">
        <f t="shared" si="370"/>
        <v>2412383.3106687749</v>
      </c>
      <c r="Q889" s="102">
        <f t="shared" si="370"/>
        <v>738292.15145087172</v>
      </c>
      <c r="R889" s="102">
        <f t="shared" si="370"/>
        <v>4629.7641387314725</v>
      </c>
      <c r="S889" s="102">
        <f t="shared" si="370"/>
        <v>17.607884561005385</v>
      </c>
      <c r="T889" s="102">
        <f t="shared" si="370"/>
        <v>1830.2167051375964</v>
      </c>
      <c r="V889" s="102">
        <f>F889</f>
        <v>35933655.745627098</v>
      </c>
      <c r="W889" s="98" t="str">
        <f t="shared" si="368"/>
        <v>ok</v>
      </c>
      <c r="X889" s="102" t="str">
        <f t="shared" si="369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8"/>
        <v>ok</v>
      </c>
      <c r="X890" s="102" t="str">
        <f t="shared" si="369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72">IF(VLOOKUP($E891,$D$5:$AJ$946,3,)=0,0,(VLOOKUP($E891,$D$5:$AJ$946,G$1,)/VLOOKUP($E891,$D$5:$AJ$946,3,))*$F891)</f>
        <v>14077289.070796646</v>
      </c>
      <c r="H891" s="101">
        <f t="shared" si="372"/>
        <v>3955127.5262027397</v>
      </c>
      <c r="I891" s="101">
        <f t="shared" si="372"/>
        <v>456417.06623954914</v>
      </c>
      <c r="J891" s="101">
        <f t="shared" si="372"/>
        <v>263670.48303419939</v>
      </c>
      <c r="K891" s="101"/>
      <c r="L891" s="101">
        <f t="shared" si="372"/>
        <v>3997248.9884252758</v>
      </c>
      <c r="M891" s="101">
        <f t="shared" si="372"/>
        <v>304573.33951708715</v>
      </c>
      <c r="N891" s="101">
        <f t="shared" si="372"/>
        <v>2766750.954630712</v>
      </c>
      <c r="O891" s="101">
        <f t="shared" si="372"/>
        <v>6955425.2659328245</v>
      </c>
      <c r="P891" s="101">
        <f t="shared" si="372"/>
        <v>2412383.3106687749</v>
      </c>
      <c r="Q891" s="101">
        <f t="shared" si="372"/>
        <v>738292.15145087172</v>
      </c>
      <c r="R891" s="101">
        <f t="shared" si="372"/>
        <v>4629.7641387314725</v>
      </c>
      <c r="S891" s="101">
        <f t="shared" si="372"/>
        <v>17.607884561005385</v>
      </c>
      <c r="T891" s="101">
        <f t="shared" si="372"/>
        <v>1830.2167051375964</v>
      </c>
      <c r="U891" s="100"/>
      <c r="V891" s="102">
        <f>SUM(G891:T891)</f>
        <v>35933655.745627113</v>
      </c>
      <c r="W891" s="98" t="str">
        <f t="shared" si="368"/>
        <v>ok</v>
      </c>
      <c r="X891" s="102" t="str">
        <f t="shared" si="369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73">F890+F891</f>
        <v>35933655.745627098</v>
      </c>
      <c r="G892" s="102">
        <f t="shared" si="373"/>
        <v>14077289.070796646</v>
      </c>
      <c r="H892" s="102">
        <f t="shared" si="373"/>
        <v>3955127.5262027397</v>
      </c>
      <c r="I892" s="102">
        <f>I890+I891</f>
        <v>456417.06623954914</v>
      </c>
      <c r="J892" s="102">
        <f>J890+J891</f>
        <v>263670.48303419939</v>
      </c>
      <c r="K892" s="102"/>
      <c r="L892" s="102">
        <f t="shared" si="373"/>
        <v>3997248.9884252758</v>
      </c>
      <c r="M892" s="102">
        <f t="shared" si="373"/>
        <v>304573.33951708715</v>
      </c>
      <c r="N892" s="102">
        <f t="shared" si="373"/>
        <v>2766750.954630712</v>
      </c>
      <c r="O892" s="102">
        <f t="shared" si="373"/>
        <v>6955425.2659328245</v>
      </c>
      <c r="P892" s="102">
        <f>P890+P891</f>
        <v>2412383.3106687749</v>
      </c>
      <c r="Q892" s="102">
        <f t="shared" si="373"/>
        <v>738292.15145087172</v>
      </c>
      <c r="R892" s="102">
        <f t="shared" si="373"/>
        <v>4629.7641387314725</v>
      </c>
      <c r="S892" s="102">
        <f t="shared" si="373"/>
        <v>17.607884561005385</v>
      </c>
      <c r="T892" s="102">
        <f t="shared" si="373"/>
        <v>1830.2167051375964</v>
      </c>
      <c r="U892" s="102"/>
      <c r="V892" s="102">
        <f>SUM(G892:T892)</f>
        <v>35933655.745627113</v>
      </c>
      <c r="W892" s="98" t="str">
        <f t="shared" si="368"/>
        <v>ok</v>
      </c>
      <c r="X892" s="102" t="str">
        <f t="shared" si="369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74">IF(VLOOKUP($E893,$D$5:$AJ$946,3,)=0,0,(VLOOKUP($E893,$D$5:$AJ$946,G$1,)/VLOOKUP($E893,$D$5:$AJ$946,3,))*$F893)</f>
        <v>0.39175777634341491</v>
      </c>
      <c r="H893" s="117">
        <f t="shared" si="374"/>
        <v>0.11006749644959389</v>
      </c>
      <c r="I893" s="117">
        <f t="shared" si="374"/>
        <v>1.2701659677225918E-2</v>
      </c>
      <c r="J893" s="117">
        <f t="shared" si="374"/>
        <v>7.3377027069194446E-3</v>
      </c>
      <c r="K893" s="117"/>
      <c r="L893" s="117">
        <f t="shared" si="374"/>
        <v>0.11123969731111247</v>
      </c>
      <c r="M893" s="117">
        <f t="shared" si="374"/>
        <v>8.4759909115050686E-3</v>
      </c>
      <c r="N893" s="117">
        <f t="shared" si="374"/>
        <v>7.6996088965075829E-2</v>
      </c>
      <c r="O893" s="117">
        <f t="shared" si="374"/>
        <v>0.19356297380845411</v>
      </c>
      <c r="P893" s="117">
        <f t="shared" si="374"/>
        <v>6.7134369175959691E-2</v>
      </c>
      <c r="Q893" s="117">
        <f t="shared" si="374"/>
        <v>2.0545979420441163E-2</v>
      </c>
      <c r="R893" s="117">
        <f t="shared" si="374"/>
        <v>1.2884200181315775E-4</v>
      </c>
      <c r="S893" s="117">
        <f t="shared" si="374"/>
        <v>4.9001094365824874E-7</v>
      </c>
      <c r="T893" s="117">
        <f t="shared" si="374"/>
        <v>5.0933217541060302E-5</v>
      </c>
      <c r="U893" s="117"/>
      <c r="V893" s="117">
        <f>SUM(G893:T893)</f>
        <v>1.0000000000000004</v>
      </c>
      <c r="W893" s="98" t="str">
        <f t="shared" si="368"/>
        <v>ok</v>
      </c>
      <c r="X893" s="102" t="str">
        <f t="shared" si="369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45269.6745631577</v>
      </c>
      <c r="G895" s="101">
        <f t="shared" ref="G895:T895" si="375">G878</f>
        <v>17734.747042652714</v>
      </c>
      <c r="H895" s="101">
        <f t="shared" si="375"/>
        <v>4982.7197442546312</v>
      </c>
      <c r="I895" s="101">
        <f t="shared" si="375"/>
        <v>575</v>
      </c>
      <c r="J895" s="101">
        <f t="shared" si="375"/>
        <v>332.17541358344454</v>
      </c>
      <c r="K895" s="101"/>
      <c r="L895" s="101">
        <f t="shared" si="375"/>
        <v>5035.7848957782298</v>
      </c>
      <c r="M895" s="101">
        <f t="shared" si="375"/>
        <v>383.70535016411685</v>
      </c>
      <c r="N895" s="101">
        <f t="shared" si="375"/>
        <v>3485.5878900849202</v>
      </c>
      <c r="O895" s="101">
        <f t="shared" si="375"/>
        <v>8762.5328317857347</v>
      </c>
      <c r="P895" s="101">
        <f t="shared" si="375"/>
        <v>3039.1510445985805</v>
      </c>
      <c r="Q895" s="101">
        <f t="shared" si="375"/>
        <v>930.10980194470687</v>
      </c>
      <c r="R895" s="101">
        <f t="shared" si="375"/>
        <v>5.8326354921474257</v>
      </c>
      <c r="S895" s="101">
        <f t="shared" si="375"/>
        <v>2.2182635951794726E-2</v>
      </c>
      <c r="T895" s="101">
        <f t="shared" si="375"/>
        <v>2.3057301825383152</v>
      </c>
      <c r="U895" s="101">
        <f>U876</f>
        <v>0</v>
      </c>
      <c r="V895" s="101">
        <f>V878</f>
        <v>45269.674563157714</v>
      </c>
      <c r="W895" s="98" t="str">
        <f t="shared" si="368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8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8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76">IF(VLOOKUP($E898,$D$5:$AJ$946,3,)=0,0,(VLOOKUP($E898,$D$5:$AJ$946,G$1,)/VLOOKUP($E898,$D$5:$AJ$946,3,))*$F898)</f>
        <v>14739984.338414332</v>
      </c>
      <c r="H898" s="101">
        <f t="shared" si="376"/>
        <v>4141317.0887852372</v>
      </c>
      <c r="I898" s="101">
        <f t="shared" si="376"/>
        <v>477903.12284716417</v>
      </c>
      <c r="J898" s="101">
        <f t="shared" si="376"/>
        <v>276082.89997317648</v>
      </c>
      <c r="K898" s="101"/>
      <c r="L898" s="101">
        <f t="shared" si="376"/>
        <v>4185421.4394417345</v>
      </c>
      <c r="M898" s="101">
        <f t="shared" si="376"/>
        <v>318911.27842886274</v>
      </c>
      <c r="N898" s="101">
        <f t="shared" si="376"/>
        <v>2896997.1089214636</v>
      </c>
      <c r="O898" s="101">
        <f t="shared" si="376"/>
        <v>7282855.3119325349</v>
      </c>
      <c r="P898" s="101">
        <f t="shared" si="376"/>
        <v>2525947.4348137095</v>
      </c>
      <c r="Q898" s="101">
        <f t="shared" si="376"/>
        <v>773047.61554805702</v>
      </c>
      <c r="R898" s="101">
        <f t="shared" si="376"/>
        <v>4847.7125497851493</v>
      </c>
      <c r="S898" s="101">
        <f t="shared" si="376"/>
        <v>18.436784337990389</v>
      </c>
      <c r="T898" s="101">
        <f t="shared" si="376"/>
        <v>1916.3750516139523</v>
      </c>
      <c r="U898" s="100"/>
      <c r="V898" s="102">
        <f>SUM(G898:T898)</f>
        <v>37625250.163492009</v>
      </c>
      <c r="W898" s="98" t="str">
        <f t="shared" si="368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77">F897+F898</f>
        <v>37625250.163491994</v>
      </c>
      <c r="G899" s="102">
        <f t="shared" si="377"/>
        <v>14739984.338414332</v>
      </c>
      <c r="H899" s="102">
        <f t="shared" si="377"/>
        <v>4141317.0887852372</v>
      </c>
      <c r="I899" s="102">
        <f>I897+I898</f>
        <v>477903.12284716417</v>
      </c>
      <c r="J899" s="102">
        <f t="shared" si="377"/>
        <v>276082.89997317648</v>
      </c>
      <c r="K899" s="102"/>
      <c r="L899" s="102">
        <f t="shared" si="377"/>
        <v>4185421.4394417345</v>
      </c>
      <c r="M899" s="102">
        <f t="shared" si="377"/>
        <v>318911.27842886274</v>
      </c>
      <c r="N899" s="102">
        <f t="shared" si="377"/>
        <v>2896997.1089214636</v>
      </c>
      <c r="O899" s="102">
        <f t="shared" si="377"/>
        <v>7282855.3119325349</v>
      </c>
      <c r="P899" s="102">
        <f t="shared" si="377"/>
        <v>2525947.4348137095</v>
      </c>
      <c r="Q899" s="102">
        <f>Q897+Q898</f>
        <v>773047.61554805702</v>
      </c>
      <c r="R899" s="102">
        <f t="shared" si="377"/>
        <v>4847.7125497851493</v>
      </c>
      <c r="S899" s="102">
        <f t="shared" si="377"/>
        <v>18.436784337990389</v>
      </c>
      <c r="T899" s="102">
        <f t="shared" si="377"/>
        <v>1916.3750516139523</v>
      </c>
      <c r="U899" s="102"/>
      <c r="V899" s="102">
        <f>SUM(G899:T899)</f>
        <v>37625250.163492009</v>
      </c>
      <c r="W899" s="98" t="str">
        <f t="shared" si="368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8">IF(VLOOKUP($E900,$D$5:$AJ$946,3,)=0,0,(VLOOKUP($E900,$D$5:$AJ$946,G$1,)/VLOOKUP($E900,$D$5:$AJ$946,3,))*$F900)</f>
        <v>0.39175777634341491</v>
      </c>
      <c r="H900" s="117">
        <f t="shared" si="378"/>
        <v>0.11006749644959389</v>
      </c>
      <c r="I900" s="117">
        <f t="shared" si="378"/>
        <v>1.2701659677225918E-2</v>
      </c>
      <c r="J900" s="117">
        <f t="shared" si="378"/>
        <v>7.3377027069194446E-3</v>
      </c>
      <c r="K900" s="117"/>
      <c r="L900" s="117">
        <f t="shared" si="378"/>
        <v>0.11123969731111247</v>
      </c>
      <c r="M900" s="117">
        <f t="shared" si="378"/>
        <v>8.4759909115050686E-3</v>
      </c>
      <c r="N900" s="117">
        <f t="shared" si="378"/>
        <v>7.6996088965075829E-2</v>
      </c>
      <c r="O900" s="117">
        <f t="shared" si="378"/>
        <v>0.19356297380845411</v>
      </c>
      <c r="P900" s="117">
        <f t="shared" si="378"/>
        <v>6.7134369175959691E-2</v>
      </c>
      <c r="Q900" s="117">
        <f t="shared" si="378"/>
        <v>2.0545979420441163E-2</v>
      </c>
      <c r="R900" s="117">
        <f t="shared" si="378"/>
        <v>1.2884200181315775E-4</v>
      </c>
      <c r="S900" s="117">
        <f t="shared" si="378"/>
        <v>4.9001094365824874E-7</v>
      </c>
      <c r="T900" s="117">
        <f t="shared" si="378"/>
        <v>5.0933217541060302E-5</v>
      </c>
      <c r="U900" s="117"/>
      <c r="V900" s="117">
        <f>SUM(G900:T900)</f>
        <v>1.0000000000000004</v>
      </c>
      <c r="W900" s="98" t="str">
        <f t="shared" si="368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1831031</v>
      </c>
      <c r="J903" s="101">
        <f>895056+1730605</f>
        <v>2625661</v>
      </c>
      <c r="K903" s="101"/>
      <c r="L903" s="101">
        <f>3221732+15733089-1017877</f>
        <v>17936944</v>
      </c>
      <c r="M903" s="101">
        <f>278001+1255783</f>
        <v>1533784</v>
      </c>
      <c r="N903" s="101">
        <f>8764109+3108014-813154</f>
        <v>11058969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9">SUM(G903:T903)</f>
        <v>183699328</v>
      </c>
      <c r="W903" s="268" t="str">
        <f t="shared" ref="W903:W912" si="380">IF(ABS(F903-V903)&lt;0.01,"ok","err")</f>
        <v>ok</v>
      </c>
      <c r="X903" s="102" t="str">
        <f t="shared" ref="X903:X912" si="381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82">F717+F718+F720</f>
        <v>0</v>
      </c>
      <c r="G904" s="101">
        <f t="shared" si="382"/>
        <v>0</v>
      </c>
      <c r="H904" s="101">
        <f t="shared" si="382"/>
        <v>0</v>
      </c>
      <c r="I904" s="101">
        <f t="shared" si="382"/>
        <v>0</v>
      </c>
      <c r="J904" s="101">
        <f t="shared" si="382"/>
        <v>0</v>
      </c>
      <c r="K904" s="101"/>
      <c r="L904" s="101">
        <f t="shared" si="382"/>
        <v>0</v>
      </c>
      <c r="M904" s="101">
        <f t="shared" si="382"/>
        <v>0</v>
      </c>
      <c r="N904" s="101">
        <f t="shared" si="382"/>
        <v>0</v>
      </c>
      <c r="O904" s="101">
        <f t="shared" si="382"/>
        <v>0</v>
      </c>
      <c r="P904" s="101">
        <f t="shared" si="382"/>
        <v>0</v>
      </c>
      <c r="Q904" s="101">
        <f t="shared" si="382"/>
        <v>0</v>
      </c>
      <c r="R904" s="101">
        <f t="shared" si="382"/>
        <v>0</v>
      </c>
      <c r="S904" s="101">
        <f t="shared" si="382"/>
        <v>0</v>
      </c>
      <c r="T904" s="101">
        <f t="shared" si="382"/>
        <v>0</v>
      </c>
      <c r="U904" s="101">
        <v>0</v>
      </c>
      <c r="V904" s="101">
        <f t="shared" si="379"/>
        <v>0</v>
      </c>
      <c r="W904" s="268" t="str">
        <f t="shared" si="380"/>
        <v>ok</v>
      </c>
      <c r="X904" s="102" t="str">
        <f t="shared" si="381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83">F9+F10</f>
        <v>2787666237.791626</v>
      </c>
      <c r="G905" s="101">
        <f t="shared" si="383"/>
        <v>1092089926.5048606</v>
      </c>
      <c r="H905" s="101">
        <f t="shared" si="383"/>
        <v>306831443.73078251</v>
      </c>
      <c r="I905" s="101">
        <f t="shared" si="383"/>
        <v>35407987.846121967</v>
      </c>
      <c r="J905" s="101">
        <f t="shared" si="383"/>
        <v>20455066.099031556</v>
      </c>
      <c r="K905" s="101"/>
      <c r="L905" s="101">
        <f t="shared" si="383"/>
        <v>310099148.49634814</v>
      </c>
      <c r="M905" s="101">
        <f t="shared" si="383"/>
        <v>23628233.695831347</v>
      </c>
      <c r="N905" s="101">
        <f t="shared" si="383"/>
        <v>214639397.64994225</v>
      </c>
      <c r="O905" s="101">
        <f t="shared" si="383"/>
        <v>539588966.97237229</v>
      </c>
      <c r="P905" s="101">
        <f t="shared" si="383"/>
        <v>187148214.34726164</v>
      </c>
      <c r="Q905" s="101">
        <f t="shared" si="383"/>
        <v>57275333.152725384</v>
      </c>
      <c r="R905" s="101">
        <f t="shared" si="383"/>
        <v>359168.4984640273</v>
      </c>
      <c r="S905" s="101">
        <f t="shared" si="383"/>
        <v>1365.9869637845145</v>
      </c>
      <c r="T905" s="101">
        <f t="shared" si="383"/>
        <v>141984.81092131001</v>
      </c>
      <c r="U905" s="101"/>
      <c r="V905" s="101">
        <f t="shared" si="379"/>
        <v>2787666237.7916265</v>
      </c>
      <c r="W905" s="268" t="str">
        <f t="shared" si="380"/>
        <v>ok</v>
      </c>
      <c r="X905" s="102" t="str">
        <f t="shared" si="381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9"/>
        <v>0</v>
      </c>
      <c r="W906" s="268" t="str">
        <f t="shared" si="380"/>
        <v>ok</v>
      </c>
      <c r="X906" s="102" t="str">
        <f t="shared" si="381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9"/>
        <v>0</v>
      </c>
      <c r="W907" s="268" t="str">
        <f t="shared" si="380"/>
        <v>ok</v>
      </c>
      <c r="X907" s="102" t="str">
        <f t="shared" si="381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Det'!D40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f>'Billing Det'!D14</f>
        <v>18157524</v>
      </c>
      <c r="J908" s="101">
        <f>'Billing Det'!D16+'Billing Det'!D18</f>
        <v>12037991</v>
      </c>
      <c r="K908" s="101">
        <v>0</v>
      </c>
      <c r="L908" s="101">
        <f>'Billing Det'!D20</f>
        <v>167699907</v>
      </c>
      <c r="M908" s="101">
        <f>'Billing Det'!D22</f>
        <v>13950651</v>
      </c>
      <c r="N908" s="101">
        <f>'Billing Det'!D24</f>
        <v>105481955</v>
      </c>
      <c r="O908" s="101">
        <f>'Billing Det'!D26</f>
        <v>251561897</v>
      </c>
      <c r="P908" s="101">
        <f>'Billing Det'!D30</f>
        <v>86711460</v>
      </c>
      <c r="Q908" s="101">
        <f>'Billing Det'!D32</f>
        <v>29892107</v>
      </c>
      <c r="R908" s="101">
        <f>'Billing Det'!D34</f>
        <v>26032396</v>
      </c>
      <c r="S908" s="101">
        <f>'Billing Det'!D36</f>
        <v>29470</v>
      </c>
      <c r="T908" s="101">
        <f>'Billing Det'!D38</f>
        <v>156512</v>
      </c>
      <c r="U908" s="117"/>
      <c r="V908" s="101">
        <f t="shared" si="379"/>
        <v>1464489053</v>
      </c>
      <c r="W908" s="268" t="str">
        <f t="shared" si="380"/>
        <v>ok</v>
      </c>
      <c r="X908" s="102" t="str">
        <f t="shared" si="381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80"/>
        <v>ok</v>
      </c>
      <c r="X909" s="243" t="str">
        <f t="shared" si="381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1412.2633895818049</v>
      </c>
      <c r="M910" s="101">
        <f>(M860/($L$860+$M$860))*1468</f>
        <v>55.736610418195156</v>
      </c>
      <c r="N910" s="101">
        <f>(N860/($N$860+$O$860+$P$860))*1555</f>
        <v>978.51678258240099</v>
      </c>
      <c r="O910" s="101">
        <f>(O860/($N$860+$O$860+$P$860))*1555</f>
        <v>520.0574538856971</v>
      </c>
      <c r="P910" s="101">
        <f>(P860/($N$860+$O$860+$P$860))*1555</f>
        <v>56.425763531902028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80"/>
        <v>ok</v>
      </c>
      <c r="X911" s="102" t="str">
        <f t="shared" si="381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80"/>
        <v>ok</v>
      </c>
      <c r="X912" s="102" t="str">
        <f t="shared" si="381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84">F231-F183</f>
        <v>293386691.80935371</v>
      </c>
      <c r="G914" s="106">
        <f t="shared" si="384"/>
        <v>154616721.08242032</v>
      </c>
      <c r="H914" s="106">
        <f t="shared" si="384"/>
        <v>44305954.56087888</v>
      </c>
      <c r="I914" s="106">
        <f t="shared" si="384"/>
        <v>2844880.4777629077</v>
      </c>
      <c r="J914" s="106">
        <f t="shared" si="384"/>
        <v>2285486.0227102442</v>
      </c>
      <c r="K914" s="106">
        <f t="shared" si="384"/>
        <v>0</v>
      </c>
      <c r="L914" s="106">
        <f t="shared" si="384"/>
        <v>21841020.926262438</v>
      </c>
      <c r="M914" s="106">
        <f t="shared" si="384"/>
        <v>1777099.7983562406</v>
      </c>
      <c r="N914" s="106">
        <f t="shared" si="384"/>
        <v>13941171.141546622</v>
      </c>
      <c r="O914" s="106">
        <f t="shared" si="384"/>
        <v>33172885.19456175</v>
      </c>
      <c r="P914" s="106">
        <f t="shared" si="384"/>
        <v>10541664.631495275</v>
      </c>
      <c r="Q914" s="106">
        <f t="shared" si="384"/>
        <v>3854239.2491086237</v>
      </c>
      <c r="R914" s="106">
        <f t="shared" si="384"/>
        <v>4160740.0873208456</v>
      </c>
      <c r="S914" s="106">
        <f t="shared" si="384"/>
        <v>2644.5327230036128</v>
      </c>
      <c r="T914" s="106">
        <f t="shared" si="384"/>
        <v>42184.104206676391</v>
      </c>
      <c r="U914" s="106"/>
      <c r="V914" s="101">
        <f>SUM(G914:T914)</f>
        <v>293386691.80935383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85">IF(VLOOKUP($E918,$D$5:$AJ$960,3,)=0,0,(VLOOKUP($E918,$D$5:$AJ$960,G$1,)/VLOOKUP($E918,$D$5:$AJ$960,3,))*$F918)</f>
        <v>0</v>
      </c>
      <c r="H918" s="100">
        <f t="shared" si="385"/>
        <v>0</v>
      </c>
      <c r="I918" s="100">
        <f t="shared" si="385"/>
        <v>0</v>
      </c>
      <c r="J918" s="100">
        <f t="shared" si="385"/>
        <v>0</v>
      </c>
      <c r="K918" s="100">
        <f t="shared" si="385"/>
        <v>0</v>
      </c>
      <c r="L918" s="100">
        <f t="shared" si="385"/>
        <v>0</v>
      </c>
      <c r="M918" s="100">
        <f t="shared" si="385"/>
        <v>0</v>
      </c>
      <c r="N918" s="100">
        <f t="shared" si="385"/>
        <v>0</v>
      </c>
      <c r="O918" s="100">
        <f t="shared" si="385"/>
        <v>0</v>
      </c>
      <c r="P918" s="100">
        <f t="shared" si="385"/>
        <v>0</v>
      </c>
      <c r="Q918" s="100">
        <f t="shared" si="385"/>
        <v>0</v>
      </c>
      <c r="R918" s="100">
        <f t="shared" si="385"/>
        <v>0</v>
      </c>
      <c r="S918" s="100">
        <f t="shared" si="385"/>
        <v>0</v>
      </c>
      <c r="T918" s="100">
        <f t="shared" si="385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86">IF(VLOOKUP($E921,$D$5:$AJ$960,3,)=0,0,(VLOOKUP($E921,$D$5:$AJ$960,G$1,)/VLOOKUP($E921,$D$5:$AJ$960,3,))*$F921)</f>
        <v>0</v>
      </c>
      <c r="H921" s="100">
        <f t="shared" si="386"/>
        <v>0</v>
      </c>
      <c r="I921" s="100">
        <f t="shared" si="386"/>
        <v>0</v>
      </c>
      <c r="J921" s="100">
        <f t="shared" si="386"/>
        <v>0</v>
      </c>
      <c r="K921" s="100">
        <f t="shared" si="386"/>
        <v>0</v>
      </c>
      <c r="L921" s="100">
        <f t="shared" si="386"/>
        <v>0</v>
      </c>
      <c r="M921" s="100">
        <f t="shared" si="386"/>
        <v>0</v>
      </c>
      <c r="N921" s="100">
        <f t="shared" si="386"/>
        <v>0</v>
      </c>
      <c r="O921" s="100">
        <f t="shared" si="386"/>
        <v>0</v>
      </c>
      <c r="P921" s="100">
        <f t="shared" si="386"/>
        <v>0</v>
      </c>
      <c r="Q921" s="100">
        <f t="shared" si="386"/>
        <v>0</v>
      </c>
      <c r="R921" s="100">
        <f t="shared" si="386"/>
        <v>0</v>
      </c>
      <c r="S921" s="100">
        <f t="shared" si="386"/>
        <v>0</v>
      </c>
      <c r="T921" s="100">
        <f t="shared" si="386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86"/>
        <v>0</v>
      </c>
      <c r="H922" s="100">
        <f t="shared" si="386"/>
        <v>0</v>
      </c>
      <c r="I922" s="100">
        <f t="shared" si="386"/>
        <v>0</v>
      </c>
      <c r="J922" s="100">
        <f t="shared" si="386"/>
        <v>0</v>
      </c>
      <c r="K922" s="100">
        <f t="shared" si="386"/>
        <v>0</v>
      </c>
      <c r="L922" s="100">
        <f t="shared" si="386"/>
        <v>0</v>
      </c>
      <c r="M922" s="100">
        <f t="shared" si="386"/>
        <v>0</v>
      </c>
      <c r="N922" s="100">
        <f t="shared" si="386"/>
        <v>0</v>
      </c>
      <c r="O922" s="100">
        <f t="shared" si="386"/>
        <v>0</v>
      </c>
      <c r="P922" s="100">
        <f t="shared" si="386"/>
        <v>0</v>
      </c>
      <c r="Q922" s="100">
        <f t="shared" si="386"/>
        <v>0</v>
      </c>
      <c r="R922" s="100">
        <f t="shared" si="386"/>
        <v>0</v>
      </c>
      <c r="S922" s="100">
        <f t="shared" si="386"/>
        <v>0</v>
      </c>
      <c r="T922" s="100">
        <f t="shared" si="386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87">G921+G922</f>
        <v>0</v>
      </c>
      <c r="H923" s="100">
        <f t="shared" si="387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87"/>
        <v>0</v>
      </c>
      <c r="M923" s="100">
        <f t="shared" si="387"/>
        <v>0</v>
      </c>
      <c r="N923" s="100">
        <f t="shared" si="387"/>
        <v>0</v>
      </c>
      <c r="O923" s="100">
        <f t="shared" si="387"/>
        <v>0</v>
      </c>
      <c r="P923" s="100">
        <f>P921+P922</f>
        <v>0</v>
      </c>
      <c r="Q923" s="100">
        <f t="shared" si="387"/>
        <v>0</v>
      </c>
      <c r="R923" s="100">
        <f t="shared" si="387"/>
        <v>0</v>
      </c>
      <c r="S923" s="100">
        <f t="shared" si="387"/>
        <v>0</v>
      </c>
      <c r="T923" s="100">
        <f t="shared" si="387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8">G918-G923</f>
        <v>0</v>
      </c>
      <c r="H925" s="100">
        <f t="shared" si="388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8"/>
        <v>0</v>
      </c>
      <c r="M925" s="100">
        <f t="shared" si="388"/>
        <v>0</v>
      </c>
      <c r="N925" s="100">
        <f t="shared" si="388"/>
        <v>0</v>
      </c>
      <c r="O925" s="100">
        <f>O918-O923</f>
        <v>0</v>
      </c>
      <c r="P925" s="100">
        <f>P918-P923</f>
        <v>0</v>
      </c>
      <c r="Q925" s="100">
        <f t="shared" si="388"/>
        <v>0</v>
      </c>
      <c r="R925" s="100">
        <f t="shared" si="388"/>
        <v>0</v>
      </c>
      <c r="S925" s="100">
        <f t="shared" si="388"/>
        <v>0</v>
      </c>
      <c r="T925" s="100">
        <f t="shared" si="388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11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LOPP not 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4"/>
  <sheetViews>
    <sheetView topLeftCell="A22" zoomScaleNormal="100" zoomScaleSheetLayoutView="100" workbookViewId="0">
      <selection activeCell="C24" sqref="C24"/>
    </sheetView>
  </sheetViews>
  <sheetFormatPr defaultRowHeight="15" x14ac:dyDescent="0.25"/>
  <cols>
    <col min="1" max="1" width="48.140625" bestFit="1" customWidth="1"/>
    <col min="2" max="2" width="10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406"/>
      <c r="I2" s="406"/>
      <c r="J2" s="406"/>
      <c r="L2" s="406"/>
      <c r="M2" s="406"/>
      <c r="N2" s="406"/>
      <c r="O2" s="406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577844712.95942223</v>
      </c>
      <c r="D7" s="214">
        <f>'Allocation ProForma'!G681</f>
        <v>510332846.80655491</v>
      </c>
      <c r="E7" s="214">
        <f>C7-D7</f>
        <v>67511866.152867317</v>
      </c>
      <c r="F7" s="214">
        <f>'Allocation ProForma'!G685</f>
        <v>1694179623.6904061</v>
      </c>
      <c r="G7" s="215">
        <f>E7/F7</f>
        <v>3.9849296502461308E-2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199684430.37822992</v>
      </c>
      <c r="D8" s="2">
        <f>'Allocation ProForma'!H681</f>
        <v>160207207.0446004</v>
      </c>
      <c r="E8" s="2">
        <f>C8-D8</f>
        <v>39477223.333629519</v>
      </c>
      <c r="F8" s="2">
        <f>'Allocation ProForma'!H685</f>
        <v>430102584.99158609</v>
      </c>
      <c r="G8" s="215">
        <f>E8/F8</f>
        <v>9.1785598857541839E-2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12017850.009784205</v>
      </c>
      <c r="D9" s="5">
        <f>'Allocation ProForma'!J681</f>
        <v>10346624.134455794</v>
      </c>
      <c r="E9" s="5">
        <f>C9-D9</f>
        <v>1671225.8753284104</v>
      </c>
      <c r="F9" s="5">
        <f>'Allocation ProForma'!J685</f>
        <v>27008133.39684971</v>
      </c>
      <c r="G9" s="216">
        <f>E9/F9</f>
        <v>6.1878614518519295E-2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167125746.87206659</v>
      </c>
      <c r="D10" s="2">
        <f>'Allocation ProForma'!L681</f>
        <v>136432900.73787868</v>
      </c>
      <c r="E10" s="5">
        <f>C10-D10</f>
        <v>30692846.134187907</v>
      </c>
      <c r="F10" s="2">
        <f>'Allocation ProForma'!L685</f>
        <v>328433972.5847649</v>
      </c>
      <c r="G10" s="215">
        <f>E10/F10</f>
        <v>9.3452105129795751E-2</v>
      </c>
    </row>
    <row r="11" spans="1:15" hidden="1" x14ac:dyDescent="0.25">
      <c r="A11" s="42" t="s">
        <v>2239</v>
      </c>
      <c r="C11" s="2">
        <f>'Allocation ProForma'!M668</f>
        <v>13907925.336421834</v>
      </c>
      <c r="D11" s="2">
        <f>'Allocation ProForma'!M681</f>
        <v>11108016.906335194</v>
      </c>
      <c r="E11" s="2">
        <f>C11-D11</f>
        <v>2799908.4300866406</v>
      </c>
      <c r="F11" s="2">
        <f>'Allocation ProForma'!M685</f>
        <v>25045605.561649796</v>
      </c>
      <c r="G11" s="215">
        <f>E11/F11</f>
        <v>0.11179240299040331</v>
      </c>
    </row>
    <row r="12" spans="1:15" hidden="1" x14ac:dyDescent="0.25">
      <c r="A12" s="42" t="s">
        <v>2254</v>
      </c>
      <c r="C12" s="2">
        <f>'Allocation ProForma'!N668</f>
        <v>105096309.91145328</v>
      </c>
      <c r="D12" s="2">
        <f>'Allocation ProForma'!N681</f>
        <v>91103603.746880829</v>
      </c>
      <c r="E12" s="2">
        <f t="shared" ref="E12:E19" si="0">C12-D12</f>
        <v>13992706.164572448</v>
      </c>
      <c r="F12" s="2">
        <f>'Allocation ProForma'!N685</f>
        <v>219810873.03510782</v>
      </c>
      <c r="G12" s="215">
        <f t="shared" ref="G12:G20" si="1">E12/F12</f>
        <v>6.3657934529642468E-2</v>
      </c>
    </row>
    <row r="13" spans="1:15" hidden="1" x14ac:dyDescent="0.25">
      <c r="A13" s="42" t="s">
        <v>2253</v>
      </c>
      <c r="B13" s="205"/>
      <c r="C13" s="2">
        <f>'Allocation ProForma'!O668</f>
        <v>250644970.79994208</v>
      </c>
      <c r="D13" s="2">
        <f>'Allocation ProForma'!O681</f>
        <v>225467247.49576423</v>
      </c>
      <c r="E13" s="2">
        <f t="shared" si="0"/>
        <v>25177723.30417785</v>
      </c>
      <c r="F13" s="2">
        <f>'Allocation ProForma'!O685</f>
        <v>545071081.68977427</v>
      </c>
      <c r="G13" s="215">
        <f t="shared" si="1"/>
        <v>4.6191632889648844E-2</v>
      </c>
    </row>
    <row r="14" spans="1:15" hidden="1" x14ac:dyDescent="0.25">
      <c r="A14" s="42" t="s">
        <v>2246</v>
      </c>
      <c r="B14" s="205"/>
      <c r="C14" s="2">
        <f>'Allocation ProForma'!P668</f>
        <v>86381264.715628594</v>
      </c>
      <c r="D14" s="2">
        <f>'Allocation ProForma'!P681</f>
        <v>77873537.931258574</v>
      </c>
      <c r="E14" s="2">
        <f t="shared" si="0"/>
        <v>8507726.78437002</v>
      </c>
      <c r="F14" s="2">
        <f>'Allocation ProForma'!P685</f>
        <v>178124330.85424313</v>
      </c>
      <c r="G14" s="215">
        <f t="shared" si="1"/>
        <v>4.7762856110498374E-2</v>
      </c>
    </row>
    <row r="15" spans="1:15" hidden="1" x14ac:dyDescent="0.25">
      <c r="A15" s="43" t="s">
        <v>2247</v>
      </c>
      <c r="B15" s="205"/>
      <c r="C15" s="2">
        <f>'Allocation ProForma'!Q668</f>
        <v>29834696.940620665</v>
      </c>
      <c r="D15" s="2">
        <f>'Allocation ProForma'!Q681</f>
        <v>27671372.034967154</v>
      </c>
      <c r="E15" s="2">
        <f t="shared" si="0"/>
        <v>2163324.9056535102</v>
      </c>
      <c r="F15" s="2">
        <f>'Allocation ProForma'!Q685</f>
        <v>63312694.161657609</v>
      </c>
      <c r="G15" s="215">
        <f t="shared" si="1"/>
        <v>3.4168896684918321E-2</v>
      </c>
    </row>
    <row r="16" spans="1:15" hidden="1" x14ac:dyDescent="0.25">
      <c r="A16" s="43" t="s">
        <v>847</v>
      </c>
      <c r="B16" s="205"/>
      <c r="C16" s="218">
        <f>SUM(C17:C19)</f>
        <v>26353967.326500025</v>
      </c>
      <c r="D16" s="218">
        <f>SUM(D17:D19)</f>
        <v>18323674.877553046</v>
      </c>
      <c r="E16" s="218">
        <f>SUM(E17:E19)</f>
        <v>8030292.4489469789</v>
      </c>
      <c r="F16" s="218">
        <f>SUM(F17:F19)</f>
        <v>86869666.715853214</v>
      </c>
      <c r="G16" s="219">
        <f>E16/F16</f>
        <v>9.2440695959082081E-2</v>
      </c>
    </row>
    <row r="17" spans="1:15" hidden="1" x14ac:dyDescent="0.25">
      <c r="A17" s="43" t="s">
        <v>2248</v>
      </c>
      <c r="B17" s="205"/>
      <c r="C17" s="5">
        <f>'Allocation ProForma'!R668</f>
        <v>26167711.439184483</v>
      </c>
      <c r="D17" s="5">
        <f>'Allocation ProForma'!R681</f>
        <v>18170756.101212602</v>
      </c>
      <c r="E17" s="5">
        <f t="shared" si="0"/>
        <v>7996955.337971881</v>
      </c>
      <c r="F17" s="5">
        <f>'Allocation ProForma'!R685</f>
        <v>86557925.582601428</v>
      </c>
      <c r="G17" s="216">
        <f t="shared" si="1"/>
        <v>9.2388481865135041E-2</v>
      </c>
    </row>
    <row r="18" spans="1:15" hidden="1" x14ac:dyDescent="0.25">
      <c r="A18" s="42" t="s">
        <v>2249</v>
      </c>
      <c r="B18" s="205"/>
      <c r="C18" s="2">
        <f>'Allocation ProForma'!S668</f>
        <v>29697.795604426177</v>
      </c>
      <c r="D18" s="2">
        <f>'Allocation ProForma'!S681</f>
        <v>23931.266140934007</v>
      </c>
      <c r="E18" s="5">
        <f t="shared" si="0"/>
        <v>5766.5294634921702</v>
      </c>
      <c r="F18" s="2">
        <f>'Allocation ProForma'!S685</f>
        <v>33365.624636253771</v>
      </c>
      <c r="G18" s="215">
        <f t="shared" si="1"/>
        <v>0.17282845822183371</v>
      </c>
    </row>
    <row r="19" spans="1:15" hidden="1" x14ac:dyDescent="0.25">
      <c r="A19" s="217" t="s">
        <v>2250</v>
      </c>
      <c r="B19" s="152"/>
      <c r="C19" s="218">
        <f>'Allocation ProForma'!T668</f>
        <v>156558.0917111155</v>
      </c>
      <c r="D19" s="218">
        <f>'Allocation ProForma'!T681</f>
        <v>128987.51019950974</v>
      </c>
      <c r="E19" s="218">
        <f t="shared" si="0"/>
        <v>27570.581511605764</v>
      </c>
      <c r="F19" s="218">
        <f>'Allocation ProForma'!T685</f>
        <v>278375.50861553469</v>
      </c>
      <c r="G19" s="219">
        <f t="shared" si="1"/>
        <v>9.9040974002075677E-2</v>
      </c>
    </row>
    <row r="20" spans="1:15" hidden="1" x14ac:dyDescent="0.25">
      <c r="C20" s="2">
        <f>SUM(C7:C16)</f>
        <v>1468891875.2500694</v>
      </c>
      <c r="D20" s="2">
        <f>SUM(D7:D16)</f>
        <v>1268867031.716249</v>
      </c>
      <c r="E20" s="2">
        <f>SUM(E7:E16)</f>
        <v>200024843.53382063</v>
      </c>
      <c r="F20" s="2">
        <f>SUM(F7:F16)</f>
        <v>3597958566.6818924</v>
      </c>
      <c r="G20" s="215">
        <f t="shared" si="1"/>
        <v>5.5593981928004091E-2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398">
        <v>42842</v>
      </c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577234747.52548289</v>
      </c>
      <c r="D28" s="214">
        <f>'Allocation ProForma'!G768</f>
        <v>509976700.66149569</v>
      </c>
      <c r="E28" s="214">
        <f t="shared" ref="E28:E41" si="2">C28-D28</f>
        <v>67258046.863987207</v>
      </c>
      <c r="F28" s="214">
        <f>'Allocation ProForma'!G776</f>
        <v>1694179623.6904061</v>
      </c>
      <c r="G28" s="215">
        <f t="shared" ref="G28:G42" si="3">E28/F28</f>
        <v>3.9699478097534907E-2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199315664.81655225</v>
      </c>
      <c r="D29" s="2">
        <f>'Allocation ProForma'!H768</f>
        <v>160052499.47036982</v>
      </c>
      <c r="E29" s="2">
        <f>C29-D29</f>
        <v>39263165.346182436</v>
      </c>
      <c r="F29" s="2">
        <f>'Allocation ProForma'!H776</f>
        <v>430102584.99158609</v>
      </c>
      <c r="G29" s="215">
        <f>E29/F29</f>
        <v>9.1287908318315555E-2</v>
      </c>
      <c r="H29" s="193"/>
      <c r="I29" s="193"/>
      <c r="J29" s="203"/>
      <c r="O29" s="203"/>
    </row>
    <row r="30" spans="1:15" x14ac:dyDescent="0.25">
      <c r="A30" s="43" t="s">
        <v>2454</v>
      </c>
      <c r="B30" s="205"/>
      <c r="C30" s="2">
        <f>'Allocation ProForma'!I729</f>
        <v>18054497.445093866</v>
      </c>
      <c r="D30" s="2">
        <f>'Allocation ProForma'!I768</f>
        <v>14939251.02479382</v>
      </c>
      <c r="E30" s="2">
        <f>C30-D30</f>
        <v>3115246.420300046</v>
      </c>
      <c r="F30" s="2">
        <f>'Allocation ProForma'!I776</f>
        <v>41121192.679125771</v>
      </c>
      <c r="G30" s="215">
        <f>E30/F30</f>
        <v>7.5757686422393805E-2</v>
      </c>
      <c r="H30" s="193"/>
      <c r="I30" s="193"/>
      <c r="J30" s="203"/>
      <c r="O30" s="203"/>
    </row>
    <row r="31" spans="1:15" x14ac:dyDescent="0.25">
      <c r="A31" s="42" t="s">
        <v>2243</v>
      </c>
      <c r="B31" s="205"/>
      <c r="C31" s="5">
        <f>'Allocation ProForma'!J729</f>
        <v>11994477.224836662</v>
      </c>
      <c r="D31" s="5">
        <f>'Allocation ProForma'!J768</f>
        <v>10338277.396739524</v>
      </c>
      <c r="E31" s="5">
        <f>C31-D31</f>
        <v>1656199.8280971386</v>
      </c>
      <c r="F31" s="5">
        <f>'Allocation ProForma'!J776</f>
        <v>27008133.39684971</v>
      </c>
      <c r="G31" s="216">
        <f>E31/F31</f>
        <v>6.1322261844660518E-2</v>
      </c>
      <c r="H31" s="193"/>
      <c r="I31" s="193"/>
      <c r="J31" s="203"/>
      <c r="O31" s="203"/>
    </row>
    <row r="32" spans="1:15" x14ac:dyDescent="0.25">
      <c r="A32" s="42" t="s">
        <v>2240</v>
      </c>
      <c r="C32" s="2">
        <f>'Allocation ProForma'!L729</f>
        <v>166966077.99831322</v>
      </c>
      <c r="D32" s="2">
        <f>'Allocation ProForma'!L768</f>
        <v>136304765.25367275</v>
      </c>
      <c r="E32" s="5">
        <f t="shared" si="2"/>
        <v>30661312.74464047</v>
      </c>
      <c r="F32" s="2">
        <f>'Allocation ProForma'!L776</f>
        <v>328433972.5847649</v>
      </c>
      <c r="G32" s="215">
        <f t="shared" si="3"/>
        <v>9.335609377841432E-2</v>
      </c>
      <c r="H32" s="334"/>
      <c r="I32" s="334"/>
    </row>
    <row r="33" spans="1:15" x14ac:dyDescent="0.25">
      <c r="A33" s="42" t="s">
        <v>2239</v>
      </c>
      <c r="C33" s="2">
        <f>'Allocation ProForma'!M729</f>
        <v>13894272.087358844</v>
      </c>
      <c r="D33" s="2">
        <f>'Allocation ProForma'!M768</f>
        <v>11096932.493295813</v>
      </c>
      <c r="E33" s="2">
        <f t="shared" si="2"/>
        <v>2797339.5940630306</v>
      </c>
      <c r="F33" s="2">
        <f>'Allocation ProForma'!M776</f>
        <v>25045605.561649796</v>
      </c>
      <c r="G33" s="215">
        <f t="shared" si="3"/>
        <v>0.11168983665327537</v>
      </c>
      <c r="H33" s="334"/>
      <c r="I33" s="334"/>
    </row>
    <row r="34" spans="1:15" x14ac:dyDescent="0.25">
      <c r="A34" s="42" t="s">
        <v>2254</v>
      </c>
      <c r="C34" s="2">
        <f>'Allocation ProForma'!N729</f>
        <v>104997866.54645737</v>
      </c>
      <c r="D34" s="2">
        <f>'Allocation ProForma'!N768</f>
        <v>91030926.385353923</v>
      </c>
      <c r="E34" s="2">
        <f t="shared" si="2"/>
        <v>13966940.161103442</v>
      </c>
      <c r="F34" s="2">
        <f>'Allocation ProForma'!N776</f>
        <v>219810873.03510782</v>
      </c>
      <c r="G34" s="215">
        <f t="shared" si="3"/>
        <v>6.354071556265857E-2</v>
      </c>
      <c r="H34" s="334"/>
      <c r="I34" s="334"/>
    </row>
    <row r="35" spans="1:15" x14ac:dyDescent="0.25">
      <c r="A35" s="42" t="s">
        <v>2253</v>
      </c>
      <c r="B35" s="205"/>
      <c r="C35" s="2">
        <f>'Allocation ProForma'!O729</f>
        <v>250434692.08509395</v>
      </c>
      <c r="D35" s="2">
        <f>'Allocation ProForma'!O768</f>
        <v>225306135.33076245</v>
      </c>
      <c r="E35" s="2">
        <f t="shared" si="2"/>
        <v>25128556.754331499</v>
      </c>
      <c r="F35" s="2">
        <f>'Allocation ProForma'!O776</f>
        <v>545071081.68977427</v>
      </c>
      <c r="G35" s="215">
        <f t="shared" si="3"/>
        <v>4.6101430801337849E-2</v>
      </c>
      <c r="H35" s="334"/>
      <c r="I35" s="334"/>
    </row>
    <row r="36" spans="1:15" x14ac:dyDescent="0.25">
      <c r="A36" s="42" t="s">
        <v>2246</v>
      </c>
      <c r="B36" s="205"/>
      <c r="C36" s="2">
        <f>'Allocation ProForma'!P729</f>
        <v>86312650.58389245</v>
      </c>
      <c r="D36" s="2">
        <f>'Allocation ProForma'!P768</f>
        <v>77817920.764479548</v>
      </c>
      <c r="E36" s="2">
        <f t="shared" si="2"/>
        <v>8494729.819412902</v>
      </c>
      <c r="F36" s="2">
        <f>'Allocation ProForma'!P776</f>
        <v>178124330.85424313</v>
      </c>
      <c r="G36" s="215">
        <f t="shared" si="3"/>
        <v>4.7689890419091767E-2</v>
      </c>
      <c r="H36" s="334"/>
      <c r="I36" s="334"/>
    </row>
    <row r="37" spans="1:15" x14ac:dyDescent="0.25">
      <c r="A37" s="43" t="s">
        <v>2247</v>
      </c>
      <c r="B37" s="205"/>
      <c r="C37" s="2">
        <f>'Allocation ProForma'!Q729</f>
        <v>29810978.076292276</v>
      </c>
      <c r="D37" s="2">
        <f>'Allocation ProForma'!Q768</f>
        <v>27653315.071667034</v>
      </c>
      <c r="E37" s="2">
        <f t="shared" si="2"/>
        <v>2157663.0046252422</v>
      </c>
      <c r="F37" s="2">
        <f>'Allocation ProForma'!Q776</f>
        <v>63312694.161657609</v>
      </c>
      <c r="G37" s="215">
        <f t="shared" si="3"/>
        <v>3.4079469104821805E-2</v>
      </c>
      <c r="H37" s="334"/>
      <c r="I37" s="334"/>
    </row>
    <row r="38" spans="1:15" hidden="1" x14ac:dyDescent="0.25">
      <c r="A38" s="43" t="s">
        <v>847</v>
      </c>
      <c r="B38" s="205"/>
      <c r="C38" s="218">
        <f>SUM(C39:C41)</f>
        <v>26311515.551501434</v>
      </c>
      <c r="D38" s="218">
        <f>SUM(D39:D41)</f>
        <v>18300176.866120402</v>
      </c>
      <c r="E38" s="218">
        <f>SUM(E39:E41)</f>
        <v>8011338.6853810325</v>
      </c>
      <c r="F38" s="218">
        <f>SUM(F39:F41)</f>
        <v>86869666.715853214</v>
      </c>
      <c r="G38" s="219">
        <f>E38/F38</f>
        <v>9.2222509746535147E-2</v>
      </c>
      <c r="H38" s="334"/>
      <c r="I38" s="334"/>
    </row>
    <row r="39" spans="1:15" x14ac:dyDescent="0.25">
      <c r="A39" s="43" t="s">
        <v>2248</v>
      </c>
      <c r="B39" s="205"/>
      <c r="C39" s="2">
        <f>'Allocation ProForma'!R729</f>
        <v>26125517.705985676</v>
      </c>
      <c r="D39" s="2">
        <f>'Allocation ProForma'!R768</f>
        <v>18147401.385908764</v>
      </c>
      <c r="E39" s="2">
        <f t="shared" si="2"/>
        <v>7978116.3200769126</v>
      </c>
      <c r="F39" s="2">
        <f>'Allocation ProForma'!R776</f>
        <v>86557925.582601428</v>
      </c>
      <c r="G39" s="215">
        <f t="shared" si="3"/>
        <v>9.2170835499788745E-2</v>
      </c>
      <c r="H39" s="334"/>
      <c r="I39" s="334"/>
    </row>
    <row r="40" spans="1:15" x14ac:dyDescent="0.25">
      <c r="A40" s="42" t="s">
        <v>2249</v>
      </c>
      <c r="B40" s="205"/>
      <c r="C40" s="5">
        <f>'Allocation ProForma'!S729</f>
        <v>29631.86088623276</v>
      </c>
      <c r="D40" s="5">
        <f>'Allocation ProForma'!S768</f>
        <v>23907.296385843405</v>
      </c>
      <c r="E40" s="5">
        <f t="shared" si="2"/>
        <v>5724.5645003893551</v>
      </c>
      <c r="F40" s="5">
        <f>'Allocation ProForma'!S776</f>
        <v>33365.624636253771</v>
      </c>
      <c r="G40" s="216">
        <f t="shared" si="3"/>
        <v>0.17157072774142729</v>
      </c>
      <c r="H40" s="193"/>
      <c r="I40" s="334"/>
    </row>
    <row r="41" spans="1:15" x14ac:dyDescent="0.25">
      <c r="A41" s="217" t="s">
        <v>2250</v>
      </c>
      <c r="B41" s="223"/>
      <c r="C41" s="218">
        <f>'Allocation ProForma'!T729</f>
        <v>156365.98462952618</v>
      </c>
      <c r="D41" s="218">
        <f>'Allocation ProForma'!T768</f>
        <v>128868.18382579554</v>
      </c>
      <c r="E41" s="218">
        <f t="shared" si="2"/>
        <v>27497.800803730643</v>
      </c>
      <c r="F41" s="218">
        <f>'Allocation ProForma'!T776</f>
        <v>278375.50861553469</v>
      </c>
      <c r="G41" s="219">
        <f t="shared" si="3"/>
        <v>9.8779526045547142E-2</v>
      </c>
      <c r="H41" s="193"/>
      <c r="I41" s="334"/>
    </row>
    <row r="42" spans="1:15" x14ac:dyDescent="0.25">
      <c r="C42" s="2">
        <f>SUM(C28:C38)</f>
        <v>1485327439.9408753</v>
      </c>
      <c r="D42" s="2">
        <f>SUM(D28:D38)</f>
        <v>1282816900.7187507</v>
      </c>
      <c r="E42" s="2">
        <f>SUM(E28:E38)</f>
        <v>202510539.22212446</v>
      </c>
      <c r="F42" s="2">
        <f>SUM(F28:F38)</f>
        <v>3639079759.3610182</v>
      </c>
      <c r="G42" s="215">
        <f t="shared" si="3"/>
        <v>5.5648832290964421E-2</v>
      </c>
      <c r="H42" s="334"/>
      <c r="I42" s="334"/>
    </row>
    <row r="43" spans="1:15" x14ac:dyDescent="0.25">
      <c r="H43" s="193"/>
      <c r="I43" s="334"/>
    </row>
    <row r="44" spans="1:15" ht="18.75" x14ac:dyDescent="0.3">
      <c r="A44" s="337" t="s">
        <v>1427</v>
      </c>
      <c r="B44" s="125"/>
      <c r="I44" s="215"/>
    </row>
    <row r="45" spans="1:15" x14ac:dyDescent="0.25">
      <c r="A45" s="24" t="s">
        <v>2242</v>
      </c>
      <c r="B45" s="132"/>
    </row>
    <row r="46" spans="1:15" x14ac:dyDescent="0.25">
      <c r="A46" s="132"/>
      <c r="B46" s="132"/>
    </row>
    <row r="47" spans="1:15" x14ac:dyDescent="0.25">
      <c r="A47" s="206"/>
      <c r="B47" s="205"/>
      <c r="D47" s="207" t="s">
        <v>2233</v>
      </c>
      <c r="E47" s="207" t="s">
        <v>2234</v>
      </c>
      <c r="F47" s="208"/>
      <c r="G47" s="209"/>
      <c r="J47" s="203"/>
      <c r="O47" s="203"/>
    </row>
    <row r="48" spans="1:15" ht="15.75" thickBot="1" x14ac:dyDescent="0.3">
      <c r="A48" s="210"/>
      <c r="B48" s="211"/>
      <c r="C48" s="212" t="s">
        <v>458</v>
      </c>
      <c r="D48" s="212" t="s">
        <v>2235</v>
      </c>
      <c r="E48" s="212" t="s">
        <v>2236</v>
      </c>
      <c r="F48" s="213" t="s">
        <v>193</v>
      </c>
      <c r="G48" s="212" t="s">
        <v>2237</v>
      </c>
      <c r="J48" s="203"/>
      <c r="O48" s="203"/>
    </row>
    <row r="49" spans="1:15" x14ac:dyDescent="0.25">
      <c r="A49" s="206"/>
      <c r="B49" s="205"/>
      <c r="J49" s="203"/>
      <c r="O49" s="203"/>
    </row>
    <row r="50" spans="1:15" x14ac:dyDescent="0.25">
      <c r="A50" s="43" t="s">
        <v>2238</v>
      </c>
      <c r="B50" s="205"/>
      <c r="C50" s="214">
        <f>'Allocation ProForma'!G806</f>
        <v>577234747.52548289</v>
      </c>
      <c r="D50" s="214">
        <f>'Allocation ProForma'!G819</f>
        <v>509976700.66149569</v>
      </c>
      <c r="E50" s="214">
        <f t="shared" ref="E50:E63" si="4">C50-D50</f>
        <v>67258046.863987207</v>
      </c>
      <c r="F50" s="214">
        <f>'Allocation ProForma'!G823</f>
        <v>1694179623.6904061</v>
      </c>
      <c r="G50" s="215">
        <f t="shared" ref="G50:G64" si="5">E50/F50</f>
        <v>3.9699478097534907E-2</v>
      </c>
      <c r="J50" s="203"/>
      <c r="O50" s="203"/>
    </row>
    <row r="51" spans="1:15" x14ac:dyDescent="0.25">
      <c r="A51" s="43" t="s">
        <v>2340</v>
      </c>
      <c r="B51" s="205"/>
      <c r="C51" s="2">
        <f>'Allocation ProForma'!H806</f>
        <v>199315664.81655225</v>
      </c>
      <c r="D51" s="2">
        <f>'Allocation ProForma'!H819</f>
        <v>160052499.47036982</v>
      </c>
      <c r="E51" s="2">
        <f t="shared" si="4"/>
        <v>39263165.346182436</v>
      </c>
      <c r="F51" s="2">
        <f>'Allocation ProForma'!H823</f>
        <v>430102584.99158609</v>
      </c>
      <c r="G51" s="215">
        <f t="shared" si="5"/>
        <v>9.1287908318315555E-2</v>
      </c>
      <c r="J51" s="203"/>
      <c r="O51" s="203"/>
    </row>
    <row r="52" spans="1:15" x14ac:dyDescent="0.25">
      <c r="A52" s="43" t="s">
        <v>2454</v>
      </c>
      <c r="B52" s="205"/>
      <c r="C52" s="2">
        <f>'Allocation ProForma'!I806</f>
        <v>17054497.445093866</v>
      </c>
      <c r="D52" s="2">
        <f>'Allocation ProForma'!I819</f>
        <v>14553676.393793821</v>
      </c>
      <c r="E52" s="2">
        <f t="shared" si="4"/>
        <v>2500821.0513000451</v>
      </c>
      <c r="F52" s="2">
        <f>'Allocation ProForma'!I823</f>
        <v>41121192.679125771</v>
      </c>
      <c r="G52" s="215">
        <f t="shared" si="5"/>
        <v>6.0815868615832477E-2</v>
      </c>
      <c r="J52" s="203"/>
      <c r="O52" s="203"/>
    </row>
    <row r="53" spans="1:15" x14ac:dyDescent="0.25">
      <c r="A53" s="42" t="s">
        <v>2243</v>
      </c>
      <c r="B53" s="205"/>
      <c r="C53" s="5">
        <f>'Allocation ProForma'!J806</f>
        <v>11994477.224836662</v>
      </c>
      <c r="D53" s="5">
        <f>'Allocation ProForma'!J819</f>
        <v>10338277.396739522</v>
      </c>
      <c r="E53" s="5">
        <f t="shared" si="4"/>
        <v>1656199.8280971404</v>
      </c>
      <c r="F53" s="5">
        <f>'Allocation ProForma'!J823</f>
        <v>27008133.39684971</v>
      </c>
      <c r="G53" s="216">
        <f t="shared" si="5"/>
        <v>6.1322261844660587E-2</v>
      </c>
      <c r="J53" s="203"/>
      <c r="O53" s="203"/>
    </row>
    <row r="54" spans="1:15" x14ac:dyDescent="0.25">
      <c r="A54" s="42" t="s">
        <v>2240</v>
      </c>
      <c r="C54" s="2">
        <f>'Allocation ProForma'!L806</f>
        <v>166966077.99831322</v>
      </c>
      <c r="D54" s="2">
        <f>'Allocation ProForma'!L819</f>
        <v>136304765.25367275</v>
      </c>
      <c r="E54" s="5">
        <f t="shared" si="4"/>
        <v>30661312.74464047</v>
      </c>
      <c r="F54" s="2">
        <f>'Allocation ProForma'!L823</f>
        <v>328433972.5847649</v>
      </c>
      <c r="G54" s="215">
        <f t="shared" si="5"/>
        <v>9.335609377841432E-2</v>
      </c>
    </row>
    <row r="55" spans="1:15" x14ac:dyDescent="0.25">
      <c r="A55" s="42" t="s">
        <v>2239</v>
      </c>
      <c r="C55" s="2">
        <f>'Allocation ProForma'!M806</f>
        <v>13894272.087358844</v>
      </c>
      <c r="D55" s="2">
        <f>'Allocation ProForma'!M819</f>
        <v>11096932.493295813</v>
      </c>
      <c r="E55" s="2">
        <f t="shared" si="4"/>
        <v>2797339.5940630306</v>
      </c>
      <c r="F55" s="2">
        <f>'Allocation ProForma'!M823</f>
        <v>25045605.561649796</v>
      </c>
      <c r="G55" s="215">
        <f t="shared" si="5"/>
        <v>0.11168983665327537</v>
      </c>
    </row>
    <row r="56" spans="1:15" x14ac:dyDescent="0.25">
      <c r="A56" s="42" t="s">
        <v>2244</v>
      </c>
      <c r="C56" s="2">
        <f>'Allocation ProForma'!N806</f>
        <v>104997866.54645737</v>
      </c>
      <c r="D56" s="2">
        <f>'Allocation ProForma'!N819</f>
        <v>91030926.385353923</v>
      </c>
      <c r="E56" s="2">
        <f t="shared" si="4"/>
        <v>13966940.161103442</v>
      </c>
      <c r="F56" s="2">
        <f>'Allocation ProForma'!N823</f>
        <v>219810873.03510782</v>
      </c>
      <c r="G56" s="215">
        <f t="shared" si="5"/>
        <v>6.354071556265857E-2</v>
      </c>
    </row>
    <row r="57" spans="1:15" x14ac:dyDescent="0.25">
      <c r="A57" s="42" t="s">
        <v>2245</v>
      </c>
      <c r="B57" s="205"/>
      <c r="C57" s="2">
        <f>'Allocation ProForma'!O806</f>
        <v>250434692.08509395</v>
      </c>
      <c r="D57" s="2">
        <f>'Allocation ProForma'!O819</f>
        <v>225306135.33076248</v>
      </c>
      <c r="E57" s="2">
        <f t="shared" si="4"/>
        <v>25128556.75433147</v>
      </c>
      <c r="F57" s="2">
        <f>'Allocation ProForma'!O823</f>
        <v>545071081.68977427</v>
      </c>
      <c r="G57" s="215">
        <f t="shared" si="5"/>
        <v>4.6101430801337794E-2</v>
      </c>
    </row>
    <row r="58" spans="1:15" x14ac:dyDescent="0.25">
      <c r="A58" s="42" t="s">
        <v>2246</v>
      </c>
      <c r="B58" s="205"/>
      <c r="C58" s="222">
        <f>'Allocation ProForma'!P806</f>
        <v>86312650.58389245</v>
      </c>
      <c r="D58" s="2">
        <f>'Allocation ProForma'!P819</f>
        <v>77817920.764479548</v>
      </c>
      <c r="E58" s="2">
        <f t="shared" si="4"/>
        <v>8494729.819412902</v>
      </c>
      <c r="F58" s="2">
        <f>'Allocation ProForma'!P823</f>
        <v>178124330.85424313</v>
      </c>
      <c r="G58" s="215">
        <f t="shared" si="5"/>
        <v>4.7689890419091767E-2</v>
      </c>
    </row>
    <row r="59" spans="1:15" x14ac:dyDescent="0.25">
      <c r="A59" s="43" t="s">
        <v>2247</v>
      </c>
      <c r="B59" s="205"/>
      <c r="C59" s="2">
        <f>'Allocation ProForma'!Q806</f>
        <v>29810978.076292276</v>
      </c>
      <c r="D59" s="2">
        <f>'Allocation ProForma'!Q819</f>
        <v>27653315.071667034</v>
      </c>
      <c r="E59" s="2">
        <f t="shared" si="4"/>
        <v>2157663.0046252422</v>
      </c>
      <c r="F59" s="2">
        <f>'Allocation ProForma'!Q823</f>
        <v>63312694.161657609</v>
      </c>
      <c r="G59" s="215">
        <f t="shared" si="5"/>
        <v>3.4079469104821805E-2</v>
      </c>
    </row>
    <row r="60" spans="1:15" hidden="1" x14ac:dyDescent="0.25">
      <c r="A60" s="43" t="s">
        <v>847</v>
      </c>
      <c r="B60" s="205"/>
      <c r="C60" s="218">
        <f>SUM(C61:C63)</f>
        <v>26311515.551501434</v>
      </c>
      <c r="D60" s="218">
        <f>SUM(D61:D63)</f>
        <v>18300176.866120398</v>
      </c>
      <c r="E60" s="218">
        <f>SUM(E61:E63)</f>
        <v>8011338.6853810363</v>
      </c>
      <c r="F60" s="218">
        <f>SUM(F61:F63)</f>
        <v>86869666.715853214</v>
      </c>
      <c r="G60" s="219">
        <f t="shared" si="5"/>
        <v>9.2222509746535189E-2</v>
      </c>
    </row>
    <row r="61" spans="1:15" x14ac:dyDescent="0.25">
      <c r="A61" s="43" t="s">
        <v>2248</v>
      </c>
      <c r="B61" s="205"/>
      <c r="C61" s="2">
        <f>'Allocation ProForma'!R806</f>
        <v>26125517.705985676</v>
      </c>
      <c r="D61" s="2">
        <f>'Allocation ProForma'!R819</f>
        <v>18147401.38590876</v>
      </c>
      <c r="E61" s="2">
        <f t="shared" si="4"/>
        <v>7978116.3200769164</v>
      </c>
      <c r="F61" s="2">
        <f>'Allocation ProForma'!R823</f>
        <v>86557925.582601428</v>
      </c>
      <c r="G61" s="215">
        <f t="shared" si="5"/>
        <v>9.21708354997888E-2</v>
      </c>
    </row>
    <row r="62" spans="1:15" x14ac:dyDescent="0.25">
      <c r="A62" s="42" t="s">
        <v>2249</v>
      </c>
      <c r="B62" s="205"/>
      <c r="C62" s="5">
        <f>'Allocation ProForma'!S806</f>
        <v>29631.86088623276</v>
      </c>
      <c r="D62" s="5">
        <f>'Allocation ProForma'!S819</f>
        <v>23907.296385843409</v>
      </c>
      <c r="E62" s="5">
        <f t="shared" si="4"/>
        <v>5724.5645003893515</v>
      </c>
      <c r="F62" s="5">
        <f>'Allocation ProForma'!S823</f>
        <v>33365.624636253771</v>
      </c>
      <c r="G62" s="216">
        <f t="shared" si="5"/>
        <v>0.1715707277414272</v>
      </c>
    </row>
    <row r="63" spans="1:15" x14ac:dyDescent="0.25">
      <c r="A63" s="217" t="s">
        <v>2250</v>
      </c>
      <c r="B63" s="223"/>
      <c r="C63" s="218">
        <f>'Allocation ProForma'!T806</f>
        <v>156365.98462952618</v>
      </c>
      <c r="D63" s="218">
        <f>'Allocation ProForma'!T819</f>
        <v>128868.18382579555</v>
      </c>
      <c r="E63" s="218">
        <f t="shared" si="4"/>
        <v>27497.800803730628</v>
      </c>
      <c r="F63" s="218">
        <f>'Allocation ProForma'!T823</f>
        <v>278375.50861553469</v>
      </c>
      <c r="G63" s="219">
        <f t="shared" si="5"/>
        <v>9.8779526045547086E-2</v>
      </c>
    </row>
    <row r="64" spans="1:15" x14ac:dyDescent="0.25">
      <c r="C64" s="2">
        <f>SUM(C50:C60)</f>
        <v>1484327439.9408753</v>
      </c>
      <c r="D64" s="2">
        <f>SUM(D50:D60)</f>
        <v>1282431326.0877507</v>
      </c>
      <c r="E64" s="2">
        <f>SUM(E50:E60)</f>
        <v>201896113.85312438</v>
      </c>
      <c r="F64" s="2">
        <f>SUM(F50:F60)</f>
        <v>3639079759.3610182</v>
      </c>
      <c r="G64" s="215">
        <f t="shared" si="5"/>
        <v>5.5479991427441283E-2</v>
      </c>
    </row>
  </sheetData>
  <mergeCells count="2">
    <mergeCell ref="H2:J2"/>
    <mergeCell ref="L2:O2"/>
  </mergeCells>
  <pageMargins left="0.7" right="0.7" top="0.75" bottom="0.75" header="0.3" footer="0.3"/>
  <pageSetup scale="83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316"/>
  <sheetViews>
    <sheetView tabSelected="1" zoomScale="75" zoomScaleNormal="75" workbookViewId="0">
      <pane xSplit="1" topLeftCell="B1" activePane="topRight" state="frozen"/>
      <selection pane="topRight" activeCell="C3" sqref="C3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  <c r="B1" s="399">
        <v>42842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(5167850)/12</f>
        <v>430654.16666666669</v>
      </c>
      <c r="C8" s="19">
        <f>6091631440</f>
        <v>6091631440</v>
      </c>
      <c r="D8" s="19">
        <f>554516070+27119</f>
        <v>554543189</v>
      </c>
      <c r="E8" s="19">
        <v>2051123.053201586</v>
      </c>
      <c r="F8" s="19">
        <f>C8/8760</f>
        <v>695391.71689497714</v>
      </c>
      <c r="G8" s="19">
        <v>1736721.2305075389</v>
      </c>
      <c r="H8" s="19">
        <v>1461985.8675600674</v>
      </c>
      <c r="I8" s="19">
        <v>4304609.8439723067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763117080.75831282</v>
      </c>
      <c r="D10" s="19">
        <v>198233994</v>
      </c>
      <c r="E10" s="19">
        <v>499710.97063738306</v>
      </c>
      <c r="F10" s="19">
        <f>C10/8760</f>
        <v>87113.822004373607</v>
      </c>
      <c r="G10" s="19">
        <v>446957.3292942206</v>
      </c>
      <c r="H10" s="19">
        <v>393704.18183345284</v>
      </c>
      <c r="I10" s="19">
        <v>746971.4312416797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2454</v>
      </c>
      <c r="B14" s="393">
        <v>230</v>
      </c>
      <c r="C14" s="394">
        <v>212517867</v>
      </c>
      <c r="D14" s="394">
        <v>18157524</v>
      </c>
      <c r="E14" s="395">
        <v>68730</v>
      </c>
      <c r="F14" s="19">
        <f>C14/8760</f>
        <v>24260.030479452056</v>
      </c>
      <c r="G14" s="169"/>
      <c r="H14" s="169"/>
      <c r="I14" s="395">
        <v>74893</v>
      </c>
      <c r="J14" s="169">
        <f>B14</f>
        <v>230</v>
      </c>
    </row>
    <row r="15" spans="1:22" s="16" customFormat="1" x14ac:dyDescent="0.2">
      <c r="A15" s="25"/>
      <c r="B15" s="168"/>
      <c r="C15" s="19"/>
      <c r="D15" s="19"/>
      <c r="E15" s="169"/>
      <c r="F15" s="169"/>
      <c r="G15" s="169"/>
      <c r="H15" s="169"/>
      <c r="I15" s="169"/>
    </row>
    <row r="16" spans="1:22" s="16" customFormat="1" x14ac:dyDescent="0.2">
      <c r="A16" s="25" t="s">
        <v>2338</v>
      </c>
      <c r="B16" s="168">
        <f>4058/12</f>
        <v>338.16666666666669</v>
      </c>
      <c r="C16" s="19">
        <v>7122000</v>
      </c>
      <c r="D16" s="19">
        <f>12037991</f>
        <v>12037991</v>
      </c>
      <c r="E16" s="19">
        <v>52333.388582496336</v>
      </c>
      <c r="F16" s="19">
        <f>C16/8760</f>
        <v>813.01369863013701</v>
      </c>
      <c r="G16" s="19">
        <v>45898.648536442292</v>
      </c>
      <c r="H16" s="19">
        <v>24095.46073589458</v>
      </c>
      <c r="I16" s="19">
        <v>57026.216936198616</v>
      </c>
      <c r="P16" s="19"/>
    </row>
    <row r="17" spans="1:22" s="16" customFormat="1" x14ac:dyDescent="0.2">
      <c r="A17" s="25"/>
      <c r="B17" s="168"/>
      <c r="C17" s="19"/>
      <c r="D17" s="19"/>
      <c r="E17" s="19"/>
      <c r="F17" s="19"/>
      <c r="G17" s="19"/>
      <c r="H17" s="19"/>
      <c r="I17" s="19"/>
      <c r="P17" s="19"/>
    </row>
    <row r="18" spans="1:22" s="16" customFormat="1" x14ac:dyDescent="0.2">
      <c r="A18" s="25" t="s">
        <v>2314</v>
      </c>
      <c r="B18" s="168">
        <f>3060/12</f>
        <v>255</v>
      </c>
      <c r="C18" s="19">
        <v>144739000</v>
      </c>
      <c r="D18" s="19"/>
      <c r="E18" s="19"/>
      <c r="F18" s="19">
        <f>C18/8760</f>
        <v>16522.716894977169</v>
      </c>
      <c r="G18" s="19"/>
      <c r="H18" s="19"/>
      <c r="I18" s="19"/>
      <c r="K18" s="16" t="s">
        <v>2455</v>
      </c>
      <c r="P18" s="19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69"/>
    </row>
    <row r="20" spans="1:22" s="16" customFormat="1" x14ac:dyDescent="0.2">
      <c r="A20" s="25" t="s">
        <v>2202</v>
      </c>
      <c r="B20" s="393">
        <f>54034/12-J20</f>
        <v>4370.833333333333</v>
      </c>
      <c r="C20" s="394">
        <f>2146594132.29924-73019668</f>
        <v>2073574464.2992401</v>
      </c>
      <c r="D20" s="394">
        <f>174459441-6759534</f>
        <v>167699907</v>
      </c>
      <c r="E20" s="394">
        <f>466981.229600424-25678</f>
        <v>441303.22960042401</v>
      </c>
      <c r="F20" s="19">
        <f>C20/8760</f>
        <v>236709.41373278998</v>
      </c>
      <c r="G20" s="19">
        <v>403338.8331908831</v>
      </c>
      <c r="H20" s="19">
        <v>408665.04815701587</v>
      </c>
      <c r="I20" s="19">
        <f>621881.653598777-27981</f>
        <v>593900.65359877702</v>
      </c>
      <c r="J20" s="16">
        <v>132</v>
      </c>
      <c r="K20" s="16">
        <f>J20*5</f>
        <v>660</v>
      </c>
      <c r="N20" s="26"/>
      <c r="O20" s="26"/>
      <c r="P20" s="26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01" t="s">
        <v>2203</v>
      </c>
      <c r="B22" s="168">
        <f>2070/12</f>
        <v>172.5</v>
      </c>
      <c r="C22" s="19">
        <v>169814470.8207581</v>
      </c>
      <c r="D22" s="19">
        <v>13950651</v>
      </c>
      <c r="E22" s="19">
        <v>36098.457687557748</v>
      </c>
      <c r="F22" s="19">
        <f>C22/8760</f>
        <v>19385.213564013484</v>
      </c>
      <c r="G22" s="19">
        <v>25411.817641778871</v>
      </c>
      <c r="H22" s="19">
        <v>29863.807891820055</v>
      </c>
      <c r="I22" s="19">
        <v>49365.492867243156</v>
      </c>
      <c r="N22" s="19"/>
      <c r="O22" s="19"/>
      <c r="P22" s="190"/>
      <c r="T22" s="181"/>
      <c r="V22" s="181"/>
    </row>
    <row r="23" spans="1:22" s="16" customFormat="1" x14ac:dyDescent="0.2">
      <c r="B23" s="168"/>
      <c r="C23" s="19"/>
      <c r="D23" s="19"/>
      <c r="E23" s="19"/>
      <c r="F23" s="19"/>
      <c r="G23" s="19"/>
      <c r="H23" s="19"/>
      <c r="I23" s="19"/>
      <c r="N23" s="19"/>
      <c r="O23" s="19"/>
      <c r="P23" s="190"/>
      <c r="T23" s="181"/>
      <c r="V23" s="181"/>
    </row>
    <row r="24" spans="1:22" s="16" customFormat="1" x14ac:dyDescent="0.2">
      <c r="A24" s="25" t="s">
        <v>2204</v>
      </c>
      <c r="B24" s="393">
        <f>7419/12-J24</f>
        <v>520.25</v>
      </c>
      <c r="C24" s="394">
        <f>1671130914.563-139498199</f>
        <v>1531632715.563</v>
      </c>
      <c r="D24" s="394">
        <f>116879945-11397990</f>
        <v>105481955</v>
      </c>
      <c r="E24" s="394">
        <f>328697.701629945-43052</f>
        <v>285645.70162994502</v>
      </c>
      <c r="F24" s="19">
        <f>C24/8760</f>
        <v>174843.91730171232</v>
      </c>
      <c r="G24" s="19">
        <v>270395.51178289962</v>
      </c>
      <c r="H24" s="19">
        <v>291986.14657000959</v>
      </c>
      <c r="I24" s="19">
        <f>395414.956999101-46912</f>
        <v>348502.95699910098</v>
      </c>
      <c r="J24" s="16">
        <v>98</v>
      </c>
      <c r="K24" s="16">
        <f>J24*25</f>
        <v>2450</v>
      </c>
      <c r="N24" s="26"/>
      <c r="O24" s="26"/>
      <c r="P24" s="26"/>
    </row>
    <row r="25" spans="1:22" s="16" customFormat="1" x14ac:dyDescent="0.2">
      <c r="B25" s="19"/>
      <c r="C25" s="359"/>
      <c r="D25" s="19"/>
      <c r="E25" s="169"/>
      <c r="F25" s="169"/>
      <c r="G25" s="169"/>
      <c r="H25" s="169"/>
      <c r="I25" s="169"/>
    </row>
    <row r="26" spans="1:22" s="16" customFormat="1" x14ac:dyDescent="0.2">
      <c r="A26" s="201" t="s">
        <v>2315</v>
      </c>
      <c r="B26" s="168">
        <f>3318/12</f>
        <v>276.5</v>
      </c>
      <c r="C26" s="19">
        <v>4118000917.4033823</v>
      </c>
      <c r="D26" s="19">
        <v>251561897</v>
      </c>
      <c r="E26" s="19">
        <v>751868.84558161651</v>
      </c>
      <c r="F26" s="19">
        <f>C26/8760</f>
        <v>470091.42892732675</v>
      </c>
      <c r="G26" s="19">
        <v>577385.3554235308</v>
      </c>
      <c r="H26" s="19">
        <v>637992.48876148975</v>
      </c>
      <c r="I26" s="19">
        <v>909298.65605355671</v>
      </c>
      <c r="K26" s="16">
        <f>SUM(K20:K25)</f>
        <v>3110</v>
      </c>
      <c r="P26" s="19"/>
    </row>
    <row r="27" spans="1:22" s="16" customFormat="1" x14ac:dyDescent="0.2">
      <c r="B27" s="19"/>
      <c r="C27" s="19"/>
      <c r="D27" s="19"/>
      <c r="E27" s="169"/>
      <c r="F27" s="169"/>
      <c r="G27" s="169"/>
      <c r="H27" s="169"/>
      <c r="I27" s="169"/>
      <c r="N27" s="19"/>
      <c r="O27" s="19"/>
      <c r="P27" s="169"/>
    </row>
    <row r="28" spans="1:22" s="16" customFormat="1" x14ac:dyDescent="0.2">
      <c r="A28" s="25" t="s">
        <v>1883</v>
      </c>
      <c r="B28" s="168"/>
      <c r="C28" s="19"/>
      <c r="D28" s="19"/>
      <c r="E28" s="19"/>
      <c r="F28" s="19">
        <f>C28/8760</f>
        <v>0</v>
      </c>
      <c r="G28" s="19"/>
      <c r="H28" s="19"/>
      <c r="I28" s="19"/>
      <c r="N28" s="26"/>
      <c r="O28" s="26"/>
      <c r="P28" s="26"/>
    </row>
    <row r="29" spans="1:22" s="16" customFormat="1" x14ac:dyDescent="0.2">
      <c r="B29" s="19"/>
      <c r="C29" s="359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1884</v>
      </c>
      <c r="B30" s="168">
        <f>360/12</f>
        <v>30</v>
      </c>
      <c r="C30" s="19">
        <v>1497714279.3066747</v>
      </c>
      <c r="D30" s="19">
        <v>86711460</v>
      </c>
      <c r="E30" s="19">
        <v>294031.57298089442</v>
      </c>
      <c r="F30" s="19">
        <f>C30/8760</f>
        <v>170971.94969254278</v>
      </c>
      <c r="G30" s="19">
        <v>212909.89240199357</v>
      </c>
      <c r="H30" s="19">
        <v>226896.36310292233</v>
      </c>
      <c r="I30" s="19">
        <v>342397.02524665621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2201</v>
      </c>
      <c r="B32" s="168">
        <f>12/12</f>
        <v>1</v>
      </c>
      <c r="C32" s="19">
        <v>552917597.55256987</v>
      </c>
      <c r="D32" s="19">
        <v>29892107</v>
      </c>
      <c r="E32" s="19">
        <v>168627.35312117345</v>
      </c>
      <c r="F32" s="19">
        <f>C32/8760</f>
        <v>63118.447209197475</v>
      </c>
      <c r="G32" s="19">
        <v>90162.676268678813</v>
      </c>
      <c r="H32" s="19">
        <v>105477.34137232017</v>
      </c>
      <c r="I32" s="19">
        <v>163859.80727012316</v>
      </c>
      <c r="N32" s="26"/>
      <c r="O32" s="26"/>
      <c r="P32" s="26"/>
    </row>
    <row r="33" spans="1:24" s="16" customFormat="1" x14ac:dyDescent="0.2">
      <c r="B33" s="19"/>
      <c r="C33" s="175"/>
      <c r="D33" s="19"/>
      <c r="E33" s="19"/>
      <c r="F33" s="19"/>
      <c r="G33" s="19"/>
      <c r="H33" s="19"/>
      <c r="I33" s="19"/>
      <c r="N33" s="26"/>
      <c r="O33" s="26"/>
      <c r="P33" s="26"/>
    </row>
    <row r="34" spans="1:24" s="16" customFormat="1" x14ac:dyDescent="0.2">
      <c r="A34" s="25" t="s">
        <v>2220</v>
      </c>
      <c r="B34" s="168">
        <f>2021809/12</f>
        <v>168484.08333333334</v>
      </c>
      <c r="C34" s="19">
        <v>123634652.94376437</v>
      </c>
      <c r="D34" s="19">
        <f>26053380-20984</f>
        <v>26032396</v>
      </c>
      <c r="E34" s="169">
        <v>37037.047301538805</v>
      </c>
      <c r="F34" s="19">
        <f>C34/8760</f>
        <v>14113.544856594106</v>
      </c>
      <c r="G34" s="169">
        <v>0</v>
      </c>
      <c r="H34" s="169">
        <v>0</v>
      </c>
      <c r="I34" s="169">
        <v>34172.535127711366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2221</v>
      </c>
      <c r="B36" s="168">
        <f>48/12</f>
        <v>4</v>
      </c>
      <c r="C36" s="19">
        <f>446721</f>
        <v>446721</v>
      </c>
      <c r="D36" s="19">
        <v>29470</v>
      </c>
      <c r="E36" s="169">
        <v>155.13525415746221</v>
      </c>
      <c r="F36" s="19">
        <f>C36/8760</f>
        <v>50.99554794520548</v>
      </c>
      <c r="G36" s="169">
        <v>0</v>
      </c>
      <c r="H36" s="169">
        <v>0</v>
      </c>
      <c r="I36" s="169">
        <v>143.13681323138437</v>
      </c>
      <c r="N36" s="26"/>
      <c r="O36" s="26"/>
      <c r="P36" s="26"/>
    </row>
    <row r="37" spans="1:24" s="16" customFormat="1" x14ac:dyDescent="0.2">
      <c r="A37" s="25"/>
      <c r="B37" s="168"/>
      <c r="C37" s="19"/>
      <c r="D37" s="19"/>
      <c r="E37" s="169"/>
      <c r="F37" s="19"/>
      <c r="G37" s="169"/>
      <c r="H37" s="169"/>
      <c r="I37" s="169"/>
      <c r="N37" s="26"/>
      <c r="O37" s="26"/>
      <c r="P37" s="26"/>
    </row>
    <row r="38" spans="1:24" s="16" customFormat="1" x14ac:dyDescent="0.2">
      <c r="A38" s="25" t="s">
        <v>2222</v>
      </c>
      <c r="B38" s="168">
        <f>9312/12</f>
        <v>776</v>
      </c>
      <c r="C38" s="19">
        <v>1489131.4121127534</v>
      </c>
      <c r="D38" s="19">
        <v>156512</v>
      </c>
      <c r="E38" s="169">
        <v>240.26355556795608</v>
      </c>
      <c r="F38" s="19">
        <f>C38/8760</f>
        <v>169.99217033250611</v>
      </c>
      <c r="G38" s="169">
        <v>201.05858919599709</v>
      </c>
      <c r="H38" s="169">
        <v>170.2637213014211</v>
      </c>
      <c r="I38" s="169">
        <v>221.43371877082163</v>
      </c>
      <c r="N38" s="26"/>
      <c r="O38" s="26"/>
      <c r="P38" s="26"/>
    </row>
    <row r="39" spans="1:24" s="16" customFormat="1" x14ac:dyDescent="0.2">
      <c r="A39" s="192"/>
      <c r="B39" s="360"/>
      <c r="C39" s="361"/>
      <c r="D39" s="361"/>
      <c r="E39" s="361"/>
      <c r="F39" s="361"/>
      <c r="G39" s="361"/>
      <c r="H39" s="361"/>
      <c r="I39" s="361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>
        <f t="shared" ref="B40:I40" si="0">SUM(B8:B39)</f>
        <v>689441.5</v>
      </c>
      <c r="C40" s="19">
        <f t="shared" si="0"/>
        <v>18329917453.787022</v>
      </c>
      <c r="D40" s="175">
        <f t="shared" si="0"/>
        <v>1464489053</v>
      </c>
      <c r="E40" s="175">
        <f t="shared" si="0"/>
        <v>4686905.0191343417</v>
      </c>
      <c r="F40" s="175">
        <f t="shared" si="0"/>
        <v>2092456.3303409845</v>
      </c>
      <c r="G40" s="175">
        <f t="shared" si="0"/>
        <v>3809382.3536371626</v>
      </c>
      <c r="H40" s="175">
        <f t="shared" si="0"/>
        <v>3580836.9697062937</v>
      </c>
      <c r="I40" s="175">
        <f t="shared" si="0"/>
        <v>7625362.1898453571</v>
      </c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75"/>
      <c r="E41" s="175"/>
      <c r="F41" s="175"/>
      <c r="G41" s="175"/>
      <c r="H41" s="177"/>
      <c r="I41" s="175"/>
      <c r="J41" s="178"/>
      <c r="K41" s="179"/>
      <c r="L41" s="179"/>
      <c r="M41" s="175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s="16" customFormat="1" x14ac:dyDescent="0.2">
      <c r="B42" s="19"/>
      <c r="C42" s="19"/>
      <c r="D42" s="19"/>
      <c r="E42" s="19"/>
      <c r="F42" s="19"/>
      <c r="G42" s="19"/>
      <c r="H42" s="172"/>
      <c r="I42" s="19"/>
      <c r="J42" s="173"/>
      <c r="K42" s="19"/>
      <c r="L42" s="174"/>
      <c r="M42" s="19"/>
      <c r="N42" s="26"/>
      <c r="O42" s="26"/>
      <c r="P42" s="26"/>
      <c r="R42" s="184"/>
      <c r="S42" s="184"/>
      <c r="T42" s="184"/>
      <c r="U42" s="184"/>
      <c r="V42" s="184"/>
      <c r="W42" s="184"/>
      <c r="X42" s="184"/>
    </row>
    <row r="43" spans="1:24" s="16" customFormat="1" x14ac:dyDescent="0.2">
      <c r="B43" s="19"/>
      <c r="C43" s="19"/>
      <c r="D43" s="19"/>
      <c r="E43" s="19"/>
      <c r="F43" s="19"/>
      <c r="G43" s="19"/>
      <c r="H43" s="172"/>
      <c r="I43" s="19">
        <f>SUM(I8:I16)+I34+I36+I38</f>
        <v>5218037.5978098996</v>
      </c>
      <c r="J43" s="173"/>
      <c r="K43" s="19"/>
      <c r="L43" s="174"/>
      <c r="M43" s="19"/>
      <c r="N43" s="26"/>
      <c r="O43" s="26"/>
      <c r="P43" s="26"/>
      <c r="R43" s="184"/>
      <c r="S43" s="184"/>
      <c r="T43" s="184"/>
      <c r="U43" s="184"/>
      <c r="V43" s="184"/>
      <c r="W43" s="184"/>
      <c r="X43" s="184"/>
    </row>
    <row r="44" spans="1:24" x14ac:dyDescent="0.2">
      <c r="D44" s="10"/>
      <c r="E44" s="10"/>
      <c r="F44" s="10"/>
      <c r="G44" s="10"/>
      <c r="H44" s="10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D45" s="10"/>
      <c r="E45" s="10"/>
      <c r="F45" s="10"/>
      <c r="G45" s="1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D46" s="10"/>
      <c r="E46" s="10"/>
      <c r="F46" s="10"/>
      <c r="G46" s="10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9"/>
      <c r="D47" s="200"/>
      <c r="E47" s="200"/>
      <c r="F47" s="200"/>
      <c r="G47" s="200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  <c r="R48" s="38"/>
      <c r="S48" s="38"/>
      <c r="T48" s="38"/>
      <c r="U48" s="38"/>
      <c r="V48" s="38"/>
      <c r="W48" s="38"/>
      <c r="X48" s="38"/>
    </row>
    <row r="49" spans="1:24" x14ac:dyDescent="0.2">
      <c r="C49" s="198"/>
      <c r="D49" s="41"/>
      <c r="E49" s="41"/>
      <c r="F49" s="41"/>
      <c r="G49" s="41"/>
      <c r="H49" s="13"/>
      <c r="I49" s="10"/>
      <c r="J49" s="14"/>
      <c r="K49" s="10"/>
      <c r="L49" s="11"/>
      <c r="M49" s="10"/>
      <c r="N49" s="12"/>
      <c r="O49" s="12"/>
      <c r="P49" s="12"/>
      <c r="R49" s="38"/>
      <c r="S49" s="38"/>
      <c r="T49" s="38"/>
      <c r="U49" s="38"/>
      <c r="V49" s="38"/>
      <c r="W49" s="38"/>
      <c r="X49" s="38"/>
    </row>
    <row r="50" spans="1:24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24" x14ac:dyDescent="0.2">
      <c r="C51" s="198"/>
      <c r="D51" s="122"/>
      <c r="E51" s="122"/>
      <c r="F51" s="122"/>
      <c r="G51" s="122"/>
      <c r="H51" s="13"/>
      <c r="I51" s="10"/>
      <c r="J51" s="14"/>
      <c r="K51" s="10"/>
      <c r="L51" s="11"/>
      <c r="M51" s="10"/>
      <c r="N51" s="12"/>
      <c r="O51" s="12"/>
      <c r="P51" s="12"/>
    </row>
    <row r="52" spans="1:24" x14ac:dyDescent="0.2">
      <c r="C52" s="198"/>
      <c r="D52" s="122"/>
      <c r="E52" s="122"/>
      <c r="F52" s="122"/>
      <c r="G52" s="122"/>
      <c r="H52" s="13"/>
      <c r="I52" s="10"/>
      <c r="J52" s="14"/>
      <c r="K52" s="10"/>
      <c r="L52" s="11"/>
      <c r="M52" s="10"/>
      <c r="N52" s="12"/>
      <c r="O52" s="12"/>
      <c r="P52" s="12"/>
    </row>
    <row r="53" spans="1:24" x14ac:dyDescent="0.2">
      <c r="A53" s="196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24" x14ac:dyDescent="0.2">
      <c r="A54" s="197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24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24" x14ac:dyDescent="0.2">
      <c r="C56" s="198"/>
      <c r="D56" s="10"/>
      <c r="E56" s="10"/>
      <c r="F56" s="10"/>
      <c r="G56" s="10"/>
      <c r="H56" s="13"/>
      <c r="I56" s="184"/>
      <c r="J56" s="183"/>
      <c r="K56" s="184"/>
      <c r="L56" s="183"/>
      <c r="M56" s="10"/>
      <c r="N56" s="12"/>
      <c r="O56" s="12"/>
      <c r="P56" s="12"/>
    </row>
    <row r="57" spans="1:24" x14ac:dyDescent="0.2">
      <c r="C57" s="198"/>
      <c r="D57" s="10"/>
      <c r="E57" s="10"/>
      <c r="F57" s="10"/>
      <c r="G57" s="10"/>
      <c r="H57" s="13"/>
      <c r="I57" s="184"/>
      <c r="J57" s="183"/>
      <c r="K57" s="184"/>
      <c r="L57" s="183"/>
      <c r="M57" s="10"/>
      <c r="N57" s="12"/>
      <c r="O57" s="12"/>
      <c r="P57" s="12"/>
    </row>
    <row r="58" spans="1:24" x14ac:dyDescent="0.2">
      <c r="A58" s="196"/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24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24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24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24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24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24" x14ac:dyDescent="0.2">
      <c r="D64" s="10"/>
      <c r="E64" s="10"/>
      <c r="F64" s="10"/>
      <c r="G64" s="10"/>
      <c r="H64" s="13"/>
      <c r="I64" s="184"/>
      <c r="J64" s="184"/>
      <c r="K64" s="184"/>
      <c r="L64" s="184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84"/>
      <c r="J65" s="184"/>
      <c r="K65" s="184"/>
      <c r="L65" s="184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D72" s="10"/>
      <c r="E72" s="10"/>
      <c r="F72" s="10"/>
      <c r="G72" s="10"/>
      <c r="H72" s="13"/>
      <c r="I72" s="10"/>
      <c r="J72" s="14"/>
      <c r="K72" s="10"/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L74" s="11"/>
      <c r="M74" s="10"/>
      <c r="N74" s="12"/>
      <c r="O74" s="12"/>
      <c r="P74" s="12"/>
    </row>
    <row r="75" spans="1:22" x14ac:dyDescent="0.2">
      <c r="D75" s="10"/>
      <c r="E75" s="10"/>
      <c r="F75" s="10"/>
      <c r="G75" s="10"/>
      <c r="H75" s="13"/>
      <c r="I75" s="10"/>
      <c r="J75" s="14"/>
      <c r="K75" s="10"/>
      <c r="L75" s="11"/>
      <c r="M75" s="10"/>
      <c r="N75" s="12"/>
      <c r="O75" s="12"/>
      <c r="P75" s="12"/>
    </row>
    <row r="76" spans="1:22" x14ac:dyDescent="0.2">
      <c r="D76" s="10"/>
      <c r="E76" s="10"/>
      <c r="F76" s="10"/>
      <c r="G76" s="10"/>
      <c r="H76" s="13"/>
      <c r="I76" s="10"/>
      <c r="J76" s="14"/>
      <c r="K76" s="10"/>
      <c r="L76" s="11"/>
      <c r="M76" s="10"/>
      <c r="N76" s="12"/>
      <c r="O76" s="12"/>
      <c r="P76" s="12"/>
    </row>
    <row r="77" spans="1:22" s="16" customFormat="1" x14ac:dyDescent="0.2">
      <c r="A77" s="166"/>
      <c r="B77" s="167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U77" s="168"/>
      <c r="V77" s="168"/>
    </row>
    <row r="78" spans="1:22" s="16" customFormat="1" x14ac:dyDescent="0.2">
      <c r="A78" s="166"/>
      <c r="B78" s="167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A79" s="15"/>
      <c r="B79" s="18"/>
      <c r="C79" s="1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9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1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P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Q84" s="169"/>
      <c r="R84" s="169"/>
      <c r="S84" s="169"/>
    </row>
    <row r="85" spans="1:19" s="16" customFormat="1" x14ac:dyDescent="0.2">
      <c r="B85" s="19"/>
      <c r="C85" s="1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68"/>
      <c r="O85" s="169"/>
    </row>
    <row r="86" spans="1:19" s="16" customFormat="1" x14ac:dyDescent="0.2">
      <c r="B86" s="19"/>
      <c r="C86" s="1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  <c r="P86" s="169"/>
    </row>
    <row r="87" spans="1:19" s="16" customFormat="1" x14ac:dyDescent="0.2">
      <c r="A87" s="166"/>
      <c r="B87" s="167"/>
      <c r="C87" s="167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A88" s="15"/>
      <c r="B88" s="18"/>
      <c r="C88" s="1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9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1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P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Q93" s="169"/>
      <c r="R93" s="169"/>
    </row>
    <row r="94" spans="1:19" s="16" customFormat="1" x14ac:dyDescent="0.2">
      <c r="B94" s="19"/>
      <c r="C94" s="1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68"/>
      <c r="O94" s="169"/>
    </row>
    <row r="95" spans="1:19" s="16" customFormat="1" x14ac:dyDescent="0.2">
      <c r="B95" s="19"/>
      <c r="C95" s="1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9"/>
      <c r="P95" s="169"/>
    </row>
    <row r="96" spans="1:19" s="16" customFormat="1" x14ac:dyDescent="0.2">
      <c r="A96" s="166"/>
      <c r="B96" s="167"/>
      <c r="C96" s="167"/>
      <c r="D96" s="19"/>
      <c r="E96" s="19"/>
      <c r="F96" s="19"/>
      <c r="G96" s="19"/>
      <c r="H96" s="172"/>
      <c r="I96" s="19"/>
      <c r="J96" s="173"/>
      <c r="K96" s="19"/>
      <c r="L96" s="174"/>
      <c r="M96" s="19"/>
      <c r="P96" s="169"/>
    </row>
    <row r="97" spans="1:18" s="16" customFormat="1" x14ac:dyDescent="0.2">
      <c r="A97" s="15"/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68"/>
      <c r="O97" s="16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68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9"/>
      <c r="P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  <c r="Q102" s="169"/>
      <c r="R102" s="169"/>
    </row>
    <row r="103" spans="1:18" s="16" customFormat="1" x14ac:dyDescent="0.2">
      <c r="B103" s="19"/>
      <c r="C103" s="19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68"/>
      <c r="O103" s="169"/>
    </row>
    <row r="104" spans="1:18" s="16" customFormat="1" x14ac:dyDescent="0.2">
      <c r="B104" s="19"/>
      <c r="C104" s="1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9"/>
      <c r="P104" s="169"/>
    </row>
    <row r="105" spans="1:18" s="16" customFormat="1" x14ac:dyDescent="0.2">
      <c r="A105" s="166"/>
      <c r="B105" s="167"/>
      <c r="C105" s="167"/>
      <c r="D105" s="176"/>
      <c r="E105" s="176"/>
      <c r="F105" s="176"/>
      <c r="G105" s="176"/>
      <c r="H105" s="177"/>
      <c r="I105" s="175"/>
      <c r="J105" s="178"/>
      <c r="K105" s="175"/>
      <c r="L105" s="179"/>
      <c r="M105" s="175"/>
      <c r="N105" s="26"/>
      <c r="O105" s="26"/>
      <c r="P105" s="26"/>
    </row>
    <row r="106" spans="1:18" s="16" customFormat="1" x14ac:dyDescent="0.2">
      <c r="A106" s="15"/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68"/>
      <c r="O106" s="169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68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P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  <c r="Q111" s="169"/>
      <c r="R111" s="169"/>
    </row>
    <row r="112" spans="1:18" s="16" customFormat="1" x14ac:dyDescent="0.2">
      <c r="B112" s="19"/>
      <c r="C112" s="19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68"/>
      <c r="O112" s="169"/>
    </row>
    <row r="113" spans="1:22" s="16" customFormat="1" x14ac:dyDescent="0.2">
      <c r="B113" s="19"/>
      <c r="C113" s="1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9"/>
      <c r="P113" s="169"/>
    </row>
    <row r="114" spans="1:22" s="16" customFormat="1" x14ac:dyDescent="0.2">
      <c r="A114" s="166"/>
      <c r="B114" s="167"/>
      <c r="C114" s="16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69"/>
    </row>
    <row r="115" spans="1:22" s="16" customFormat="1" x14ac:dyDescent="0.2">
      <c r="A115" s="15"/>
      <c r="B115" s="18"/>
      <c r="C115" s="18"/>
      <c r="D115" s="19"/>
      <c r="E115" s="19"/>
      <c r="F115" s="19"/>
      <c r="G115" s="19"/>
      <c r="H115" s="175"/>
      <c r="I115" s="19"/>
      <c r="J115" s="19"/>
      <c r="K115" s="19"/>
      <c r="L115" s="19"/>
      <c r="M115" s="19"/>
      <c r="N115" s="169"/>
      <c r="O115" s="169"/>
      <c r="P115" s="26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P116" s="26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68"/>
      <c r="P117" s="169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26"/>
      <c r="P119" s="26"/>
      <c r="T119" s="181"/>
      <c r="V119" s="181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9"/>
      <c r="O120" s="169"/>
      <c r="P120" s="26"/>
      <c r="Q120" s="169"/>
      <c r="R120" s="169"/>
      <c r="T120" s="181"/>
      <c r="V120" s="181"/>
    </row>
    <row r="121" spans="1:22" s="16" customFormat="1" x14ac:dyDescent="0.2">
      <c r="B121" s="19"/>
      <c r="C121" s="19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68"/>
      <c r="O121" s="169"/>
    </row>
    <row r="122" spans="1:22" s="16" customFormat="1" x14ac:dyDescent="0.2">
      <c r="B122" s="19"/>
      <c r="C122" s="1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9"/>
      <c r="P122" s="169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9"/>
    </row>
    <row r="124" spans="1:22" s="16" customFormat="1" x14ac:dyDescent="0.2">
      <c r="A124" s="15"/>
      <c r="B124" s="18"/>
      <c r="C124" s="18"/>
      <c r="D124" s="19"/>
      <c r="E124" s="19"/>
      <c r="F124" s="19"/>
      <c r="G124" s="19"/>
      <c r="H124" s="175"/>
      <c r="I124" s="19"/>
      <c r="J124" s="19"/>
      <c r="K124" s="19"/>
      <c r="L124" s="19"/>
      <c r="M124" s="19"/>
      <c r="N124" s="169"/>
      <c r="O124" s="169"/>
      <c r="P124" s="26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P125" s="26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68"/>
      <c r="P126" s="169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26"/>
      <c r="P128" s="26"/>
      <c r="T128" s="181"/>
      <c r="V128" s="181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9"/>
      <c r="O129" s="169"/>
      <c r="P129" s="26"/>
      <c r="Q129" s="169"/>
      <c r="R129" s="169"/>
      <c r="T129" s="181"/>
      <c r="V129" s="181"/>
    </row>
    <row r="130" spans="1:22" s="16" customFormat="1" x14ac:dyDescent="0.2">
      <c r="B130" s="19"/>
      <c r="C130" s="19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68"/>
      <c r="O130" s="169"/>
    </row>
    <row r="131" spans="1:22" s="16" customFormat="1" x14ac:dyDescent="0.2">
      <c r="B131" s="19"/>
      <c r="C131" s="1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9"/>
      <c r="P131" s="169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9"/>
    </row>
    <row r="133" spans="1:22" s="16" customFormat="1" x14ac:dyDescent="0.2">
      <c r="A133" s="15"/>
      <c r="B133" s="18"/>
      <c r="C133" s="1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9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26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69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P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26"/>
      <c r="P137" s="26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Q138" s="169"/>
      <c r="R138" s="169"/>
    </row>
    <row r="139" spans="1:22" s="16" customFormat="1" x14ac:dyDescent="0.2">
      <c r="B139" s="19"/>
      <c r="C139" s="1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69"/>
      <c r="P139" s="169"/>
      <c r="Q139" s="169"/>
      <c r="R139" s="169"/>
    </row>
    <row r="140" spans="1:22" s="16" customFormat="1" x14ac:dyDescent="0.2">
      <c r="B140" s="19"/>
      <c r="C140" s="1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9"/>
      <c r="O140" s="169"/>
      <c r="P140" s="169"/>
      <c r="Q140" s="169"/>
      <c r="R140" s="169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9"/>
      <c r="O141" s="169"/>
      <c r="P141" s="26"/>
      <c r="Q141" s="169"/>
      <c r="R141" s="169"/>
    </row>
    <row r="142" spans="1:22" s="16" customFormat="1" x14ac:dyDescent="0.2">
      <c r="A142" s="15"/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69"/>
      <c r="O142" s="19"/>
      <c r="P142" s="26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P143" s="26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68"/>
      <c r="P144" s="169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26"/>
      <c r="P146" s="26"/>
      <c r="T146" s="181"/>
      <c r="V146" s="181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9"/>
      <c r="O147" s="169"/>
      <c r="P147" s="26"/>
      <c r="Q147" s="169"/>
      <c r="R147" s="169"/>
      <c r="T147" s="181"/>
      <c r="V147" s="181"/>
    </row>
    <row r="148" spans="1:22" s="16" customFormat="1" x14ac:dyDescent="0.2">
      <c r="B148" s="19"/>
      <c r="C148" s="19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68"/>
      <c r="O148" s="169"/>
    </row>
    <row r="149" spans="1:22" s="16" customFormat="1" x14ac:dyDescent="0.2">
      <c r="B149" s="19"/>
      <c r="C149" s="1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9"/>
      <c r="P149" s="169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9"/>
      <c r="O150" s="169"/>
      <c r="P150" s="26"/>
      <c r="Q150" s="169"/>
      <c r="R150" s="169"/>
    </row>
    <row r="151" spans="1:22" s="16" customFormat="1" x14ac:dyDescent="0.2">
      <c r="A151" s="15"/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69"/>
      <c r="O151" s="26"/>
      <c r="P151" s="26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P152" s="26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68"/>
      <c r="P153" s="169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26"/>
      <c r="P155" s="26"/>
      <c r="T155" s="181"/>
      <c r="V155" s="181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9"/>
      <c r="O156" s="169"/>
      <c r="P156" s="26"/>
      <c r="Q156" s="169"/>
      <c r="R156" s="169"/>
      <c r="T156" s="181"/>
      <c r="V156" s="181"/>
    </row>
    <row r="157" spans="1:22" s="16" customFormat="1" x14ac:dyDescent="0.2">
      <c r="B157" s="19"/>
      <c r="C157" s="19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68"/>
      <c r="O157" s="169"/>
    </row>
    <row r="158" spans="1:22" s="16" customFormat="1" x14ac:dyDescent="0.2">
      <c r="B158" s="19"/>
      <c r="C158" s="1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9"/>
      <c r="P158" s="169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9"/>
    </row>
    <row r="160" spans="1:22" s="16" customFormat="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69"/>
      <c r="O160" s="26"/>
      <c r="P160" s="26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P161" s="26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68"/>
      <c r="P162" s="169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26"/>
      <c r="P164" s="26"/>
      <c r="T164" s="181"/>
      <c r="V164" s="181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9"/>
      <c r="O165" s="169"/>
      <c r="P165" s="26"/>
      <c r="Q165" s="169"/>
      <c r="R165" s="169"/>
      <c r="T165" s="181"/>
      <c r="V165" s="181"/>
    </row>
    <row r="166" spans="2:22" s="16" customFormat="1" x14ac:dyDescent="0.2">
      <c r="B166" s="19"/>
      <c r="C166" s="19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68"/>
      <c r="O166" s="169"/>
    </row>
    <row r="167" spans="2:22" s="16" customFormat="1" x14ac:dyDescent="0.2">
      <c r="B167" s="19"/>
      <c r="C167" s="1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9"/>
      <c r="P167" s="169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9"/>
    </row>
    <row r="169" spans="2:22" s="16" customFormat="1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69"/>
      <c r="O169" s="26"/>
      <c r="P169" s="26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P170" s="26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68"/>
      <c r="P171" s="169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26"/>
      <c r="P173" s="26"/>
      <c r="T173" s="181"/>
      <c r="V173" s="181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9"/>
      <c r="O174" s="169"/>
      <c r="P174" s="26"/>
      <c r="Q174" s="169"/>
      <c r="R174" s="169"/>
      <c r="T174" s="181"/>
      <c r="V174" s="181"/>
    </row>
    <row r="175" spans="2:22" s="16" customFormat="1" x14ac:dyDescent="0.2">
      <c r="B175" s="19"/>
      <c r="C175" s="19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68"/>
      <c r="O175" s="169"/>
    </row>
    <row r="176" spans="2:22" s="16" customFormat="1" x14ac:dyDescent="0.2">
      <c r="B176" s="19"/>
      <c r="C176" s="1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9"/>
      <c r="P176" s="169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9"/>
    </row>
    <row r="178" spans="2:22" s="16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69"/>
      <c r="O178" s="26"/>
      <c r="P178" s="26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P179" s="26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68"/>
      <c r="P180" s="169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26"/>
      <c r="P182" s="26"/>
      <c r="T182" s="181"/>
      <c r="V182" s="181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9"/>
      <c r="O183" s="169"/>
      <c r="P183" s="26"/>
      <c r="Q183" s="169"/>
      <c r="R183" s="169"/>
      <c r="T183" s="181"/>
      <c r="V183" s="181"/>
    </row>
    <row r="184" spans="2:22" s="16" customFormat="1" x14ac:dyDescent="0.2">
      <c r="B184" s="19"/>
      <c r="C184" s="19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68"/>
      <c r="O184" s="169"/>
    </row>
    <row r="185" spans="2:22" s="16" customFormat="1" x14ac:dyDescent="0.2">
      <c r="B185" s="19"/>
      <c r="C185" s="1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9"/>
      <c r="P185" s="169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9"/>
    </row>
    <row r="187" spans="2:22" s="16" customFormat="1" x14ac:dyDescent="0.2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69"/>
      <c r="O187" s="26"/>
      <c r="P187" s="26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P188" s="26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68"/>
      <c r="P189" s="169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82"/>
      <c r="M190" s="168"/>
      <c r="N190" s="169"/>
      <c r="O190" s="169"/>
      <c r="P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26"/>
      <c r="P191" s="26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9"/>
      <c r="O192" s="169"/>
      <c r="P192" s="26"/>
      <c r="Q192" s="169"/>
      <c r="R192" s="169"/>
    </row>
    <row r="193" spans="2:22" s="16" customFormat="1" x14ac:dyDescent="0.2">
      <c r="B193" s="19"/>
      <c r="C193" s="19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68"/>
      <c r="O193" s="169"/>
    </row>
    <row r="194" spans="2:22" s="16" customFormat="1" x14ac:dyDescent="0.2">
      <c r="B194" s="19"/>
      <c r="C194" s="1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9"/>
      <c r="P194" s="169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9"/>
    </row>
    <row r="196" spans="2:22" s="16" customFormat="1" x14ac:dyDescent="0.2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69"/>
      <c r="O196" s="26"/>
      <c r="P196" s="26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P197" s="26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68"/>
      <c r="P198" s="169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26"/>
      <c r="P200" s="26"/>
      <c r="T200" s="181"/>
      <c r="V200" s="181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9"/>
      <c r="O201" s="169"/>
      <c r="P201" s="26"/>
      <c r="Q201" s="169"/>
      <c r="R201" s="169"/>
      <c r="T201" s="181"/>
      <c r="V201" s="181"/>
    </row>
    <row r="202" spans="2:22" s="16" customFormat="1" x14ac:dyDescent="0.2">
      <c r="B202" s="19"/>
      <c r="C202" s="19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68"/>
      <c r="O202" s="169"/>
    </row>
    <row r="203" spans="2:22" s="16" customFormat="1" x14ac:dyDescent="0.2">
      <c r="B203" s="19"/>
      <c r="C203" s="1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9"/>
      <c r="P203" s="169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9"/>
    </row>
    <row r="205" spans="2:22" s="16" customFormat="1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69"/>
      <c r="O205" s="26"/>
      <c r="P205" s="26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P206" s="26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68"/>
      <c r="P207" s="169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26"/>
      <c r="P209" s="26"/>
      <c r="T209" s="181"/>
      <c r="V209" s="181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9"/>
      <c r="O210" s="169"/>
      <c r="P210" s="26"/>
      <c r="Q210" s="169"/>
      <c r="R210" s="169"/>
      <c r="T210" s="181"/>
      <c r="V210" s="181"/>
    </row>
    <row r="211" spans="1:22" s="16" customFormat="1" x14ac:dyDescent="0.2">
      <c r="B211" s="19"/>
      <c r="C211" s="19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68"/>
      <c r="O211" s="169"/>
    </row>
    <row r="212" spans="1:22" s="16" customFormat="1" x14ac:dyDescent="0.2">
      <c r="B212" s="19"/>
      <c r="C212" s="19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9"/>
      <c r="P212" s="169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9"/>
    </row>
    <row r="214" spans="1:22" s="16" customFormat="1" x14ac:dyDescent="0.2">
      <c r="A214" s="15"/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69"/>
      <c r="O214" s="26"/>
      <c r="P214" s="26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P215" s="26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68"/>
      <c r="P216" s="169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26"/>
      <c r="P218" s="26"/>
      <c r="T218" s="181"/>
      <c r="V218" s="181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9"/>
      <c r="O219" s="169"/>
      <c r="P219" s="26"/>
      <c r="Q219" s="169"/>
      <c r="R219" s="169"/>
      <c r="T219" s="181"/>
      <c r="V219" s="181"/>
    </row>
    <row r="220" spans="1:22" s="16" customFormat="1" x14ac:dyDescent="0.2">
      <c r="B220" s="19"/>
      <c r="C220" s="19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69"/>
    </row>
    <row r="221" spans="1:22" s="16" customFormat="1" x14ac:dyDescent="0.2">
      <c r="B221" s="19"/>
      <c r="C221" s="19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9"/>
      <c r="P221" s="169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9"/>
    </row>
    <row r="223" spans="1:22" s="16" customFormat="1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69"/>
      <c r="O223" s="26"/>
      <c r="P223" s="26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P224" s="26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68"/>
      <c r="P225" s="169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26"/>
      <c r="P227" s="26"/>
      <c r="T227" s="181"/>
      <c r="V227" s="181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9"/>
      <c r="O228" s="169"/>
      <c r="P228" s="26"/>
      <c r="Q228" s="169"/>
      <c r="R228" s="169"/>
      <c r="T228" s="181"/>
      <c r="V228" s="181"/>
    </row>
    <row r="229" spans="2:22" s="16" customFormat="1" x14ac:dyDescent="0.2">
      <c r="B229" s="19"/>
      <c r="C229" s="19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69"/>
    </row>
    <row r="230" spans="2:22" s="16" customFormat="1" x14ac:dyDescent="0.2">
      <c r="B230" s="19"/>
      <c r="C230" s="19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9"/>
      <c r="P230" s="169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9"/>
    </row>
    <row r="232" spans="2:22" s="16" customFormat="1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69"/>
      <c r="O232" s="26"/>
      <c r="P232" s="26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P233" s="26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68"/>
      <c r="P234" s="169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26"/>
      <c r="P236" s="26"/>
      <c r="T236" s="181"/>
      <c r="V236" s="181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9"/>
      <c r="O237" s="169"/>
      <c r="P237" s="26"/>
      <c r="Q237" s="169"/>
      <c r="R237" s="169"/>
      <c r="T237" s="181"/>
      <c r="V237" s="181"/>
    </row>
    <row r="238" spans="2:22" s="16" customFormat="1" x14ac:dyDescent="0.2">
      <c r="B238" s="19"/>
      <c r="C238" s="19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69"/>
    </row>
    <row r="239" spans="2:22" s="16" customFormat="1" x14ac:dyDescent="0.2">
      <c r="B239" s="19"/>
      <c r="C239" s="19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9"/>
      <c r="P239" s="169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9"/>
    </row>
    <row r="241" spans="1:22" s="16" customFormat="1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69"/>
      <c r="O241" s="26"/>
      <c r="P241" s="26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P242" s="26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68"/>
      <c r="P243" s="169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26"/>
      <c r="P245" s="26"/>
      <c r="T245" s="181"/>
      <c r="V245" s="181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9"/>
      <c r="O246" s="169"/>
      <c r="P246" s="26"/>
      <c r="Q246" s="169"/>
      <c r="R246" s="169"/>
      <c r="T246" s="181"/>
      <c r="V246" s="181"/>
    </row>
    <row r="247" spans="1:22" s="16" customFormat="1" x14ac:dyDescent="0.2">
      <c r="B247" s="19"/>
      <c r="C247" s="19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69"/>
    </row>
    <row r="248" spans="1:22" s="16" customFormat="1" x14ac:dyDescent="0.2">
      <c r="B248" s="19"/>
      <c r="C248" s="19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9"/>
      <c r="P248" s="169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9"/>
    </row>
    <row r="250" spans="1:22" s="16" customFormat="1" x14ac:dyDescent="0.2">
      <c r="A250" s="15"/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69"/>
      <c r="O250" s="26"/>
      <c r="P250" s="26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P251" s="26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68"/>
      <c r="P252" s="169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26"/>
      <c r="P254" s="26"/>
      <c r="T254" s="181"/>
      <c r="V254" s="181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9"/>
      <c r="O255" s="169"/>
      <c r="P255" s="26"/>
      <c r="Q255" s="169"/>
      <c r="R255" s="169"/>
      <c r="T255" s="181"/>
      <c r="V255" s="181"/>
    </row>
    <row r="256" spans="1:22" s="16" customFormat="1" x14ac:dyDescent="0.2">
      <c r="B256" s="19"/>
      <c r="C256" s="19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69"/>
    </row>
    <row r="257" spans="1:22" s="16" customFormat="1" x14ac:dyDescent="0.2">
      <c r="B257" s="19"/>
      <c r="C257" s="19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9"/>
      <c r="P257" s="169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9"/>
    </row>
    <row r="259" spans="1:22" s="16" customFormat="1" x14ac:dyDescent="0.2">
      <c r="A259" s="15"/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9"/>
      <c r="O259" s="26"/>
      <c r="P259" s="26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P260" s="26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68"/>
      <c r="P261" s="169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26"/>
      <c r="P263" s="26"/>
      <c r="T263" s="181"/>
      <c r="V263" s="181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9"/>
      <c r="O264" s="169"/>
      <c r="P264" s="26"/>
      <c r="Q264" s="169"/>
      <c r="R264" s="169"/>
      <c r="T264" s="181"/>
      <c r="V264" s="181"/>
    </row>
    <row r="265" spans="1:22" s="16" customFormat="1" x14ac:dyDescent="0.2">
      <c r="B265" s="19"/>
      <c r="C265" s="19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69"/>
    </row>
    <row r="266" spans="1:22" s="16" customFormat="1" x14ac:dyDescent="0.2">
      <c r="B266" s="19"/>
      <c r="C266" s="19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9"/>
      <c r="P266" s="169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9"/>
    </row>
    <row r="268" spans="1:22" s="16" customFormat="1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69"/>
      <c r="O268" s="26"/>
      <c r="P268" s="26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P269" s="26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68"/>
      <c r="P270" s="169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26"/>
      <c r="P272" s="26"/>
      <c r="T272" s="181"/>
      <c r="V272" s="181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9"/>
      <c r="O273" s="169"/>
      <c r="P273" s="26"/>
      <c r="Q273" s="169"/>
      <c r="R273" s="169"/>
      <c r="T273" s="181"/>
      <c r="V273" s="181"/>
    </row>
    <row r="274" spans="1:22" s="16" customFormat="1" x14ac:dyDescent="0.2">
      <c r="B274" s="19"/>
      <c r="C274" s="19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69"/>
    </row>
    <row r="275" spans="1:22" s="16" customFormat="1" x14ac:dyDescent="0.2">
      <c r="B275" s="19"/>
      <c r="C275" s="19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9"/>
      <c r="P275" s="169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9"/>
    </row>
    <row r="277" spans="1:22" s="16" customFormat="1" x14ac:dyDescent="0.2">
      <c r="A277" s="15"/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69"/>
      <c r="O277" s="26"/>
      <c r="P277" s="26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P278" s="26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68"/>
      <c r="P279" s="169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26"/>
      <c r="P281" s="26"/>
      <c r="T281" s="181"/>
      <c r="V281" s="181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9"/>
      <c r="O282" s="169"/>
      <c r="P282" s="26"/>
      <c r="Q282" s="169"/>
      <c r="R282" s="169"/>
      <c r="T282" s="181"/>
      <c r="V282" s="181"/>
    </row>
    <row r="283" spans="1:22" s="16" customFormat="1" x14ac:dyDescent="0.2">
      <c r="B283" s="19"/>
      <c r="C283" s="19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69"/>
    </row>
    <row r="284" spans="1:22" s="16" customFormat="1" x14ac:dyDescent="0.2">
      <c r="B284" s="19"/>
      <c r="C284" s="19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9"/>
      <c r="P284" s="169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9"/>
      <c r="P285" s="169"/>
    </row>
    <row r="286" spans="1:22" s="16" customFormat="1" x14ac:dyDescent="0.2">
      <c r="A286" s="15"/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69"/>
      <c r="O286" s="26"/>
      <c r="P286" s="26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P287" s="26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P288" s="169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26"/>
      <c r="P290" s="26"/>
      <c r="T290" s="181"/>
      <c r="V290" s="181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9"/>
      <c r="O291" s="169"/>
      <c r="P291" s="26"/>
      <c r="Q291" s="169"/>
      <c r="R291" s="169"/>
      <c r="T291" s="181"/>
      <c r="V291" s="181"/>
    </row>
    <row r="292" spans="1:22" s="16" customFormat="1" x14ac:dyDescent="0.2">
      <c r="B292" s="19"/>
      <c r="C292" s="1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69"/>
    </row>
    <row r="293" spans="1:22" s="16" customFormat="1" x14ac:dyDescent="0.2">
      <c r="B293" s="19"/>
      <c r="C293" s="19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9"/>
      <c r="P293" s="169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9"/>
    </row>
    <row r="295" spans="1:22" s="16" customFormat="1" x14ac:dyDescent="0.2">
      <c r="A295" s="15"/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69"/>
      <c r="O295" s="26"/>
      <c r="P295" s="26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P296" s="26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P297" s="169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26"/>
      <c r="P299" s="26"/>
      <c r="T299" s="181"/>
      <c r="V299" s="181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9"/>
      <c r="O300" s="169"/>
      <c r="P300" s="26"/>
      <c r="Q300" s="169"/>
      <c r="R300" s="169"/>
      <c r="T300" s="181"/>
      <c r="V300" s="181"/>
    </row>
    <row r="301" spans="1:22" s="16" customFormat="1" x14ac:dyDescent="0.2">
      <c r="B301" s="19"/>
      <c r="C301" s="19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  <c r="P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9"/>
      <c r="L303" s="19"/>
      <c r="M303" s="19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9"/>
    </row>
    <row r="306" spans="2:22" s="16" customFormat="1" x14ac:dyDescent="0.2">
      <c r="B306" s="19"/>
      <c r="C306" s="19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68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80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69"/>
    </row>
    <row r="314" spans="2:22" s="16" customForma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69"/>
    </row>
    <row r="315" spans="2:22" s="16" customForma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6"/>
      <c r="P315" s="26"/>
      <c r="T315" s="181"/>
      <c r="V315" s="181"/>
    </row>
    <row r="316" spans="2:22" ht="17.25" x14ac:dyDescent="0.35">
      <c r="D316" s="10"/>
      <c r="E316" s="10"/>
      <c r="F316" s="10"/>
      <c r="G316" s="10"/>
      <c r="H316" s="10"/>
      <c r="I316" s="10"/>
      <c r="J316" s="10"/>
      <c r="K316" s="10"/>
      <c r="L316" s="10"/>
      <c r="M316" s="17"/>
      <c r="N316" s="10"/>
      <c r="O316" s="10"/>
      <c r="P316" s="10"/>
    </row>
  </sheetData>
  <phoneticPr fontId="0" type="noConversion"/>
  <pageMargins left="0.75" right="0.75" top="1" bottom="1" header="0.5" footer="0.5"/>
  <pageSetup scale="60" orientation="landscape" horizontalDpi="4294967293" verticalDpi="200" r:id="rId1"/>
  <headerFooter alignWithMargins="0"/>
  <rowBreaks count="1" manualBreakCount="1">
    <brk id="11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11"/>
  <sheetViews>
    <sheetView zoomScale="75" zoomScaleNormal="75" workbookViewId="0">
      <selection activeCell="D1" sqref="D1"/>
    </sheetView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  <c r="C1" s="400">
        <v>42836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07"/>
      <c r="O8" s="407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</f>
        <v>430654.16666666669</v>
      </c>
      <c r="E10" s="148">
        <f>C10*D10</f>
        <v>27826792.198988087</v>
      </c>
      <c r="F10" s="59">
        <f>E10/$E$40</f>
        <v>0.62157263069844648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</f>
        <v>63656.5</v>
      </c>
      <c r="E12" s="148">
        <f>C12*D12</f>
        <v>4765517.1071503889</v>
      </c>
      <c r="F12" s="59">
        <f>E12/$E$40</f>
        <v>0.10644831009438574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</f>
        <v>19672.5</v>
      </c>
      <c r="E14" s="148">
        <f>C14*D14</f>
        <v>5606046.8326965738</v>
      </c>
      <c r="F14" s="59">
        <f>E14/$E$40</f>
        <v>0.12522339092123663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t="s">
        <v>2454</v>
      </c>
      <c r="C16" s="148">
        <v>679</v>
      </c>
      <c r="D16" s="149">
        <f>'Billing Det'!B14</f>
        <v>230</v>
      </c>
      <c r="E16" s="148">
        <f>C16*D16</f>
        <v>156170</v>
      </c>
      <c r="F16" s="59">
        <f>E16/$E$40</f>
        <v>3.4884005688484046E-3</v>
      </c>
      <c r="G16" s="27"/>
      <c r="H16" s="27"/>
      <c r="I16" s="27"/>
      <c r="J16" s="27"/>
      <c r="K16" s="27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C17" s="148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2313</v>
      </c>
      <c r="C18" s="148">
        <v>130.85112881554832</v>
      </c>
      <c r="D18" s="149">
        <f>'Billing Det'!B16</f>
        <v>338.16666666666669</v>
      </c>
      <c r="E18" s="148">
        <f>C18*D18</f>
        <v>44249.49006112459</v>
      </c>
      <c r="F18" s="59">
        <f>E18/$E$40</f>
        <v>9.884097221007802E-4</v>
      </c>
      <c r="G18" s="27"/>
      <c r="H18" s="27"/>
      <c r="I18" s="27"/>
      <c r="J18" s="126"/>
      <c r="K18" s="144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A19" s="7"/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2314</v>
      </c>
      <c r="C20" s="336">
        <v>689.2078980766637</v>
      </c>
      <c r="D20" s="149">
        <f>'Billing Det'!B18</f>
        <v>255</v>
      </c>
      <c r="E20" s="148">
        <f>C20*D20</f>
        <v>175748.01400954925</v>
      </c>
      <c r="F20" s="59">
        <f>E20/$E$40</f>
        <v>3.9257185890048604E-3</v>
      </c>
      <c r="G20" s="27"/>
      <c r="H20" s="27"/>
      <c r="I20" s="27"/>
      <c r="J20" s="27"/>
      <c r="K20" s="27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32"/>
      <c r="D21" s="149"/>
      <c r="E21" s="148"/>
      <c r="F21" s="149"/>
      <c r="G21" s="27"/>
      <c r="H21" s="27"/>
      <c r="I21" s="27"/>
      <c r="J21" s="27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7" t="s">
        <v>2202</v>
      </c>
      <c r="C22" s="148">
        <v>624.31984907026822</v>
      </c>
      <c r="D22" s="149">
        <f>'Billing Det'!B20</f>
        <v>4370.833333333333</v>
      </c>
      <c r="E22" s="148">
        <f>C22*D22</f>
        <v>2728798.0069779637</v>
      </c>
      <c r="F22" s="59">
        <f>E22/$E$40</f>
        <v>6.0953707625115719E-2</v>
      </c>
      <c r="G22" s="27"/>
      <c r="H22" s="27"/>
      <c r="I22" s="27"/>
      <c r="J22" s="126"/>
      <c r="K22" s="144"/>
      <c r="L22" s="137"/>
      <c r="M22" s="134"/>
      <c r="N22" s="79"/>
      <c r="O22" s="138"/>
      <c r="P22" s="134"/>
      <c r="Q22" s="139"/>
      <c r="R22" s="140"/>
      <c r="S22" s="50"/>
    </row>
    <row r="23" spans="1:19" x14ac:dyDescent="0.25">
      <c r="C23" s="150"/>
      <c r="D23" s="149"/>
      <c r="E23" s="150"/>
      <c r="F23" s="149"/>
      <c r="G23" s="27"/>
      <c r="H23" s="145"/>
      <c r="I23" s="145"/>
      <c r="J23" s="145"/>
      <c r="K23" s="27"/>
      <c r="L23" s="137"/>
      <c r="M23" s="134"/>
      <c r="N23" s="79"/>
      <c r="O23" s="138"/>
      <c r="P23" s="134"/>
      <c r="Q23" s="139"/>
      <c r="R23" s="140"/>
      <c r="S23" s="50"/>
    </row>
    <row r="24" spans="1:19" x14ac:dyDescent="0.25">
      <c r="A24" s="3" t="s">
        <v>2203</v>
      </c>
      <c r="C24" s="148">
        <v>3593.1145861549589</v>
      </c>
      <c r="D24" s="149">
        <f>'Billing Det'!B22</f>
        <v>172.5</v>
      </c>
      <c r="E24" s="148">
        <f>C24*D24</f>
        <v>619812.26611173037</v>
      </c>
      <c r="F24" s="59">
        <f>E24/$E$40</f>
        <v>1.3844870728586662E-2</v>
      </c>
      <c r="G24" s="146"/>
      <c r="H24" s="27"/>
      <c r="I24" s="27"/>
      <c r="J24" s="126"/>
      <c r="K24" s="144"/>
      <c r="L24" s="133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F25" s="149"/>
      <c r="G25" s="27"/>
      <c r="H25" s="27"/>
      <c r="I25" s="27"/>
      <c r="J25" s="27"/>
      <c r="K25" s="27"/>
      <c r="L25" s="133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2204</v>
      </c>
      <c r="C26" s="148">
        <v>843.261651095258</v>
      </c>
      <c r="D26" s="149">
        <f>'Billing Det'!B24</f>
        <v>520.25</v>
      </c>
      <c r="E26" s="148">
        <f>C26*D26</f>
        <v>438706.87398230797</v>
      </c>
      <c r="F26" s="59">
        <f>E26/$E$40</f>
        <v>9.7994833115040564E-3</v>
      </c>
      <c r="G26" s="27"/>
      <c r="H26" s="27"/>
      <c r="I26" s="27"/>
      <c r="J26" s="126"/>
      <c r="K26" s="144"/>
      <c r="L26" s="137"/>
      <c r="M26" s="134"/>
      <c r="N26" s="79"/>
      <c r="O26" s="138"/>
      <c r="P26" s="134"/>
      <c r="Q26" s="139"/>
      <c r="R26" s="140"/>
      <c r="S26" s="50"/>
    </row>
    <row r="27" spans="1:19" x14ac:dyDescent="0.25">
      <c r="C27" s="132"/>
      <c r="D27" s="149"/>
      <c r="E27" s="148"/>
      <c r="F27" s="149"/>
      <c r="G27" s="27"/>
      <c r="H27" s="27"/>
      <c r="I27" s="27"/>
      <c r="J27" s="27"/>
      <c r="K27" s="27"/>
      <c r="L27" s="137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2315</v>
      </c>
      <c r="C28" s="148">
        <v>4980.6354922085629</v>
      </c>
      <c r="D28" s="149">
        <f>'Billing Det'!B26</f>
        <v>276.5</v>
      </c>
      <c r="E28" s="148">
        <f>C28*D28</f>
        <v>1377145.7135956676</v>
      </c>
      <c r="F28" s="59">
        <f>E28/$E$40</f>
        <v>3.0761579629213481E-2</v>
      </c>
      <c r="G28" s="27"/>
      <c r="H28" s="27"/>
      <c r="I28" s="27"/>
      <c r="J28" s="126"/>
      <c r="K28" s="144"/>
      <c r="L28" s="133"/>
      <c r="M28" s="134"/>
      <c r="N28" s="79"/>
      <c r="O28" s="138"/>
      <c r="P28" s="134"/>
      <c r="Q28" s="139"/>
      <c r="R28" s="140"/>
      <c r="S28" s="50"/>
    </row>
    <row r="29" spans="1:19" x14ac:dyDescent="0.25">
      <c r="C29" s="150"/>
      <c r="D29" s="149"/>
      <c r="E29" s="150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1884</v>
      </c>
      <c r="C30" s="148">
        <v>31307.641454630324</v>
      </c>
      <c r="D30" s="149">
        <f>'Billing Det'!B30</f>
        <v>30</v>
      </c>
      <c r="E30" s="148">
        <f>C30*D30</f>
        <v>939229.24363890977</v>
      </c>
      <c r="F30" s="59">
        <f>E30/$E$40</f>
        <v>2.0979751730735928E-2</v>
      </c>
      <c r="G30" s="27"/>
      <c r="H30" s="27"/>
      <c r="I30" s="27"/>
      <c r="J30" s="126"/>
      <c r="K30" s="144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32"/>
      <c r="D31" s="149"/>
      <c r="F31" s="149"/>
      <c r="G31" s="27"/>
      <c r="H31" s="27"/>
      <c r="I31" s="27"/>
      <c r="J31" s="27"/>
      <c r="K31" s="27"/>
      <c r="L31" s="133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2201</v>
      </c>
      <c r="C32" s="148">
        <v>39752.30619014</v>
      </c>
      <c r="D32" s="149">
        <f>'Billing Det'!B32</f>
        <v>1</v>
      </c>
      <c r="E32" s="148">
        <f>C32*D32</f>
        <v>39752.30619014</v>
      </c>
      <c r="F32" s="59">
        <f>E32/$E$40</f>
        <v>8.8795522524633629E-4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2220</v>
      </c>
      <c r="C34" s="148">
        <v>0</v>
      </c>
      <c r="D34" s="149">
        <f>'Billing Det'!B34</f>
        <v>168484.08333333334</v>
      </c>
      <c r="E34" s="148">
        <f>C34*D34</f>
        <v>0</v>
      </c>
      <c r="F34" s="59">
        <f>E34/$E$40</f>
        <v>0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14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2221</v>
      </c>
      <c r="C36" s="148">
        <f>C10</f>
        <v>64.615170020000008</v>
      </c>
      <c r="D36" s="149">
        <f>'Billing Det'!B36</f>
        <v>4</v>
      </c>
      <c r="E36" s="148">
        <f>C36*D36</f>
        <v>258.46068008000003</v>
      </c>
      <c r="F36" s="59">
        <f>E36/$E$40</f>
        <v>5.7732879773068938E-6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7"/>
      <c r="C37" s="148"/>
      <c r="D37" s="149"/>
      <c r="E37" s="148"/>
      <c r="F37" s="59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7" t="s">
        <v>2222</v>
      </c>
      <c r="C38" s="148">
        <f>C10</f>
        <v>64.615170020000008</v>
      </c>
      <c r="D38" s="149">
        <f>'Billing Det'!B38</f>
        <v>776</v>
      </c>
      <c r="E38" s="148">
        <f>C38*D38</f>
        <v>50141.371935520008</v>
      </c>
      <c r="F38" s="59">
        <f>E38/$E$40</f>
        <v>1.1200178675975375E-3</v>
      </c>
      <c r="G38" s="27"/>
      <c r="H38" s="27"/>
      <c r="I38" s="27"/>
      <c r="J38" s="126"/>
      <c r="K38" s="27"/>
      <c r="L38" s="137"/>
      <c r="M38" s="134"/>
      <c r="N38" s="79"/>
      <c r="O38" s="138"/>
      <c r="P38" s="134"/>
      <c r="Q38" s="139"/>
      <c r="R38" s="140"/>
      <c r="S38" s="50"/>
    </row>
    <row r="39" spans="1:19" x14ac:dyDescent="0.25">
      <c r="A39" s="21"/>
      <c r="B39" s="152"/>
      <c r="C39" s="153"/>
      <c r="D39" s="154"/>
      <c r="E39" s="153"/>
      <c r="F39" s="195"/>
      <c r="G39" s="27"/>
      <c r="H39" s="27"/>
      <c r="I39" s="27"/>
      <c r="J39" s="126"/>
      <c r="K39" s="27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A40" s="3" t="s">
        <v>68</v>
      </c>
      <c r="C40" s="148"/>
      <c r="D40" s="155">
        <f>SUM(D4:D39)</f>
        <v>689441.5</v>
      </c>
      <c r="E40" s="102">
        <f>SUM(E4:E39)</f>
        <v>44768367.886018045</v>
      </c>
      <c r="F40" s="59">
        <f>SUM(F10:F39)</f>
        <v>0.99999999999999978</v>
      </c>
      <c r="G40" s="5"/>
      <c r="H40" s="5"/>
      <c r="I40" s="5"/>
      <c r="J40" s="147"/>
      <c r="K40" s="27"/>
      <c r="L40" s="133"/>
      <c r="M40" s="134"/>
      <c r="N40" s="79"/>
      <c r="O40" s="138"/>
      <c r="P40" s="134"/>
      <c r="Q40" s="139"/>
      <c r="R40" s="140"/>
      <c r="S40" s="50"/>
    </row>
    <row r="41" spans="1:19" x14ac:dyDescent="0.25">
      <c r="F41" s="193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F42" s="194"/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7"/>
      <c r="M43" s="134"/>
      <c r="N43" s="79"/>
      <c r="O43" s="138"/>
      <c r="P43" s="134"/>
      <c r="Q43" s="139"/>
      <c r="R43" s="140"/>
      <c r="S43" s="50"/>
    </row>
    <row r="44" spans="1:19" x14ac:dyDescent="0.25">
      <c r="C44" s="58" t="s">
        <v>2209</v>
      </c>
      <c r="D44" s="58"/>
      <c r="E44" s="65">
        <f>'Functional Assignment'!F41</f>
        <v>82987729.264615372</v>
      </c>
      <c r="L44" s="137"/>
      <c r="M44" s="134"/>
      <c r="N44" s="79"/>
      <c r="O44" s="138"/>
      <c r="P44" s="134"/>
      <c r="Q44" s="139"/>
      <c r="R44" s="140"/>
      <c r="S44" s="50"/>
    </row>
    <row r="45" spans="1:19" x14ac:dyDescent="0.25">
      <c r="C45" s="123"/>
      <c r="E45" s="148"/>
      <c r="F45" s="2"/>
      <c r="L45" s="134"/>
      <c r="M45" s="134"/>
      <c r="N45" s="79"/>
      <c r="O45" s="141"/>
      <c r="P45" s="134"/>
      <c r="Q45" s="139"/>
      <c r="R45" s="141"/>
      <c r="S45" s="50"/>
    </row>
    <row r="46" spans="1:19" x14ac:dyDescent="0.25">
      <c r="C46" s="123"/>
      <c r="E46" s="151"/>
      <c r="F46" s="2"/>
      <c r="L46" s="134"/>
      <c r="M46" s="134"/>
      <c r="N46" s="134"/>
      <c r="O46" s="134"/>
      <c r="P46" s="134"/>
      <c r="Q46" s="142"/>
      <c r="R46" s="134"/>
      <c r="S46" s="50"/>
    </row>
    <row r="47" spans="1:19" x14ac:dyDescent="0.25">
      <c r="A47" s="7"/>
      <c r="C47" s="123"/>
      <c r="E47" s="148"/>
      <c r="F47" s="2"/>
      <c r="L47" s="134"/>
      <c r="M47" s="134"/>
      <c r="N47" s="134"/>
      <c r="O47" s="134"/>
      <c r="P47" s="134"/>
      <c r="Q47" s="135"/>
      <c r="R47" s="134"/>
      <c r="S47" s="50"/>
    </row>
    <row r="48" spans="1:19" x14ac:dyDescent="0.25">
      <c r="C48" s="123"/>
      <c r="F48" s="2"/>
      <c r="L48" s="134"/>
      <c r="M48" s="134"/>
      <c r="N48" s="134"/>
      <c r="O48" s="134"/>
      <c r="P48" s="134"/>
      <c r="Q48" s="79"/>
      <c r="R48" s="134"/>
      <c r="S48" s="50"/>
    </row>
    <row r="49" spans="1:18" x14ac:dyDescent="0.25">
      <c r="A49" s="7"/>
      <c r="C49" s="123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  <c r="L50" s="143"/>
      <c r="M50" s="143"/>
      <c r="N50" s="143"/>
      <c r="O50" s="143"/>
      <c r="P50" s="143"/>
      <c r="Q50" s="143"/>
      <c r="R50" s="143"/>
    </row>
    <row r="51" spans="1:18" x14ac:dyDescent="0.25">
      <c r="A51" s="7"/>
      <c r="D51" s="48"/>
      <c r="E51" s="148"/>
      <c r="F51" s="2"/>
      <c r="L51" s="143"/>
      <c r="M51" s="143"/>
      <c r="N51" s="143"/>
      <c r="O51" s="143"/>
      <c r="P51" s="143"/>
      <c r="Q51" s="143"/>
      <c r="R51" s="143"/>
    </row>
    <row r="52" spans="1:18" x14ac:dyDescent="0.25">
      <c r="A52" s="7"/>
      <c r="C52" s="127"/>
      <c r="F52" s="2"/>
    </row>
    <row r="53" spans="1:18" x14ac:dyDescent="0.25">
      <c r="A53" s="7"/>
      <c r="C53" s="123"/>
      <c r="D53" s="48"/>
      <c r="E53" s="148"/>
      <c r="F53" s="2"/>
    </row>
    <row r="54" spans="1:18" x14ac:dyDescent="0.25">
      <c r="A54" s="125"/>
      <c r="B54" s="27"/>
      <c r="C54" s="128"/>
      <c r="F54" s="2"/>
    </row>
    <row r="55" spans="1:18" x14ac:dyDescent="0.25">
      <c r="C55" s="127"/>
      <c r="D55" s="126"/>
      <c r="E55" s="148"/>
      <c r="F55" s="2"/>
    </row>
    <row r="56" spans="1:18" x14ac:dyDescent="0.25">
      <c r="C56" s="127"/>
      <c r="D56" s="48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C61" s="127"/>
      <c r="E61" s="148"/>
      <c r="F61" s="2"/>
    </row>
    <row r="62" spans="1:18" x14ac:dyDescent="0.25">
      <c r="C62" s="127"/>
      <c r="F62" s="2"/>
    </row>
    <row r="63" spans="1:18" x14ac:dyDescent="0.25">
      <c r="E63" s="148">
        <f>SUM(E10:E62)</f>
        <v>172524465.03665146</v>
      </c>
      <c r="F63" s="2">
        <f>SUM(F10:F62)</f>
        <v>1.9999999999999996</v>
      </c>
    </row>
    <row r="64" spans="1:18" x14ac:dyDescent="0.25">
      <c r="C64" s="1"/>
    </row>
    <row r="76" spans="4:11" x14ac:dyDescent="0.25">
      <c r="D76" s="50"/>
      <c r="E76" s="58"/>
      <c r="F76" s="50"/>
      <c r="G76" s="50"/>
      <c r="H76" s="50"/>
      <c r="I76" s="50"/>
      <c r="J76" s="50"/>
      <c r="K76" s="58"/>
    </row>
    <row r="105" spans="12:19" x14ac:dyDescent="0.25">
      <c r="L105" s="50"/>
      <c r="M105" s="50"/>
      <c r="N105" s="50"/>
      <c r="O105" s="50"/>
      <c r="P105" s="50"/>
      <c r="Q105" s="58"/>
      <c r="R105" s="50"/>
      <c r="S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  <row r="110" spans="12:19" x14ac:dyDescent="0.25">
      <c r="N110" s="50"/>
    </row>
    <row r="111" spans="12:19" x14ac:dyDescent="0.25">
      <c r="N111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4"/>
  <sheetViews>
    <sheetView zoomScale="75" zoomScaleNormal="75" workbookViewId="0">
      <selection activeCell="D1" sqref="D1"/>
    </sheetView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 s="400">
        <v>42836</v>
      </c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07"/>
      <c r="Q6" s="407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430654.16666666669</v>
      </c>
      <c r="E10" s="148">
        <f>C10*D10</f>
        <v>188308620.03723624</v>
      </c>
      <c r="F10" s="59">
        <f>E10/$E$40</f>
        <v>0.70128212314704208</v>
      </c>
      <c r="G10" s="68"/>
      <c r="H10" s="68"/>
      <c r="I10" s="7" t="s">
        <v>216</v>
      </c>
      <c r="J10" s="55">
        <v>225746</v>
      </c>
      <c r="K10" s="74">
        <f>J10/$J$67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63656.5</v>
      </c>
      <c r="E12" s="148">
        <f>C12*D12</f>
        <v>48818629.591388889</v>
      </c>
      <c r="F12" s="59">
        <f>E12/$E$40</f>
        <v>0.18180597469307802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19672.5</v>
      </c>
      <c r="E14" s="148">
        <f>C14*D14</f>
        <v>24946308.835067082</v>
      </c>
      <c r="F14" s="59">
        <f>E14/$E$40</f>
        <v>9.2902812527001194E-2</v>
      </c>
      <c r="G14" s="68"/>
      <c r="H14" s="68"/>
      <c r="I14" s="7" t="s">
        <v>217</v>
      </c>
      <c r="J14" s="55">
        <v>165290</v>
      </c>
      <c r="K14" s="74">
        <f>J14/$J$67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t="s">
        <v>2454</v>
      </c>
      <c r="B16"/>
      <c r="C16" s="163">
        <v>1177.7252303999999</v>
      </c>
      <c r="D16" s="149">
        <f>Meters!D16</f>
        <v>230</v>
      </c>
      <c r="E16" s="148">
        <f>C16*D16</f>
        <v>270876.80299199995</v>
      </c>
      <c r="F16" s="59">
        <f>E16/$E$40</f>
        <v>1.0087751664047549E-3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2313</v>
      </c>
      <c r="B18"/>
      <c r="C18" s="163">
        <v>1177.7252303999999</v>
      </c>
      <c r="D18" s="149">
        <f>Meters!D18</f>
        <v>338.16666666666669</v>
      </c>
      <c r="E18" s="148">
        <f>C18*D18</f>
        <v>398267.41541359999</v>
      </c>
      <c r="F18" s="59">
        <f>E18/$E$40</f>
        <v>1.4831918932139479E-3</v>
      </c>
      <c r="G18" s="68"/>
      <c r="H18" s="68"/>
      <c r="I18" s="7"/>
      <c r="J18" s="55"/>
      <c r="N18" s="57"/>
      <c r="O18" s="139"/>
      <c r="P18" s="79"/>
      <c r="Q18" s="138"/>
      <c r="R18" s="134"/>
      <c r="S18" s="139"/>
      <c r="T18" s="140"/>
    </row>
    <row r="19" spans="1:20" ht="15" x14ac:dyDescent="0.25">
      <c r="A19" s="7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2314</v>
      </c>
      <c r="B20"/>
      <c r="C20" s="163">
        <v>1177.7252303999999</v>
      </c>
      <c r="D20" s="149">
        <f>Meters!D20</f>
        <v>255</v>
      </c>
      <c r="E20" s="148">
        <f>C20*D20</f>
        <v>300319.93375199998</v>
      </c>
      <c r="F20" s="59">
        <f>E20/$E$40</f>
        <v>1.1184246410139676E-3</v>
      </c>
      <c r="G20" s="68"/>
      <c r="H20" s="68"/>
      <c r="I20" s="7" t="s">
        <v>214</v>
      </c>
      <c r="J20" s="55">
        <v>68565</v>
      </c>
      <c r="K20" s="74">
        <f>J20/$J$67</f>
        <v>0.14507089039864079</v>
      </c>
      <c r="L20" s="74"/>
      <c r="M20" s="74"/>
      <c r="N20" s="57"/>
      <c r="O20" s="139"/>
      <c r="P20" s="158"/>
      <c r="Q20" s="159"/>
      <c r="R20" s="133"/>
      <c r="S20" s="160"/>
      <c r="T20" s="161"/>
    </row>
    <row r="21" spans="1:20" ht="15" x14ac:dyDescent="0.25">
      <c r="A21"/>
      <c r="B21"/>
      <c r="C21" s="163"/>
      <c r="D21" s="149"/>
      <c r="E21" s="148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7" t="s">
        <v>2202</v>
      </c>
      <c r="B22"/>
      <c r="C22" s="163">
        <v>1113.0044232800001</v>
      </c>
      <c r="D22" s="149">
        <f>Meters!D22</f>
        <v>4370.833333333333</v>
      </c>
      <c r="E22" s="148">
        <f>C22*D22</f>
        <v>4864756.8334196666</v>
      </c>
      <c r="F22" s="59">
        <f>E22/$E$40</f>
        <v>1.8116892365628405E-2</v>
      </c>
      <c r="G22" s="68"/>
      <c r="H22" s="68"/>
      <c r="I22" s="7" t="s">
        <v>215</v>
      </c>
      <c r="J22" s="55">
        <v>0</v>
      </c>
      <c r="K22" s="74">
        <f>J22/$J$67</f>
        <v>0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50"/>
      <c r="F23" s="149"/>
      <c r="G23" s="68"/>
      <c r="H23" s="68"/>
      <c r="I23" s="7"/>
      <c r="J23" s="55"/>
      <c r="N23" s="57"/>
      <c r="O23" s="139"/>
      <c r="P23" s="79"/>
      <c r="Q23" s="138"/>
      <c r="R23" s="134"/>
      <c r="S23" s="139"/>
      <c r="T23" s="140"/>
    </row>
    <row r="24" spans="1:20" ht="15" x14ac:dyDescent="0.25">
      <c r="A24" s="3" t="s">
        <v>2203</v>
      </c>
      <c r="B24"/>
      <c r="C24" s="163">
        <v>0</v>
      </c>
      <c r="D24" s="149">
        <f>Meters!D24</f>
        <v>172.5</v>
      </c>
      <c r="E24" s="148">
        <f>C24*D24</f>
        <v>0</v>
      </c>
      <c r="F24" s="59">
        <f>E24/$E$40</f>
        <v>0</v>
      </c>
      <c r="G24" s="68"/>
      <c r="H24" s="68"/>
      <c r="I24" s="7" t="s">
        <v>212</v>
      </c>
      <c r="J24" s="76">
        <v>12893</v>
      </c>
      <c r="K24" s="74">
        <f>J24/$J$67</f>
        <v>2.7279209362060467E-2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32"/>
      <c r="F25" s="149"/>
      <c r="G25" s="68"/>
      <c r="H25" s="68"/>
      <c r="I25" s="7"/>
      <c r="J25" s="55"/>
      <c r="N25" s="57"/>
      <c r="O25" s="139"/>
      <c r="P25" s="158"/>
      <c r="Q25" s="159"/>
      <c r="R25" s="133"/>
      <c r="S25" s="160"/>
      <c r="T25" s="161"/>
    </row>
    <row r="26" spans="1:20" ht="15" x14ac:dyDescent="0.25">
      <c r="A26" s="7" t="s">
        <v>2204</v>
      </c>
      <c r="B26"/>
      <c r="C26" s="163">
        <v>1177.7252303999999</v>
      </c>
      <c r="D26" s="149">
        <f>Meters!D26</f>
        <v>520.25</v>
      </c>
      <c r="E26" s="148">
        <f>C26*D26</f>
        <v>612711.55111559993</v>
      </c>
      <c r="F26" s="59">
        <f>E26/$E$40</f>
        <v>2.2818055666177124E-3</v>
      </c>
      <c r="G26" s="68"/>
      <c r="H26" s="68"/>
      <c r="I26" s="7" t="s">
        <v>213</v>
      </c>
      <c r="J26" s="55">
        <v>0</v>
      </c>
      <c r="K26" s="74">
        <f>J26/$J$67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 s="7"/>
      <c r="J27" s="55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2315</v>
      </c>
      <c r="B28"/>
      <c r="C28" s="163">
        <v>0</v>
      </c>
      <c r="D28" s="149">
        <f>Meters!D28</f>
        <v>276.5</v>
      </c>
      <c r="E28" s="148">
        <f>C28*D28</f>
        <v>0</v>
      </c>
      <c r="F28" s="59">
        <f>E28/$E$40</f>
        <v>0</v>
      </c>
      <c r="G28" s="68"/>
      <c r="H28" s="68"/>
      <c r="I28" s="7" t="s">
        <v>219</v>
      </c>
      <c r="J28" s="55">
        <v>0</v>
      </c>
      <c r="K28" s="74">
        <f>J28/$J$67</f>
        <v>0</v>
      </c>
      <c r="L28" s="74"/>
      <c r="M28" s="74"/>
      <c r="N28" s="57"/>
      <c r="O28" s="139"/>
      <c r="P28" s="79"/>
      <c r="Q28" s="138"/>
      <c r="R28" s="134"/>
      <c r="S28" s="139"/>
      <c r="T28" s="140"/>
    </row>
    <row r="29" spans="1:20" ht="15" x14ac:dyDescent="0.25">
      <c r="A29"/>
      <c r="B29"/>
      <c r="C29" s="163"/>
      <c r="D29" s="149"/>
      <c r="E29" s="150"/>
      <c r="F29" s="149"/>
      <c r="G29" s="68"/>
      <c r="H29" s="68"/>
      <c r="I29"/>
      <c r="J29" s="77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1884</v>
      </c>
      <c r="B30"/>
      <c r="C30" s="163">
        <v>0</v>
      </c>
      <c r="D30" s="149">
        <f>Meters!D30</f>
        <v>30</v>
      </c>
      <c r="E30" s="148">
        <f>C30*D30</f>
        <v>0</v>
      </c>
      <c r="F30" s="59">
        <f>E30/$E$40</f>
        <v>0</v>
      </c>
      <c r="G30" s="68"/>
      <c r="H30" s="68"/>
      <c r="I30" s="7" t="s">
        <v>210</v>
      </c>
      <c r="J30" s="55">
        <v>41</v>
      </c>
      <c r="K30" s="74">
        <f>J30/$J$67</f>
        <v>8.6748435883384715E-5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32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2201</v>
      </c>
      <c r="B32"/>
      <c r="C32" s="163">
        <v>0</v>
      </c>
      <c r="D32" s="149">
        <f>Meters!D32</f>
        <v>1</v>
      </c>
      <c r="E32" s="148">
        <f>C32*D32</f>
        <v>0</v>
      </c>
      <c r="F32" s="59">
        <f>E32/$E$40</f>
        <v>0</v>
      </c>
      <c r="G32" s="68"/>
      <c r="H32" s="68"/>
      <c r="I32" s="7" t="s">
        <v>211</v>
      </c>
      <c r="J32" s="55">
        <v>0</v>
      </c>
      <c r="K32" s="74">
        <f>J32/$J$67</f>
        <v>0</v>
      </c>
      <c r="L32" s="74"/>
      <c r="M32" s="74"/>
      <c r="N32" s="57"/>
      <c r="O32" s="139"/>
      <c r="P32" s="158"/>
      <c r="Q32" s="159"/>
      <c r="R32" s="133"/>
      <c r="S32" s="160"/>
      <c r="T32" s="161"/>
    </row>
    <row r="33" spans="1:20" ht="15" x14ac:dyDescent="0.25">
      <c r="A33" s="7"/>
      <c r="B33"/>
      <c r="C33" s="163"/>
      <c r="D33" s="149"/>
      <c r="E33" s="148"/>
      <c r="F33" s="149"/>
      <c r="G33" s="68"/>
      <c r="H33" s="68"/>
      <c r="I33" s="7"/>
      <c r="J33" s="55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2220</v>
      </c>
      <c r="B34"/>
      <c r="C34" s="163">
        <v>0</v>
      </c>
      <c r="D34" s="149">
        <f>Meters!D34</f>
        <v>168484.08333333334</v>
      </c>
      <c r="E34" s="148">
        <f>C34*D34</f>
        <v>0</v>
      </c>
      <c r="F34" s="59">
        <f>E34/$E$40</f>
        <v>0</v>
      </c>
      <c r="G34" s="68"/>
      <c r="H34" s="68"/>
      <c r="I34" s="3" t="s">
        <v>222</v>
      </c>
      <c r="J34" s="55">
        <v>0</v>
      </c>
      <c r="K34" s="74">
        <f>J34/$J$67</f>
        <v>0</v>
      </c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2221</v>
      </c>
      <c r="B36"/>
      <c r="C36" s="163">
        <v>0</v>
      </c>
      <c r="D36" s="149">
        <f>Meters!D36</f>
        <v>4</v>
      </c>
      <c r="E36" s="148">
        <f>C36*D36</f>
        <v>0</v>
      </c>
      <c r="F36" s="59">
        <f>E36/$E$40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7"/>
      <c r="B37"/>
      <c r="C37" s="163"/>
      <c r="D37" s="149"/>
      <c r="E37" s="148"/>
      <c r="F37" s="59"/>
      <c r="G37" s="68"/>
      <c r="H37" s="68"/>
      <c r="I37" s="3"/>
      <c r="J37" s="55"/>
      <c r="K37" s="74"/>
      <c r="L37" s="74"/>
      <c r="M37" s="74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7" t="s">
        <v>2222</v>
      </c>
      <c r="B38"/>
      <c r="C38" s="163">
        <v>0</v>
      </c>
      <c r="D38" s="149">
        <f>Meters!D38</f>
        <v>776</v>
      </c>
      <c r="E38" s="148">
        <f>C38*D38</f>
        <v>0</v>
      </c>
      <c r="F38" s="59">
        <f>E38/$E$40</f>
        <v>0</v>
      </c>
      <c r="G38" s="68"/>
      <c r="H38" s="68"/>
      <c r="I38" s="3"/>
      <c r="J38" s="55"/>
      <c r="K38" s="74"/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5" x14ac:dyDescent="0.25">
      <c r="A39" s="152"/>
      <c r="B39" s="152"/>
      <c r="C39" s="164"/>
      <c r="D39" s="154"/>
      <c r="E39" s="153"/>
      <c r="F39" s="154"/>
      <c r="G39" s="68"/>
      <c r="H39" s="68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5" x14ac:dyDescent="0.25">
      <c r="A40" s="3" t="s">
        <v>68</v>
      </c>
      <c r="B40"/>
      <c r="C40" s="148"/>
      <c r="D40" s="155">
        <f>SUM(D4:D39)</f>
        <v>689441.5</v>
      </c>
      <c r="E40" s="102">
        <f>SUM(E4:E39)</f>
        <v>268520491.00038505</v>
      </c>
      <c r="F40" s="59">
        <f>SUM(F10:F39)</f>
        <v>1</v>
      </c>
      <c r="I40" s="3" t="s">
        <v>223</v>
      </c>
      <c r="J40" s="55">
        <v>0</v>
      </c>
      <c r="K40" s="74">
        <f>J40/$J$67</f>
        <v>0</v>
      </c>
      <c r="L40" s="74"/>
      <c r="M40" s="74"/>
      <c r="N40" s="57"/>
      <c r="O40" s="139"/>
      <c r="P40" s="79"/>
      <c r="Q40" s="138"/>
      <c r="R40" s="134"/>
      <c r="S40" s="139"/>
      <c r="T40" s="140"/>
    </row>
    <row r="41" spans="1:20" ht="14.25" x14ac:dyDescent="0.2">
      <c r="A41" s="53"/>
      <c r="D41" s="61"/>
      <c r="I41" s="7"/>
      <c r="J41" s="55"/>
      <c r="N41" s="57"/>
      <c r="O41" s="139"/>
      <c r="P41" s="79"/>
      <c r="Q41" s="138"/>
      <c r="R41" s="134"/>
      <c r="S41" s="139"/>
      <c r="T41" s="140"/>
    </row>
    <row r="42" spans="1:20" ht="14.25" x14ac:dyDescent="0.2">
      <c r="A42" s="133"/>
      <c r="B42" s="134"/>
      <c r="C42" s="79"/>
      <c r="D42" s="138"/>
      <c r="E42" s="79"/>
      <c r="F42" s="79"/>
      <c r="I42" s="3" t="s">
        <v>220</v>
      </c>
      <c r="J42" s="55">
        <v>0</v>
      </c>
      <c r="K42" s="74">
        <f>J42/$J$67</f>
        <v>0</v>
      </c>
      <c r="L42" s="74"/>
      <c r="M42" s="74"/>
      <c r="N42" s="57"/>
      <c r="O42" s="139"/>
      <c r="P42" s="79"/>
      <c r="Q42" s="138"/>
      <c r="R42" s="134"/>
      <c r="S42" s="139"/>
      <c r="T42" s="138"/>
    </row>
    <row r="43" spans="1:20" ht="14.25" x14ac:dyDescent="0.2">
      <c r="A43" s="137"/>
      <c r="B43" s="134"/>
      <c r="C43" s="79"/>
      <c r="D43" s="138"/>
      <c r="E43" s="79"/>
      <c r="F43" s="79"/>
      <c r="I43" s="7"/>
      <c r="J43" s="55"/>
      <c r="N43" s="62"/>
      <c r="O43" s="142"/>
      <c r="P43" s="134"/>
      <c r="Q43" s="134"/>
      <c r="R43" s="134"/>
      <c r="S43" s="142"/>
      <c r="T43" s="134"/>
    </row>
    <row r="44" spans="1:20" ht="14.25" x14ac:dyDescent="0.2">
      <c r="A44" s="133"/>
      <c r="B44" s="134"/>
      <c r="C44" s="58" t="s">
        <v>2209</v>
      </c>
      <c r="D44" s="58"/>
      <c r="E44" s="65">
        <f>'Functional Assignment'!F40</f>
        <v>97262576.699999869</v>
      </c>
      <c r="F44" s="79"/>
      <c r="I44" s="3" t="s">
        <v>221</v>
      </c>
      <c r="J44" s="55">
        <v>0</v>
      </c>
      <c r="K44" s="74">
        <f>J44/$J$67</f>
        <v>0</v>
      </c>
      <c r="L44" s="74"/>
      <c r="M44" s="74"/>
      <c r="N44" s="62"/>
      <c r="O44" s="135"/>
      <c r="P44" s="134"/>
      <c r="Q44" s="134"/>
      <c r="R44" s="134"/>
      <c r="S44" s="135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  <c r="N45" s="62"/>
      <c r="O45" s="79"/>
      <c r="P45" s="134"/>
      <c r="Q45" s="134"/>
      <c r="R45" s="134"/>
      <c r="S45" s="79"/>
      <c r="T45" s="134"/>
    </row>
    <row r="46" spans="1:20" ht="14.25" x14ac:dyDescent="0.2">
      <c r="A46" s="133"/>
      <c r="B46" s="134"/>
      <c r="C46" s="79"/>
      <c r="D46" s="138"/>
      <c r="E46" s="79"/>
      <c r="F46" s="79"/>
      <c r="I46" s="7" t="s">
        <v>677</v>
      </c>
      <c r="J46" s="55">
        <v>0</v>
      </c>
      <c r="K46" s="74">
        <f>J46/$J$67</f>
        <v>0</v>
      </c>
      <c r="L46" s="74"/>
      <c r="M46" s="74"/>
      <c r="N46" s="134"/>
      <c r="O46" s="134"/>
      <c r="P46" s="134"/>
      <c r="Q46" s="134"/>
      <c r="R46" s="134"/>
      <c r="S46" s="134"/>
      <c r="T46" s="134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3"/>
      <c r="B48" s="134"/>
      <c r="C48" s="79"/>
      <c r="D48" s="138"/>
      <c r="E48" s="79"/>
      <c r="F48" s="79"/>
      <c r="I48" s="7" t="s">
        <v>391</v>
      </c>
      <c r="J48" s="55">
        <v>0</v>
      </c>
      <c r="K48" s="74">
        <f>J48/$J$67</f>
        <v>0</v>
      </c>
      <c r="L48" s="74"/>
      <c r="M48" s="74"/>
      <c r="N48" s="58"/>
      <c r="O48" s="58"/>
      <c r="S48" s="58"/>
    </row>
    <row r="49" spans="1:19" ht="14.25" x14ac:dyDescent="0.2">
      <c r="A49" s="137"/>
      <c r="B49" s="134"/>
      <c r="C49" s="134"/>
      <c r="D49" s="138"/>
      <c r="E49" s="134"/>
      <c r="F49" s="134"/>
      <c r="I49" s="7"/>
      <c r="J49" s="55"/>
    </row>
    <row r="50" spans="1:19" ht="14.25" x14ac:dyDescent="0.2">
      <c r="A50" s="137"/>
      <c r="B50" s="134"/>
      <c r="C50" s="79"/>
      <c r="D50" s="138"/>
      <c r="E50" s="79"/>
      <c r="F50" s="79"/>
      <c r="I50" s="7" t="s">
        <v>678</v>
      </c>
      <c r="J50" s="55">
        <v>0</v>
      </c>
      <c r="K50" s="74">
        <f>J50/$J$67</f>
        <v>0</v>
      </c>
      <c r="L50" s="74"/>
      <c r="M50" s="74"/>
    </row>
    <row r="51" spans="1:19" x14ac:dyDescent="0.2">
      <c r="A51" s="137"/>
      <c r="B51" s="134"/>
      <c r="C51" s="134"/>
      <c r="D51" s="138"/>
      <c r="E51" s="134"/>
      <c r="F51" s="13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x14ac:dyDescent="0.2">
      <c r="A52" s="133"/>
      <c r="B52" s="134"/>
      <c r="C52" s="79"/>
      <c r="D52" s="138"/>
      <c r="E52" s="79"/>
      <c r="F52" s="7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4.25" x14ac:dyDescent="0.2">
      <c r="A53" s="137"/>
      <c r="B53" s="134"/>
      <c r="C53" s="134"/>
      <c r="D53" s="138"/>
      <c r="E53" s="134"/>
      <c r="F53" s="134"/>
      <c r="I53" s="7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7" t="s">
        <v>851</v>
      </c>
      <c r="J54" s="55">
        <v>0</v>
      </c>
      <c r="K54" s="74">
        <f>J54/$J$67</f>
        <v>0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852</v>
      </c>
      <c r="J56" s="55">
        <v>96</v>
      </c>
      <c r="K56" s="74">
        <f>J56/$J$67</f>
        <v>2.0311828889768127E-4</v>
      </c>
      <c r="L56" s="74"/>
      <c r="M56" s="74"/>
    </row>
    <row r="57" spans="1:19" ht="15" x14ac:dyDescent="0.25">
      <c r="A57" s="137"/>
      <c r="B57" s="134"/>
      <c r="C57" s="134"/>
      <c r="D57" s="138"/>
      <c r="E57" s="134"/>
      <c r="F57" s="134"/>
      <c r="I5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3" t="s">
        <v>282</v>
      </c>
      <c r="J58" s="55">
        <v>0</v>
      </c>
      <c r="K58" s="74">
        <f>J58/$J$67</f>
        <v>0</v>
      </c>
      <c r="L58" s="74"/>
      <c r="M58" s="74"/>
    </row>
    <row r="59" spans="1:19" ht="14.25" x14ac:dyDescent="0.2">
      <c r="A59" s="137"/>
      <c r="B59" s="134"/>
      <c r="C59" s="134"/>
      <c r="D59" s="138"/>
      <c r="E59" s="134"/>
      <c r="F59" s="134"/>
      <c r="I59" s="7"/>
      <c r="J59" s="55"/>
    </row>
    <row r="60" spans="1:19" ht="14.25" x14ac:dyDescent="0.2">
      <c r="A60" s="137"/>
      <c r="B60" s="134"/>
      <c r="C60" s="79"/>
      <c r="D60" s="138"/>
      <c r="E60" s="79"/>
      <c r="F60" s="79"/>
      <c r="I60" s="7" t="s">
        <v>405</v>
      </c>
      <c r="J60" s="55">
        <v>0</v>
      </c>
      <c r="K60" s="74">
        <f>J60/$J$67</f>
        <v>0</v>
      </c>
      <c r="L60" s="74"/>
      <c r="M60" s="74"/>
    </row>
    <row r="61" spans="1:19" ht="14.25" x14ac:dyDescent="0.2">
      <c r="A61" s="134"/>
      <c r="B61" s="134"/>
      <c r="C61" s="79"/>
      <c r="D61" s="156"/>
      <c r="E61" s="79"/>
      <c r="F61" s="79"/>
      <c r="G61" s="68"/>
      <c r="H61" s="68"/>
      <c r="I61" s="7"/>
      <c r="J61" s="55"/>
    </row>
    <row r="62" spans="1:19" ht="14.25" x14ac:dyDescent="0.2">
      <c r="A62" s="134"/>
      <c r="B62" s="134"/>
      <c r="C62" s="134"/>
      <c r="D62" s="134"/>
      <c r="E62" s="134"/>
      <c r="F62" s="134"/>
      <c r="I62" s="7" t="s">
        <v>392</v>
      </c>
      <c r="J62" s="55">
        <v>0</v>
      </c>
      <c r="K62" s="74">
        <f>J62/$J$67</f>
        <v>0</v>
      </c>
      <c r="L62" s="74"/>
      <c r="M62" s="74"/>
    </row>
    <row r="63" spans="1:19" ht="14.25" x14ac:dyDescent="0.2">
      <c r="C63" s="54"/>
      <c r="E63" s="54"/>
      <c r="F63" s="65"/>
      <c r="I63" s="7"/>
      <c r="J63" s="55"/>
    </row>
    <row r="64" spans="1:19" ht="14.25" x14ac:dyDescent="0.2">
      <c r="I64" s="7" t="s">
        <v>854</v>
      </c>
      <c r="J64" s="55">
        <v>0</v>
      </c>
      <c r="K64" s="74">
        <f>J64/$J$67</f>
        <v>0</v>
      </c>
      <c r="L64" s="74"/>
      <c r="M64" s="74"/>
    </row>
    <row r="65" spans="9:14" ht="14.25" x14ac:dyDescent="0.2">
      <c r="I65" s="7"/>
      <c r="J65" s="77"/>
    </row>
    <row r="66" spans="9:14" ht="14.25" x14ac:dyDescent="0.2">
      <c r="I66" s="21" t="s">
        <v>853</v>
      </c>
      <c r="J66" s="56">
        <v>0</v>
      </c>
      <c r="K66" s="74">
        <f>J66/$J$67</f>
        <v>0</v>
      </c>
      <c r="L66" s="74"/>
      <c r="M66" s="74"/>
    </row>
    <row r="67" spans="9:14" x14ac:dyDescent="0.2">
      <c r="J67" s="55">
        <f>SUM(J10:J66)</f>
        <v>472631</v>
      </c>
      <c r="K67" s="74">
        <f>SUM(K10:K66)</f>
        <v>1.0000000000000002</v>
      </c>
      <c r="L67" s="74"/>
      <c r="M67" s="74"/>
    </row>
    <row r="69" spans="9:14" x14ac:dyDescent="0.2">
      <c r="N69" s="64"/>
    </row>
    <row r="70" spans="9:14" x14ac:dyDescent="0.2">
      <c r="N70" s="58"/>
    </row>
    <row r="71" spans="9:14" x14ac:dyDescent="0.2">
      <c r="N71" s="58"/>
    </row>
    <row r="72" spans="9:14" x14ac:dyDescent="0.2">
      <c r="N72" s="58"/>
    </row>
    <row r="73" spans="9:14" x14ac:dyDescent="0.2">
      <c r="N73" s="58"/>
    </row>
    <row r="74" spans="9:14" x14ac:dyDescent="0.2">
      <c r="N74" s="59"/>
    </row>
    <row r="75" spans="9:14" x14ac:dyDescent="0.2">
      <c r="N75" s="60"/>
    </row>
    <row r="76" spans="9:14" x14ac:dyDescent="0.2">
      <c r="N76" s="60"/>
    </row>
    <row r="77" spans="9:14" x14ac:dyDescent="0.2">
      <c r="N77" s="60"/>
    </row>
    <row r="78" spans="9:14" x14ac:dyDescent="0.2">
      <c r="N78" s="60"/>
    </row>
    <row r="79" spans="9:14" x14ac:dyDescent="0.2">
      <c r="N79" s="60"/>
    </row>
    <row r="80" spans="9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0"/>
    </row>
    <row r="101" spans="14:14" x14ac:dyDescent="0.2">
      <c r="N101" s="60"/>
    </row>
    <row r="102" spans="14:14" x14ac:dyDescent="0.2">
      <c r="N102" s="63"/>
    </row>
    <row r="103" spans="14:14" x14ac:dyDescent="0.2">
      <c r="N103" s="64"/>
    </row>
    <row r="104" spans="14:14" x14ac:dyDescent="0.2">
      <c r="N104" s="65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  <row r="323" spans="14:14" x14ac:dyDescent="0.2">
      <c r="N323" s="58"/>
    </row>
    <row r="324" spans="14:14" x14ac:dyDescent="0.2">
      <c r="N324" s="58"/>
    </row>
  </sheetData>
  <mergeCells count="1">
    <mergeCell ref="P6:Q6"/>
  </mergeCells>
  <phoneticPr fontId="0" type="noConversion"/>
  <pageMargins left="1" right="0.25" top="0.75" bottom="0.49" header="0.5" footer="0.2"/>
  <pageSetup scale="76" orientation="portrait" r:id="rId1"/>
  <headerFooter alignWithMargins="0">
    <oddFooter>&amp;C&amp;12Services&amp;R&amp;12Exhibit 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1811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408" t="s">
        <v>1907</v>
      </c>
      <c r="F8" s="409"/>
      <c r="G8" s="282" t="s">
        <v>459</v>
      </c>
      <c r="H8" s="408" t="s">
        <v>118</v>
      </c>
      <c r="I8" s="409"/>
      <c r="J8" s="282" t="s">
        <v>2453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2" t="s">
        <v>1166</v>
      </c>
      <c r="B13" s="297" t="s">
        <v>193</v>
      </c>
      <c r="C13" s="298"/>
      <c r="D13" s="299">
        <f>'Allocation ProForma'!G174</f>
        <v>1694179623.6904061</v>
      </c>
      <c r="E13" s="300">
        <f>'Allocation ProForma'!G123+'Allocation ProForma'!G124+'Allocation ProForma'!G125</f>
        <v>810337227.61205184</v>
      </c>
      <c r="F13" s="301">
        <f>'Allocation ProForma'!G126</f>
        <v>24153447.932479028</v>
      </c>
      <c r="G13" s="301">
        <f>'Allocation ProForma'!G135</f>
        <v>227174054.05792984</v>
      </c>
      <c r="H13" s="301">
        <f>'Allocation ProForma'!G145+'Allocation ProForma'!G147+'Allocation ProForma'!G152+'Allocation ProForma'!G141</f>
        <v>232039522.03601718</v>
      </c>
      <c r="I13" s="301">
        <f>'Allocation ProForma'!G146+'Allocation ProForma'!G148+'Allocation ProForma'!G153+'Allocation ProForma'!G157+'Allocation ProForma'!G160+'Allocation ProForma'!G163</f>
        <v>396002243.94587231</v>
      </c>
      <c r="J13" s="301">
        <f>'Allocation ProForma'!G166+'Allocation ProForma'!G169</f>
        <v>4473128.1060556881</v>
      </c>
      <c r="K13" s="302">
        <f>SUM(E13:J13)</f>
        <v>1694179623.6904058</v>
      </c>
      <c r="L13" s="303" t="str">
        <f>IF(ABS(K13-D13)&lt;0.01,"ok","err")</f>
        <v>ok</v>
      </c>
      <c r="M13" s="28"/>
      <c r="N13" s="28"/>
    </row>
    <row r="14" spans="1:14" ht="15.75" x14ac:dyDescent="0.25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1889</v>
      </c>
      <c r="B15" s="297" t="s">
        <v>1890</v>
      </c>
      <c r="C15" s="298"/>
      <c r="D15" s="306">
        <f>D13+D14</f>
        <v>1694179623.6904061</v>
      </c>
      <c r="E15" s="306">
        <f t="shared" ref="E15:K15" si="1">E13+E14</f>
        <v>810337227.61205184</v>
      </c>
      <c r="F15" s="307">
        <f t="shared" si="1"/>
        <v>24153447.932479028</v>
      </c>
      <c r="G15" s="307">
        <f t="shared" si="1"/>
        <v>227174054.05792984</v>
      </c>
      <c r="H15" s="307">
        <f t="shared" si="1"/>
        <v>232039522.03601718</v>
      </c>
      <c r="I15" s="307">
        <f t="shared" si="1"/>
        <v>396002243.94587231</v>
      </c>
      <c r="J15" s="307">
        <f t="shared" si="1"/>
        <v>4473128.1060556881</v>
      </c>
      <c r="K15" s="302">
        <f t="shared" si="1"/>
        <v>1694179623.6904058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2" t="s">
        <v>1891</v>
      </c>
      <c r="B17" s="297" t="s">
        <v>441</v>
      </c>
      <c r="C17" s="298"/>
      <c r="D17" s="311">
        <f>'Allocation ProForma'!G825</f>
        <v>3.9699478097534907E-2</v>
      </c>
      <c r="E17" s="311">
        <f t="shared" ref="E17:J17" si="2">D17</f>
        <v>3.9699478097534907E-2</v>
      </c>
      <c r="F17" s="312">
        <f t="shared" si="2"/>
        <v>3.9699478097534907E-2</v>
      </c>
      <c r="G17" s="312">
        <f t="shared" si="2"/>
        <v>3.9699478097534907E-2</v>
      </c>
      <c r="H17" s="312">
        <f t="shared" si="2"/>
        <v>3.9699478097534907E-2</v>
      </c>
      <c r="I17" s="312">
        <f t="shared" si="2"/>
        <v>3.9699478097534907E-2</v>
      </c>
      <c r="J17" s="312">
        <f t="shared" si="2"/>
        <v>3.9699478097534907E-2</v>
      </c>
      <c r="K17" s="302"/>
      <c r="L17" s="303"/>
      <c r="M17" s="28"/>
      <c r="N17" s="28"/>
    </row>
    <row r="18" spans="1:14" ht="15.75" x14ac:dyDescent="0.25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2" t="s">
        <v>1892</v>
      </c>
      <c r="B19" s="297" t="s">
        <v>1893</v>
      </c>
      <c r="C19" s="298"/>
      <c r="D19" s="306">
        <f>D17*D15</f>
        <v>67258046.863987207</v>
      </c>
      <c r="E19" s="306">
        <f t="shared" ref="E19:J19" si="3">E17*E15</f>
        <v>32169965.019201811</v>
      </c>
      <c r="F19" s="307">
        <f t="shared" si="3"/>
        <v>958879.27717540099</v>
      </c>
      <c r="G19" s="307">
        <f t="shared" si="3"/>
        <v>9018691.3834009971</v>
      </c>
      <c r="H19" s="307">
        <f t="shared" si="3"/>
        <v>9211847.9228313323</v>
      </c>
      <c r="I19" s="307">
        <f t="shared" si="3"/>
        <v>15721082.410103833</v>
      </c>
      <c r="J19" s="307">
        <f t="shared" si="3"/>
        <v>177580.8512738256</v>
      </c>
      <c r="K19" s="302">
        <f>SUM(E19:J19)</f>
        <v>67258046.863987207</v>
      </c>
      <c r="L19" s="303" t="str">
        <f>IF(ABS(K19-D19)&lt;0.01,"ok","err")</f>
        <v>ok</v>
      </c>
      <c r="M19" s="28"/>
      <c r="N19" s="28"/>
    </row>
    <row r="20" spans="1:14" ht="15.75" x14ac:dyDescent="0.25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2" t="s">
        <v>1324</v>
      </c>
      <c r="B21" s="297" t="s">
        <v>1894</v>
      </c>
      <c r="C21" s="298"/>
      <c r="D21" s="306">
        <f>'Allocation ProForma'!G705</f>
        <v>39942874.914235435</v>
      </c>
      <c r="E21" s="306">
        <f t="shared" ref="E21:J21" si="4">(E13/$D$13)*$D$21</f>
        <v>19104939.091612689</v>
      </c>
      <c r="F21" s="307">
        <f t="shared" si="4"/>
        <v>569454.46399183467</v>
      </c>
      <c r="G21" s="307">
        <f t="shared" si="4"/>
        <v>5355975.6581358984</v>
      </c>
      <c r="H21" s="307">
        <f t="shared" si="4"/>
        <v>5470686.5046898369</v>
      </c>
      <c r="I21" s="307">
        <f t="shared" si="4"/>
        <v>9336358.3615954313</v>
      </c>
      <c r="J21" s="307">
        <f t="shared" si="4"/>
        <v>105460.83420973977</v>
      </c>
      <c r="K21" s="302">
        <f>SUM(E21:J21)</f>
        <v>39942874.914235428</v>
      </c>
      <c r="L21" s="303" t="str">
        <f>IF(ABS(K21-D21)&lt;0.01,"ok","err")</f>
        <v>ok</v>
      </c>
      <c r="M21" s="28"/>
      <c r="N21" s="28"/>
    </row>
    <row r="22" spans="1:14" ht="15.75" x14ac:dyDescent="0.25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2" t="s">
        <v>1325</v>
      </c>
      <c r="B23" s="297" t="s">
        <v>209</v>
      </c>
      <c r="C23" s="298"/>
      <c r="D23" s="306">
        <f>D19-D21</f>
        <v>27315171.949751772</v>
      </c>
      <c r="E23" s="306">
        <f t="shared" ref="E23:J23" si="5">E19-E21</f>
        <v>13065025.927589122</v>
      </c>
      <c r="F23" s="307">
        <f t="shared" si="5"/>
        <v>389424.81318356632</v>
      </c>
      <c r="G23" s="307">
        <f t="shared" si="5"/>
        <v>3662715.7252650987</v>
      </c>
      <c r="H23" s="307">
        <f t="shared" si="5"/>
        <v>3741161.4181414954</v>
      </c>
      <c r="I23" s="307">
        <f t="shared" si="5"/>
        <v>6384724.048508402</v>
      </c>
      <c r="J23" s="307">
        <f t="shared" si="5"/>
        <v>72120.017064085827</v>
      </c>
      <c r="K23" s="302">
        <f>SUM(E23:J23)</f>
        <v>27315171.949751772</v>
      </c>
      <c r="L23" s="303" t="str">
        <f>IF(ABS(K23-D23)&lt;0.01,"ok","err")</f>
        <v>ok</v>
      </c>
      <c r="M23" s="28"/>
      <c r="N23" s="28"/>
    </row>
    <row r="24" spans="1:14" ht="15.75" x14ac:dyDescent="0.25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2" t="s">
        <v>1326</v>
      </c>
      <c r="B25" s="297" t="s">
        <v>553</v>
      </c>
      <c r="C25" s="298"/>
      <c r="D25" s="306">
        <f>'Allocation ProForma'!G740+'Allocation ProForma'!G817</f>
        <v>19823135.336439449</v>
      </c>
      <c r="E25" s="306">
        <f t="shared" ref="E25:J25" si="6">$D$25*(E23/$K$23)</f>
        <v>9481535.668643048</v>
      </c>
      <c r="F25" s="307">
        <f t="shared" si="6"/>
        <v>282612.92988769332</v>
      </c>
      <c r="G25" s="307">
        <f t="shared" si="6"/>
        <v>2658101.8656737702</v>
      </c>
      <c r="H25" s="307">
        <f t="shared" si="6"/>
        <v>2715031.384159328</v>
      </c>
      <c r="I25" s="307">
        <f t="shared" si="6"/>
        <v>4633514.6318034362</v>
      </c>
      <c r="J25" s="307">
        <f t="shared" si="6"/>
        <v>52338.856272171033</v>
      </c>
      <c r="K25" s="302">
        <f>SUM(E25:J25)</f>
        <v>19823135.336439449</v>
      </c>
      <c r="L25" s="303" t="str">
        <f>IF(ABS(K25-D25)&lt;0.01,"ok","err")</f>
        <v>ok</v>
      </c>
      <c r="M25" s="28"/>
      <c r="N25" s="28"/>
    </row>
    <row r="26" spans="1:14" ht="15.75" x14ac:dyDescent="0.25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2" t="s">
        <v>1327</v>
      </c>
      <c r="B27" s="297" t="s">
        <v>795</v>
      </c>
      <c r="C27" s="298"/>
      <c r="D27" s="306">
        <f>'Allocation ProForma'!G671</f>
        <v>369750438.26943767</v>
      </c>
      <c r="E27" s="306">
        <f>'Allocation ProForma'!G180+'Allocation ProForma'!G181+'Allocation ProForma'!G182</f>
        <v>42901466.653478332</v>
      </c>
      <c r="F27" s="307">
        <f>'Allocation ProForma'!G183</f>
        <v>215133717.18701735</v>
      </c>
      <c r="G27" s="307">
        <f>'Allocation ProForma'!G192</f>
        <v>19267437.605426922</v>
      </c>
      <c r="H27" s="307">
        <f>'Allocation ProForma'!G198+'Allocation ProForma'!G202+'Allocation ProForma'!G204+'Allocation ProForma'!G209</f>
        <v>17105840.246043295</v>
      </c>
      <c r="I27" s="307">
        <f>'Allocation ProForma'!G203+'Allocation ProForma'!G205+'Allocation ProForma'!G210+'Allocation ProForma'!G214+'Allocation ProForma'!G217</f>
        <v>38195585.975589029</v>
      </c>
      <c r="J27" s="307">
        <f>'Allocation ProForma'!G223+'Allocation ProForma'!G226</f>
        <v>37146390.601882696</v>
      </c>
      <c r="K27" s="302">
        <f>SUM(E27:J27)</f>
        <v>369750438.26943767</v>
      </c>
      <c r="L27" s="303" t="str">
        <f>IF(ABS(K27-D27)&lt;0.01,"ok","err")</f>
        <v>ok</v>
      </c>
      <c r="M27" s="28"/>
      <c r="N27" s="28"/>
    </row>
    <row r="28" spans="1:14" ht="15.75" x14ac:dyDescent="0.25">
      <c r="A28" s="362" t="s">
        <v>1895</v>
      </c>
      <c r="B28" s="297" t="s">
        <v>843</v>
      </c>
      <c r="C28" s="298"/>
      <c r="D28" s="306">
        <f>'Allocation ProForma'!G672</f>
        <v>103212714.50375618</v>
      </c>
      <c r="E28" s="306">
        <f>'Allocation ProForma'!G300</f>
        <v>60217096.460382968</v>
      </c>
      <c r="F28" s="307">
        <v>0</v>
      </c>
      <c r="G28" s="307">
        <f>'Allocation ProForma'!G306</f>
        <v>10528466.523045922</v>
      </c>
      <c r="H28" s="307">
        <f>'Allocation ProForma'!G312+'Allocation ProForma'!G316+'Allocation ProForma'!G318+'Allocation ProForma'!G323</f>
        <v>12012111.825586651</v>
      </c>
      <c r="I28" s="307">
        <f>'Allocation ProForma'!G317+'Allocation ProForma'!G319+'Allocation ProForma'!G324+'Allocation ProForma'!G328+'Allocation ProForma'!G331</f>
        <v>20455039.694740638</v>
      </c>
      <c r="J28" s="307">
        <v>0</v>
      </c>
      <c r="K28" s="302">
        <f>SUM(E28:J28)</f>
        <v>103212714.50375618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17546558.696921624</v>
      </c>
      <c r="E29" s="306">
        <f>'Allocation ProForma'!G414+'Allocation ProForma'!G471+'Allocation ProForma'!G357</f>
        <v>8972395.0133634638</v>
      </c>
      <c r="F29" s="307">
        <f>'Allocation ProForma'!G529</f>
        <v>0</v>
      </c>
      <c r="G29" s="307">
        <f>'Allocation ProForma'!G420+'Allocation ProForma'!G477+'Allocation ProForma'!G363</f>
        <v>2222635.2547843633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2349921.8803366842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4001606.5484371139</v>
      </c>
      <c r="J29" s="307">
        <v>0</v>
      </c>
      <c r="K29" s="302">
        <f>SUM(E29:J29)</f>
        <v>17546558.696921624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4" t="s">
        <v>1905</v>
      </c>
      <c r="B35" s="297" t="s">
        <v>1917</v>
      </c>
      <c r="C35" s="298"/>
      <c r="D35" s="306">
        <f>SUM('Allocation ProForma'!G813:G815)-'Allocation ProForma'!G721</f>
        <v>253819.28888011741</v>
      </c>
      <c r="E35" s="306">
        <f t="shared" ref="E35:J35" si="9">(E13/($D$13)*$D$35)</f>
        <v>121403.43089332458</v>
      </c>
      <c r="F35" s="307">
        <f t="shared" si="9"/>
        <v>3618.6310427170356</v>
      </c>
      <c r="G35" s="307">
        <f t="shared" si="9"/>
        <v>34034.854419624455</v>
      </c>
      <c r="H35" s="307">
        <f t="shared" si="9"/>
        <v>34763.791071322004</v>
      </c>
      <c r="I35" s="307">
        <f t="shared" si="9"/>
        <v>59328.424535248581</v>
      </c>
      <c r="J35" s="307">
        <f t="shared" si="9"/>
        <v>670.156917880744</v>
      </c>
      <c r="K35" s="302">
        <f t="shared" si="8"/>
        <v>253819.28888011738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1919</v>
      </c>
      <c r="B36" s="297" t="s">
        <v>2444</v>
      </c>
      <c r="C36" s="381"/>
      <c r="D36" s="306">
        <f>-'Allocation ProForma'!G802-'Allocation ProForma'!G803</f>
        <v>0</v>
      </c>
      <c r="E36" s="382">
        <f>-'Allocation ProForma'!G802-'Allocation ProForma'!$G$803*(E13/'Res Unit Costs'!$D$13)</f>
        <v>0</v>
      </c>
      <c r="F36" s="383">
        <f>-'Allocation ProForma'!$G$803*(F13/'Res Unit Costs'!$D$13)</f>
        <v>0</v>
      </c>
      <c r="G36" s="383">
        <f>-'Allocation ProForma'!$G$803*(G13/'Res Unit Costs'!$D$13)</f>
        <v>0</v>
      </c>
      <c r="H36" s="383">
        <f>-'Allocation ProForma'!$G$803*(H13/'Res Unit Costs'!$D$13)</f>
        <v>0</v>
      </c>
      <c r="I36" s="383">
        <f>-'Allocation ProForma'!$G$803*(I13/'Res Unit Costs'!$D$13)</f>
        <v>0</v>
      </c>
      <c r="J36" s="383">
        <f>-'Allocation ProForma'!$G$803*(J13/'Res Unit Costs'!$D$13)</f>
        <v>0</v>
      </c>
      <c r="K36" s="302">
        <f>SUM(E36:J36)</f>
        <v>0</v>
      </c>
      <c r="L36" s="303" t="str">
        <f>IF(ABS(K36-D36)&lt;0.01,"ok","err")</f>
        <v>ok</v>
      </c>
      <c r="M36" s="28"/>
      <c r="N36" s="28"/>
    </row>
    <row r="37" spans="1:14" ht="15.75" x14ac:dyDescent="0.25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2" t="s">
        <v>1920</v>
      </c>
      <c r="B38" s="297" t="s">
        <v>1924</v>
      </c>
      <c r="C38" s="298"/>
      <c r="D38" s="306">
        <f t="shared" ref="D38:J38" si="10">SUM(D31:D36)</f>
        <v>253819.28888011741</v>
      </c>
      <c r="E38" s="306">
        <f t="shared" si="10"/>
        <v>121403.43089332458</v>
      </c>
      <c r="F38" s="307">
        <f t="shared" si="10"/>
        <v>3618.6310427170356</v>
      </c>
      <c r="G38" s="307">
        <f t="shared" si="10"/>
        <v>34034.854419624455</v>
      </c>
      <c r="H38" s="307">
        <f t="shared" si="10"/>
        <v>34763.791071322004</v>
      </c>
      <c r="I38" s="307">
        <f t="shared" si="10"/>
        <v>59328.424535248581</v>
      </c>
      <c r="J38" s="307">
        <f t="shared" si="10"/>
        <v>670.156917880744</v>
      </c>
      <c r="K38" s="302">
        <f t="shared" si="8"/>
        <v>253819.28888011738</v>
      </c>
      <c r="L38" s="303" t="str">
        <f t="shared" si="7"/>
        <v>ok</v>
      </c>
      <c r="M38" s="28"/>
      <c r="N38" s="28"/>
    </row>
    <row r="39" spans="1:14" ht="15.75" x14ac:dyDescent="0.25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2" t="s">
        <v>1921</v>
      </c>
      <c r="B40" s="297" t="s">
        <v>1899</v>
      </c>
      <c r="C40" s="313"/>
      <c r="D40" s="306">
        <f>SUM(D27:D30)+D21+D25+D38+D23</f>
        <v>577844712.95942223</v>
      </c>
      <c r="E40" s="306">
        <f t="shared" ref="E40:J40" si="11">SUM(E27:E30)+E21+E25+E38+E23</f>
        <v>153863862.24596295</v>
      </c>
      <c r="F40" s="307">
        <f t="shared" si="11"/>
        <v>216378828.02512315</v>
      </c>
      <c r="G40" s="307">
        <f t="shared" si="11"/>
        <v>43729367.486751601</v>
      </c>
      <c r="H40" s="307">
        <f t="shared" si="11"/>
        <v>43429517.050028607</v>
      </c>
      <c r="I40" s="307">
        <f t="shared" si="11"/>
        <v>83066157.685209304</v>
      </c>
      <c r="J40" s="307">
        <f t="shared" si="11"/>
        <v>37376980.466346569</v>
      </c>
      <c r="K40" s="302">
        <f>SUM(E40:J40)</f>
        <v>577844712.95942223</v>
      </c>
      <c r="L40" s="303" t="str">
        <f>IF(ABS(K40-D40)&lt;0.01,"ok","err")</f>
        <v>ok</v>
      </c>
      <c r="M40" s="28"/>
      <c r="N40" s="28"/>
    </row>
    <row r="41" spans="1:14" ht="15.75" x14ac:dyDescent="0.25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2" t="s">
        <v>1922</v>
      </c>
      <c r="B42" s="297" t="s">
        <v>2432</v>
      </c>
      <c r="C42" s="298"/>
      <c r="D42" s="306">
        <f>-'Allocation ProForma'!G654</f>
        <v>6814930.5235281447</v>
      </c>
      <c r="E42" s="306">
        <f>D42</f>
        <v>6814930.5235281447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6814930.5235281447</v>
      </c>
      <c r="L42" s="303" t="str">
        <f>IF(ABS(K42-D42)&lt;0.01,"ok","err")</f>
        <v>ok</v>
      </c>
      <c r="M42" s="28"/>
      <c r="N42" s="28"/>
    </row>
    <row r="43" spans="1:14" ht="15.75" x14ac:dyDescent="0.25">
      <c r="A43" s="362" t="s">
        <v>1923</v>
      </c>
      <c r="B43" s="297" t="s">
        <v>1925</v>
      </c>
      <c r="C43" s="298"/>
      <c r="D43" s="306">
        <f>-('Allocation ProForma'!G652+'Allocation ProForma'!G653)</f>
        <v>-2829615.4300200166</v>
      </c>
      <c r="E43" s="306">
        <v>0</v>
      </c>
      <c r="F43" s="307">
        <f>D43</f>
        <v>-2829615.4300200166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-2829615.4300200166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-27286839.052930258</v>
      </c>
      <c r="E44" s="306">
        <f t="shared" ref="E44:J44" si="12">(E13/($D$13)*$D$44)</f>
        <v>-13051474.117179224</v>
      </c>
      <c r="F44" s="307">
        <f t="shared" si="12"/>
        <v>-389020.8789498019</v>
      </c>
      <c r="G44" s="307">
        <f t="shared" si="12"/>
        <v>-3658916.5419057058</v>
      </c>
      <c r="H44" s="307">
        <f t="shared" si="12"/>
        <v>-3737280.8663130896</v>
      </c>
      <c r="I44" s="307">
        <f t="shared" si="12"/>
        <v>-6378101.4386257697</v>
      </c>
      <c r="J44" s="307">
        <f t="shared" si="12"/>
        <v>-72045.209956665771</v>
      </c>
      <c r="K44" s="302">
        <f>SUM(E44:J44)</f>
        <v>-27286839.052930254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1928</v>
      </c>
      <c r="B45" s="297" t="s">
        <v>1929</v>
      </c>
      <c r="C45" s="298"/>
      <c r="D45" s="306">
        <f>SUM(D42:D44)</f>
        <v>-23301523.95942213</v>
      </c>
      <c r="E45" s="306">
        <f t="shared" ref="E45:J45" si="13">SUM(E42:E44)</f>
        <v>-6236543.5936510796</v>
      </c>
      <c r="F45" s="307">
        <f t="shared" si="13"/>
        <v>-3218636.3089698185</v>
      </c>
      <c r="G45" s="307">
        <f t="shared" si="13"/>
        <v>-3658916.5419057058</v>
      </c>
      <c r="H45" s="307">
        <f t="shared" si="13"/>
        <v>-3737280.8663130896</v>
      </c>
      <c r="I45" s="307">
        <f t="shared" si="13"/>
        <v>-6378101.4386257697</v>
      </c>
      <c r="J45" s="307">
        <f t="shared" si="13"/>
        <v>-72045.209956665771</v>
      </c>
      <c r="K45" s="302">
        <f>SUM(E45:J45)</f>
        <v>-23301523.95942213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554543189.00000012</v>
      </c>
      <c r="D47" s="306">
        <f>D40+D45</f>
        <v>554543189.00000012</v>
      </c>
      <c r="E47" s="306">
        <f t="shared" ref="E47:J47" si="14">E40+E45</f>
        <v>147627318.65231186</v>
      </c>
      <c r="F47" s="307">
        <f t="shared" si="14"/>
        <v>213160191.71615332</v>
      </c>
      <c r="G47" s="307">
        <f t="shared" si="14"/>
        <v>40070450.944845892</v>
      </c>
      <c r="H47" s="307">
        <f t="shared" si="14"/>
        <v>39692236.183715515</v>
      </c>
      <c r="I47" s="307">
        <f t="shared" si="14"/>
        <v>76688056.246583536</v>
      </c>
      <c r="J47" s="307">
        <f t="shared" si="14"/>
        <v>37304935.256389901</v>
      </c>
      <c r="K47" s="302">
        <f>SUM(E47:J47)</f>
        <v>554543189</v>
      </c>
      <c r="L47" s="303" t="str">
        <f>IF(ABS(K47-D47)&lt;0.01,"ok","err")</f>
        <v>ok</v>
      </c>
      <c r="M47" s="28"/>
      <c r="N47" s="28"/>
    </row>
    <row r="48" spans="1:14" ht="15.75" x14ac:dyDescent="0.25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2" t="s">
        <v>1935</v>
      </c>
      <c r="B49" s="297" t="s">
        <v>1904</v>
      </c>
      <c r="C49" s="298"/>
      <c r="D49" s="316"/>
      <c r="E49" s="317">
        <f>'Billing Det'!C8</f>
        <v>6091631440</v>
      </c>
      <c r="F49" s="318">
        <f>'Billing Det'!C8</f>
        <v>6091631440</v>
      </c>
      <c r="G49" s="318">
        <f>'Billing Det'!C8</f>
        <v>6091631440</v>
      </c>
      <c r="H49" s="318">
        <f>'Billing Det'!C8</f>
        <v>6091631440</v>
      </c>
      <c r="I49" s="318">
        <f>'Allocation ProForma'!G848</f>
        <v>5167850</v>
      </c>
      <c r="J49" s="318">
        <f>I49</f>
        <v>5167850</v>
      </c>
      <c r="K49" s="287"/>
      <c r="L49" s="310"/>
      <c r="M49" s="28"/>
      <c r="N49" s="28"/>
    </row>
    <row r="50" spans="1:16" ht="16.5" thickBot="1" x14ac:dyDescent="0.3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/>
      <c r="O50" s="1"/>
      <c r="P50" s="392"/>
    </row>
    <row r="51" spans="1:16" ht="16.5" thickBot="1" x14ac:dyDescent="0.3">
      <c r="A51" s="365" t="s">
        <v>2446</v>
      </c>
      <c r="B51" s="319" t="s">
        <v>1906</v>
      </c>
      <c r="C51" s="320"/>
      <c r="D51" s="321"/>
      <c r="E51" s="322">
        <f t="shared" ref="E51:J51" si="15">E47/E49</f>
        <v>2.4234446897580506E-2</v>
      </c>
      <c r="F51" s="323">
        <f t="shared" si="15"/>
        <v>3.4992299487533234E-2</v>
      </c>
      <c r="G51" s="323">
        <f t="shared" si="15"/>
        <v>6.5779506425368856E-3</v>
      </c>
      <c r="H51" s="323">
        <f t="shared" si="15"/>
        <v>6.5158630450097479E-3</v>
      </c>
      <c r="I51" s="324">
        <f>I47/I49</f>
        <v>14.839450883168732</v>
      </c>
      <c r="J51" s="324">
        <f t="shared" si="15"/>
        <v>7.218656744369496</v>
      </c>
      <c r="K51" s="325">
        <f>I51+J51</f>
        <v>22.058107627538227</v>
      </c>
      <c r="L51" s="326"/>
      <c r="M51" s="28"/>
      <c r="N51" s="28"/>
      <c r="O51" s="1"/>
      <c r="P51" s="392"/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22.058107627538227</v>
      </c>
      <c r="L52" s="28"/>
      <c r="M52" s="28"/>
      <c r="N52" s="28"/>
      <c r="O52" s="1"/>
      <c r="P52" s="392"/>
    </row>
    <row r="53" spans="1:16" ht="16.5" thickBot="1" x14ac:dyDescent="0.3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3.7328260585127143E-2</v>
      </c>
      <c r="L53" s="28"/>
      <c r="M53" s="28"/>
      <c r="N53" s="28"/>
      <c r="O53" s="1"/>
    </row>
    <row r="54" spans="1:16" ht="16.5" thickBot="1" x14ac:dyDescent="0.3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4.4098260585127141E-2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3.4992299487533234E-2</v>
      </c>
      <c r="L56" s="28"/>
      <c r="M56" s="28"/>
      <c r="N56" s="28"/>
    </row>
    <row r="57" spans="1:16" ht="15.75" x14ac:dyDescent="0.25">
      <c r="A57" s="28"/>
      <c r="B57" s="28"/>
      <c r="C57" s="28"/>
      <c r="D57" s="335"/>
      <c r="E57" s="386"/>
      <c r="F57" s="28"/>
      <c r="G57" s="28"/>
      <c r="H57" s="28"/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75" x14ac:dyDescent="0.25">
      <c r="A59" s="28"/>
      <c r="B59" s="28"/>
      <c r="C59" s="28"/>
      <c r="D59" s="370"/>
      <c r="E59" s="387"/>
      <c r="F59" s="28"/>
      <c r="G59" s="386"/>
      <c r="H59" s="386"/>
      <c r="I59" s="28"/>
      <c r="J59" s="373" t="s">
        <v>2435</v>
      </c>
      <c r="K59" s="374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300291.50297342788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8"/>
      <c r="F61" s="28"/>
      <c r="G61" s="387"/>
      <c r="H61" s="387"/>
      <c r="I61" s="28"/>
      <c r="J61" s="373" t="s">
        <v>2437</v>
      </c>
      <c r="K61" s="376">
        <f>K60/H49</f>
        <v>4.9295743830067942E-5</v>
      </c>
      <c r="L61" s="28"/>
      <c r="M61" s="28"/>
      <c r="N61" s="28"/>
    </row>
    <row r="62" spans="1:16" ht="15.75" x14ac:dyDescent="0.25">
      <c r="G62" s="28"/>
      <c r="H62" s="28"/>
      <c r="J62" s="373" t="s">
        <v>2440</v>
      </c>
      <c r="K62" s="34">
        <v>6.77E-3</v>
      </c>
    </row>
    <row r="63" spans="1:16" ht="15.75" x14ac:dyDescent="0.25">
      <c r="G63" s="388"/>
      <c r="H63" s="388"/>
      <c r="J63" s="373" t="s">
        <v>2441</v>
      </c>
      <c r="K63" s="377">
        <f>K61+K62+K53</f>
        <v>4.4147556328957213E-2</v>
      </c>
      <c r="L63" s="380">
        <f>K63+K56</f>
        <v>7.913985581649044E-2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7" orientation="landscape" r:id="rId1"/>
  <headerFooter>
    <oddHeader>&amp;RExhibit WSS-2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10" t="s">
        <v>1427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10" t="s">
        <v>1911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10" t="s">
        <v>2442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10" t="s">
        <v>2341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8" t="s">
        <v>1907</v>
      </c>
      <c r="F9" s="409"/>
      <c r="G9" s="282" t="s">
        <v>459</v>
      </c>
      <c r="H9" s="408" t="s">
        <v>118</v>
      </c>
      <c r="I9" s="409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430102584.99158609</v>
      </c>
      <c r="E14" s="300">
        <f>'Allocation ProForma'!H123+'Allocation ProForma'!H124+'Allocation ProForma'!H125</f>
        <v>227670758.07827169</v>
      </c>
      <c r="F14" s="301">
        <f>'Allocation ProForma'!H126</f>
        <v>7155603.2069275761</v>
      </c>
      <c r="G14" s="301">
        <f>'Allocation ProForma'!H135</f>
        <v>55345956.391900823</v>
      </c>
      <c r="H14" s="301">
        <f>'Allocation ProForma'!H145+'Allocation ProForma'!H147+'Allocation ProForma'!H152+'Allocation ProForma'!H141</f>
        <v>48643201.221986368</v>
      </c>
      <c r="I14" s="301">
        <f>'Allocation ProForma'!H146+'Allocation ProForma'!H148+'Allocation ProForma'!H153+'Allocation ProForma'!H157+'Allocation ProForma'!H160+'Allocation ProForma'!H163</f>
        <v>89556018.467494369</v>
      </c>
      <c r="J14" s="301">
        <f>'Allocation ProForma'!H166+'Allocation ProForma'!H169</f>
        <v>1731047.6250052918</v>
      </c>
      <c r="K14" s="302">
        <f>SUM(E14:J14)</f>
        <v>430102584.99158609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430102584.99158609</v>
      </c>
      <c r="E16" s="306">
        <f t="shared" ref="E16:K16" si="1">E14+E15</f>
        <v>227670758.07827169</v>
      </c>
      <c r="F16" s="307">
        <f t="shared" si="1"/>
        <v>7155603.2069275761</v>
      </c>
      <c r="G16" s="307">
        <f t="shared" si="1"/>
        <v>55345956.391900823</v>
      </c>
      <c r="H16" s="307">
        <f t="shared" si="1"/>
        <v>48643201.221986368</v>
      </c>
      <c r="I16" s="307">
        <f t="shared" si="1"/>
        <v>89556018.467494369</v>
      </c>
      <c r="J16" s="307">
        <f t="shared" si="1"/>
        <v>1731047.6250052918</v>
      </c>
      <c r="K16" s="302">
        <f t="shared" si="1"/>
        <v>430102584.99158609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9.1287908318315555E-2</v>
      </c>
      <c r="E18" s="311">
        <f t="shared" ref="E18:J18" si="2">D18</f>
        <v>9.1287908318315555E-2</v>
      </c>
      <c r="F18" s="312">
        <f t="shared" si="2"/>
        <v>9.1287908318315555E-2</v>
      </c>
      <c r="G18" s="312">
        <f t="shared" si="2"/>
        <v>9.1287908318315555E-2</v>
      </c>
      <c r="H18" s="312">
        <f t="shared" si="2"/>
        <v>9.1287908318315555E-2</v>
      </c>
      <c r="I18" s="312">
        <f t="shared" si="2"/>
        <v>9.1287908318315555E-2</v>
      </c>
      <c r="J18" s="312">
        <f t="shared" si="2"/>
        <v>9.1287908318315555E-2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39263165.346182436</v>
      </c>
      <c r="E20" s="306">
        <f t="shared" ref="E20:J20" si="3">E18*E16</f>
        <v>20783587.290210668</v>
      </c>
      <c r="F20" s="307">
        <f t="shared" si="3"/>
        <v>653220.04951624933</v>
      </c>
      <c r="G20" s="307">
        <f t="shared" si="3"/>
        <v>5052416.5928933332</v>
      </c>
      <c r="H20" s="307">
        <f t="shared" si="3"/>
        <v>4440536.0934620667</v>
      </c>
      <c r="I20" s="307">
        <f t="shared" si="3"/>
        <v>8175381.6032140004</v>
      </c>
      <c r="J20" s="307">
        <f t="shared" si="3"/>
        <v>158023.71688612096</v>
      </c>
      <c r="K20" s="302">
        <f>SUM(E20:J20)</f>
        <v>39263165.346182436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10149341.887129154</v>
      </c>
      <c r="E22" s="306">
        <f t="shared" ref="E22:J22" si="4">(E14/$D$14)*$D$22</f>
        <v>5372458.6693275841</v>
      </c>
      <c r="F22" s="307">
        <f t="shared" si="4"/>
        <v>168854.28242001028</v>
      </c>
      <c r="G22" s="307">
        <f t="shared" si="4"/>
        <v>1306025.7089655283</v>
      </c>
      <c r="H22" s="307">
        <f t="shared" si="4"/>
        <v>1147857.504032477</v>
      </c>
      <c r="I22" s="307">
        <f t="shared" si="4"/>
        <v>2113297.3415968511</v>
      </c>
      <c r="J22" s="307">
        <f t="shared" si="4"/>
        <v>40848.380786703114</v>
      </c>
      <c r="K22" s="302">
        <f>SUM(E22:J22)</f>
        <v>10149341.887129156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29113823.459053282</v>
      </c>
      <c r="E24" s="306">
        <f t="shared" ref="E24:J24" si="5">E20-E22</f>
        <v>15411128.620883085</v>
      </c>
      <c r="F24" s="307">
        <f t="shared" si="5"/>
        <v>484365.76709623903</v>
      </c>
      <c r="G24" s="307">
        <f t="shared" si="5"/>
        <v>3746390.8839278049</v>
      </c>
      <c r="H24" s="307">
        <f t="shared" si="5"/>
        <v>3292678.5894295899</v>
      </c>
      <c r="I24" s="307">
        <f t="shared" si="5"/>
        <v>6062084.2616171492</v>
      </c>
      <c r="J24" s="307">
        <f t="shared" si="5"/>
        <v>117175.33609941785</v>
      </c>
      <c r="K24" s="302">
        <f>SUM(E24:J24)</f>
        <v>29113823.459053285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21087843.150037549</v>
      </c>
      <c r="E26" s="306">
        <f t="shared" ref="E26:J26" si="6">$D$26*(E24/$K$24)</f>
        <v>11162651.431864005</v>
      </c>
      <c r="F26" s="307">
        <f t="shared" si="6"/>
        <v>350837.78460561053</v>
      </c>
      <c r="G26" s="307">
        <f t="shared" si="6"/>
        <v>2713601.0991518558</v>
      </c>
      <c r="H26" s="307">
        <f t="shared" si="6"/>
        <v>2384966.3626295808</v>
      </c>
      <c r="I26" s="307">
        <f t="shared" si="6"/>
        <v>4390913.5552424816</v>
      </c>
      <c r="J26" s="307">
        <f t="shared" si="6"/>
        <v>84872.916544016392</v>
      </c>
      <c r="K26" s="302">
        <f>SUM(E26:J26)</f>
        <v>21087843.150037549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108040603.16778158</v>
      </c>
      <c r="E28" s="306">
        <f>'Allocation ProForma'!H180+'Allocation ProForma'!H181+'Allocation ProForma'!H182</f>
        <v>12053511.924227232</v>
      </c>
      <c r="F28" s="307">
        <f>'Allocation ProForma'!H183</f>
        <v>63734648.606902696</v>
      </c>
      <c r="G28" s="307">
        <f>'Allocation ProForma'!H192</f>
        <v>4694086.9454295198</v>
      </c>
      <c r="H28" s="307">
        <f>'Allocation ProForma'!H198+'Allocation ProForma'!H202+'Allocation ProForma'!H204+'Allocation ProForma'!H209</f>
        <v>3686127.602882551</v>
      </c>
      <c r="I28" s="307">
        <f>'Allocation ProForma'!H203+'Allocation ProForma'!H205+'Allocation ProForma'!H210+'Allocation ProForma'!H214+'Allocation ProForma'!H217</f>
        <v>9497014.6573054381</v>
      </c>
      <c r="J28" s="307">
        <f>'Allocation ProForma'!H223+'Allocation ProForma'!H226</f>
        <v>14375213.431034118</v>
      </c>
      <c r="K28" s="302">
        <f>SUM(E28:J28)</f>
        <v>108040603.16778155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26620242.817391425</v>
      </c>
      <c r="E29" s="306">
        <f>'Allocation ProForma'!H300</f>
        <v>16918477.31198065</v>
      </c>
      <c r="F29" s="307">
        <v>0</v>
      </c>
      <c r="G29" s="307">
        <f>'Allocation ProForma'!H306</f>
        <v>2565029.0543720964</v>
      </c>
      <c r="H29" s="307">
        <f>'Allocation ProForma'!H312+'Allocation ProForma'!H316+'Allocation ProForma'!H318+'Allocation ProForma'!H323</f>
        <v>2517565.2162647038</v>
      </c>
      <c r="I29" s="307">
        <f>'Allocation ProForma'!H317+'Allocation ProForma'!H319+'Allocation ProForma'!H324+'Allocation ProForma'!H328+'Allocation ProForma'!H331</f>
        <v>4619171.2347739795</v>
      </c>
      <c r="J29" s="307">
        <v>0</v>
      </c>
      <c r="K29" s="302">
        <f>SUM(E29:J29)</f>
        <v>26620242.817391425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4458517.9093898442</v>
      </c>
      <c r="E30" s="306">
        <f>'Allocation ProForma'!H414+'Allocation ProForma'!H471+'Allocation ProForma'!H357</f>
        <v>2520866.5045414027</v>
      </c>
      <c r="F30" s="307">
        <f>'Allocation ProForma'!H529</f>
        <v>0</v>
      </c>
      <c r="G30" s="307">
        <f>'Allocation ProForma'!H420+'Allocation ProForma'!H477+'Allocation ProForma'!H363</f>
        <v>541496.14222682302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492509.69960780005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903645.56301381835</v>
      </c>
      <c r="J30" s="307">
        <v>0</v>
      </c>
      <c r="K30" s="302">
        <f>SUM(E30:J30)</f>
        <v>4458517.9093898442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214057.98744706239</v>
      </c>
      <c r="E36" s="306">
        <f t="shared" ref="E36:J36" si="9">(E14/($D$14)*$D$36)</f>
        <v>113309.58235402196</v>
      </c>
      <c r="F36" s="307">
        <f t="shared" si="9"/>
        <v>3561.2760185448005</v>
      </c>
      <c r="G36" s="307">
        <f t="shared" si="9"/>
        <v>27545.158880677111</v>
      </c>
      <c r="H36" s="307">
        <f t="shared" si="9"/>
        <v>24209.261045860916</v>
      </c>
      <c r="I36" s="307">
        <f t="shared" si="9"/>
        <v>44571.183122042414</v>
      </c>
      <c r="J36" s="307">
        <f t="shared" si="9"/>
        <v>861.52602591518655</v>
      </c>
      <c r="K36" s="302">
        <f t="shared" si="8"/>
        <v>214057.98744706239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0</v>
      </c>
      <c r="E37" s="306">
        <f>-'Allocation ProForma'!H802-'Allocation ProForma'!$H$803*(E14/$D$14)</f>
        <v>0</v>
      </c>
      <c r="F37" s="383">
        <f>-'Allocation ProForma'!$H$803*(F14/$D$14)</f>
        <v>0</v>
      </c>
      <c r="G37" s="383">
        <f>-'Allocation ProForma'!$H$803*(G14/$D$14)</f>
        <v>0</v>
      </c>
      <c r="H37" s="383">
        <f>-'Allocation ProForma'!$H$803*(H14/$D$14)</f>
        <v>0</v>
      </c>
      <c r="I37" s="383">
        <f>-'Allocation ProForma'!$H$803*(I14/$D$14)</f>
        <v>0</v>
      </c>
      <c r="J37" s="383">
        <f>-'Allocation ProForma'!$H$803*(J14/$D$14)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214057.98744706239</v>
      </c>
      <c r="E39" s="306">
        <f t="shared" si="10"/>
        <v>113309.58235402196</v>
      </c>
      <c r="F39" s="307">
        <f t="shared" si="10"/>
        <v>3561.2760185448005</v>
      </c>
      <c r="G39" s="307">
        <f t="shared" si="10"/>
        <v>27545.158880677111</v>
      </c>
      <c r="H39" s="307">
        <f t="shared" si="10"/>
        <v>24209.261045860916</v>
      </c>
      <c r="I39" s="307">
        <f t="shared" si="10"/>
        <v>44571.183122042414</v>
      </c>
      <c r="J39" s="307">
        <f t="shared" si="10"/>
        <v>861.52602591518655</v>
      </c>
      <c r="K39" s="302">
        <f t="shared" si="8"/>
        <v>214057.98744706239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199684430.37822989</v>
      </c>
      <c r="E41" s="306">
        <f t="shared" ref="E41:J41" si="11">SUM(E28:E31)+E22+E26+E39+E24</f>
        <v>63552404.045177989</v>
      </c>
      <c r="F41" s="307">
        <f t="shared" si="11"/>
        <v>64742267.717043094</v>
      </c>
      <c r="G41" s="307">
        <f t="shared" si="11"/>
        <v>15594174.992954304</v>
      </c>
      <c r="H41" s="307">
        <f t="shared" si="11"/>
        <v>13545914.235892564</v>
      </c>
      <c r="I41" s="307">
        <f t="shared" si="11"/>
        <v>27630697.796671759</v>
      </c>
      <c r="J41" s="307">
        <f t="shared" si="11"/>
        <v>14618971.590490172</v>
      </c>
      <c r="K41" s="302">
        <f>SUM(E41:J41)</f>
        <v>199684430.37822986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1914709.5131179304</v>
      </c>
      <c r="E43" s="306">
        <f>D43</f>
        <v>1914709.5131179304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1914709.5131179304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-838290.47107581364</v>
      </c>
      <c r="E44" s="306">
        <v>0</v>
      </c>
      <c r="F44" s="307">
        <f>D44</f>
        <v>-838290.47107581364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-838290.47107581364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-2526855.4202720821</v>
      </c>
      <c r="E45" s="306">
        <f t="shared" ref="E45:J45" si="12">(E14/($D$14)*$D$45)</f>
        <v>-1337567.150634049</v>
      </c>
      <c r="F45" s="307">
        <f t="shared" si="12"/>
        <v>-42039.214316963364</v>
      </c>
      <c r="G45" s="307">
        <f t="shared" si="12"/>
        <v>-325157.84554457571</v>
      </c>
      <c r="H45" s="307">
        <f t="shared" si="12"/>
        <v>-285779.11632306594</v>
      </c>
      <c r="I45" s="307">
        <f t="shared" si="12"/>
        <v>-526142.17765513249</v>
      </c>
      <c r="J45" s="307">
        <f t="shared" si="12"/>
        <v>-10169.915798295668</v>
      </c>
      <c r="K45" s="302">
        <f>SUM(E45:J45)</f>
        <v>-2526855.4202720826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-1450436.3782299655</v>
      </c>
      <c r="E46" s="306">
        <f t="shared" ref="E46:J46" si="13">SUM(E43:E45)</f>
        <v>577142.36248388141</v>
      </c>
      <c r="F46" s="307">
        <f t="shared" si="13"/>
        <v>-880329.68539277697</v>
      </c>
      <c r="G46" s="307">
        <f t="shared" si="13"/>
        <v>-325157.84554457571</v>
      </c>
      <c r="H46" s="307">
        <f t="shared" si="13"/>
        <v>-285779.11632306594</v>
      </c>
      <c r="I46" s="307">
        <f t="shared" si="13"/>
        <v>-526142.17765513249</v>
      </c>
      <c r="J46" s="307">
        <f t="shared" si="13"/>
        <v>-10169.915798295668</v>
      </c>
      <c r="K46" s="302">
        <f>SUM(E46:J46)</f>
        <v>-1450436.3782299655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198233993.99999994</v>
      </c>
      <c r="D48" s="306">
        <f>D41+D46</f>
        <v>198233993.99999991</v>
      </c>
      <c r="E48" s="306">
        <f t="shared" ref="E48:J48" si="14">E41+E46</f>
        <v>64129546.40766187</v>
      </c>
      <c r="F48" s="307">
        <f t="shared" si="14"/>
        <v>63861938.03165032</v>
      </c>
      <c r="G48" s="307">
        <f t="shared" si="14"/>
        <v>15269017.14740973</v>
      </c>
      <c r="H48" s="307">
        <f t="shared" si="14"/>
        <v>13260135.119569499</v>
      </c>
      <c r="I48" s="307">
        <f t="shared" si="14"/>
        <v>27104555.619016625</v>
      </c>
      <c r="J48" s="307">
        <f t="shared" si="14"/>
        <v>14608801.674691876</v>
      </c>
      <c r="K48" s="302">
        <f>SUM(E48:J48)</f>
        <v>198233993.99999994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1804682196.485518</v>
      </c>
      <c r="F50" s="318">
        <f>$E$50</f>
        <v>1804682196.485518</v>
      </c>
      <c r="G50" s="318">
        <f>$E$50</f>
        <v>1804682196.485518</v>
      </c>
      <c r="H50" s="318">
        <f>$E$50</f>
        <v>1804682196.485518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3.5535091182563504E-2</v>
      </c>
      <c r="F52" s="323">
        <f t="shared" si="15"/>
        <v>3.5386805586056433E-2</v>
      </c>
      <c r="G52" s="323">
        <f t="shared" si="15"/>
        <v>8.4607789544026007E-3</v>
      </c>
      <c r="H52" s="323">
        <f t="shared" si="15"/>
        <v>7.3476289317823433E-3</v>
      </c>
      <c r="I52" s="324">
        <f>I48/I50</f>
        <v>27.105965129203344</v>
      </c>
      <c r="J52" s="324">
        <f t="shared" si="15"/>
        <v>14.609561371883215</v>
      </c>
      <c r="K52" s="325">
        <f>I52+J52</f>
        <v>41.715526501086558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41.715526501086558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5.1343499068748445E-2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3.5386805586056433E-2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5755227.2137085004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3.1890530226963893E-3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6.4762552091444839E-2</v>
      </c>
      <c r="L62" s="380">
        <f>K62+K56</f>
        <v>0.10014935767750127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Meters</vt:lpstr>
      <vt:lpstr>Services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2017-03-28T15:01:53Z</dcterms:created>
  <dcterms:modified xsi:type="dcterms:W3CDTF">2017-04-11T22:48:49Z</dcterms:modified>
</cp:coreProperties>
</file>